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8.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pfpsclc01fs\drs3$\Data\PMD\ZZ_CITY_DEAL_FOLDER_STRUCTURE\13_ECONOMICS\Intelligence Hub restructure\1. Data Analysis\b. Data by theme\SLAED NOLB Toolkit\"/>
    </mc:Choice>
  </mc:AlternateContent>
  <xr:revisionPtr revIDLastSave="0" documentId="13_ncr:1_{E42CDF5B-B15F-494B-ABAB-54525AAA90E7}" xr6:coauthVersionLast="47" xr6:coauthVersionMax="47" xr10:uidLastSave="{00000000-0000-0000-0000-000000000000}"/>
  <workbookProtection workbookAlgorithmName="SHA-512" workbookHashValue="DmwSwRTLxgu9nhKLav8sMKicwIox1nVpvmtE6vndYZ5WqzWSIXwTqBRgixTdUwPeN24TzabsSORZpZJ4MD+Aag==" workbookSaltValue="l6i1j3gd3iAOJR2trg2l+Q==" workbookSpinCount="100000" lockStructure="1"/>
  <bookViews>
    <workbookView xWindow="-120" yWindow="-120" windowWidth="24240" windowHeight="13140" tabRatio="758" xr2:uid="{00000000-000D-0000-FFFF-FFFF00000000}"/>
  </bookViews>
  <sheets>
    <sheet name="Cover" sheetId="110" r:id="rId1"/>
    <sheet name="LGBF Family Groups" sheetId="144" r:id="rId2"/>
    <sheet name="Update" sheetId="152" r:id="rId3"/>
    <sheet name="Index RAG" sheetId="12" r:id="rId4"/>
    <sheet name="Gap Analysis" sheetId="119" r:id="rId5"/>
    <sheet name="Child Poverty" sheetId="11" r:id="rId6"/>
    <sheet name="Childcare" sheetId="133" r:id="rId7"/>
    <sheet name="Children in Low Income" sheetId="136" r:id="rId8"/>
    <sheet name="Households on UC" sheetId="138" r:id="rId9"/>
    <sheet name="Child Benefit" sheetId="139" r:id="rId10"/>
    <sheet name="Claimant Count" sheetId="34" r:id="rId11"/>
    <sheet name="Workless Households" sheetId="95" r:id="rId12"/>
    <sheet name="SLDR" sheetId="87" r:id="rId13"/>
    <sheet name="Participation Rate" sheetId="135" r:id="rId14"/>
    <sheet name="Degree Quals" sheetId="18" r:id="rId15"/>
    <sheet name="No Qualifications" sheetId="6" r:id="rId16"/>
    <sheet name="Incapacity" sheetId="106" r:id="rId17"/>
    <sheet name="Ill Health" sheetId="2" r:id="rId18"/>
    <sheet name="Economic Inactivity" sheetId="25" r:id="rId19"/>
    <sheet name="Employment" sheetId="13" r:id="rId20"/>
    <sheet name="Unemployment" sheetId="16" r:id="rId21"/>
    <sheet name="Low Pay Sectors" sheetId="83" r:id="rId22"/>
    <sheet name="Gender Gap" sheetId="41" r:id="rId23"/>
    <sheet name="Earnings" sheetId="23" r:id="rId24"/>
    <sheet name="Low Earnings" sheetId="57" r:id="rId25"/>
    <sheet name="Underemployment" sheetId="46" r:id="rId26"/>
    <sheet name="SOC1 Occupations" sheetId="43" r:id="rId27"/>
    <sheet name="Satisfactory hours" sheetId="146" r:id="rId28"/>
    <sheet name="Low pay" sheetId="150" r:id="rId29"/>
    <sheet name="Zero-hour contracts" sheetId="151" r:id="rId30"/>
    <sheet name="SME Procurement" sheetId="81" r:id="rId31"/>
    <sheet name="Social Enterprises" sheetId="69" state="hidden" r:id="rId32"/>
    <sheet name="GVA" sheetId="30" r:id="rId33"/>
    <sheet name="GVA phw" sheetId="32" r:id="rId34"/>
    <sheet name="Raw - Child Poverty" sheetId="10" state="hidden" r:id="rId35"/>
    <sheet name="Raw - Childcare" sheetId="132" state="hidden" r:id="rId36"/>
    <sheet name="Raw - Children in Low Income" sheetId="140" state="hidden" r:id="rId37"/>
    <sheet name="Raw - Households on UC" sheetId="141" state="hidden" r:id="rId38"/>
    <sheet name="Raw - Child Benefit" sheetId="142" state="hidden" r:id="rId39"/>
    <sheet name="Raw - Claimant Count" sheetId="33" state="hidden" r:id="rId40"/>
    <sheet name="Raw - Workless Households" sheetId="94" state="hidden" r:id="rId41"/>
    <sheet name="Raw - SLDR" sheetId="86" state="hidden" r:id="rId42"/>
    <sheet name="Raw - Participation Rate" sheetId="143" state="hidden" r:id="rId43"/>
    <sheet name="Raw - Degree Quals" sheetId="21" state="hidden" r:id="rId44"/>
    <sheet name="Raw - No Qualifications" sheetId="3" state="hidden" r:id="rId45"/>
    <sheet name="Raw - Incapacity" sheetId="105" state="hidden" r:id="rId46"/>
    <sheet name="Raw - Ill Health" sheetId="1" state="hidden" r:id="rId47"/>
    <sheet name="Raw - Economic Inactivity" sheetId="26" state="hidden" r:id="rId48"/>
    <sheet name="Raw - Employment" sheetId="19" state="hidden" r:id="rId49"/>
    <sheet name="Raw - Unemployment" sheetId="20" state="hidden" r:id="rId50"/>
    <sheet name="Raw - Low Pay Sectors" sheetId="82" state="hidden" r:id="rId51"/>
    <sheet name="Raw - Gender Emp" sheetId="39" state="hidden" r:id="rId52"/>
    <sheet name="Raw - Earnings" sheetId="24" state="hidden" r:id="rId53"/>
    <sheet name="Raw - 20th Percentile Earnings" sheetId="56" state="hidden" r:id="rId54"/>
    <sheet name="Raw - Underemployment" sheetId="44" state="hidden" r:id="rId55"/>
    <sheet name="Raw - SOC1 Occupations" sheetId="42" state="hidden" r:id="rId56"/>
    <sheet name="Raw - Satisfactory hours" sheetId="147" state="hidden" r:id="rId57"/>
    <sheet name="Raw - Low pay" sheetId="148" state="hidden" r:id="rId58"/>
    <sheet name="Raw - Zero-hour contracts" sheetId="149" state="hidden" r:id="rId59"/>
    <sheet name="Raw - SME Procurement" sheetId="80" state="hidden" r:id="rId60"/>
    <sheet name="Raw - Social Enterprises" sheetId="70" state="hidden" r:id="rId61"/>
    <sheet name="Raw - GVA" sheetId="28" state="hidden" r:id="rId62"/>
    <sheet name="Raw - GVA phw" sheetId="31" state="hidden" r:id="rId63"/>
    <sheet name="Lookups" sheetId="8" state="hidden" r:id="rId64"/>
    <sheet name="Gap Analysis Lookup" sheetId="125" state="hidden" r:id="rId65"/>
    <sheet name="Population Data" sheetId="131" state="hidden" r:id="rId66"/>
    <sheet name="Raw - LGBF Family Groups" sheetId="123" state="hidden" r:id="rId67"/>
  </sheets>
  <externalReferences>
    <externalReference r:id="rId68"/>
    <externalReference r:id="rId69"/>
  </externalReferences>
  <definedNames>
    <definedName name="__123Graph_A" localSheetId="9" hidden="1">#REF!</definedName>
    <definedName name="__123Graph_A" localSheetId="5" hidden="1">#REF!</definedName>
    <definedName name="__123Graph_A" localSheetId="6" hidden="1">#REF!</definedName>
    <definedName name="__123Graph_A" localSheetId="7" hidden="1">#REF!</definedName>
    <definedName name="__123Graph_A" localSheetId="10" hidden="1">#REF!</definedName>
    <definedName name="__123Graph_A" localSheetId="0" hidden="1">#REF!</definedName>
    <definedName name="__123Graph_A" localSheetId="14" hidden="1">#REF!</definedName>
    <definedName name="__123Graph_A" localSheetId="23" hidden="1">#REF!</definedName>
    <definedName name="__123Graph_A" localSheetId="18" hidden="1">#REF!</definedName>
    <definedName name="__123Graph_A" localSheetId="19" hidden="1">#REF!</definedName>
    <definedName name="__123Graph_A" localSheetId="22" hidden="1">#REF!</definedName>
    <definedName name="__123Graph_A" localSheetId="32" hidden="1">#REF!</definedName>
    <definedName name="__123Graph_A" localSheetId="33" hidden="1">#REF!</definedName>
    <definedName name="__123Graph_A" localSheetId="8" hidden="1">#REF!</definedName>
    <definedName name="__123Graph_A" localSheetId="16" hidden="1">#REF!</definedName>
    <definedName name="__123Graph_A" localSheetId="24" hidden="1">#REF!</definedName>
    <definedName name="__123Graph_A" localSheetId="28" hidden="1">#REF!</definedName>
    <definedName name="__123Graph_A" localSheetId="21" hidden="1">#REF!</definedName>
    <definedName name="__123Graph_A" localSheetId="13" hidden="1">#REF!</definedName>
    <definedName name="__123Graph_A" localSheetId="34" hidden="1">#REF!</definedName>
    <definedName name="__123Graph_A" localSheetId="45" hidden="1">#REF!</definedName>
    <definedName name="__123Graph_A" localSheetId="41" hidden="1">#REF!</definedName>
    <definedName name="__123Graph_A" localSheetId="60" hidden="1">#REF!</definedName>
    <definedName name="__123Graph_A" localSheetId="27" hidden="1">#REF!</definedName>
    <definedName name="__123Graph_A" localSheetId="12" hidden="1">#REF!</definedName>
    <definedName name="__123Graph_A" localSheetId="30" hidden="1">#REF!</definedName>
    <definedName name="__123Graph_A" localSheetId="26" hidden="1">#REF!</definedName>
    <definedName name="__123Graph_A" localSheetId="31" hidden="1">#REF!</definedName>
    <definedName name="__123Graph_A" localSheetId="25" hidden="1">#REF!</definedName>
    <definedName name="__123Graph_A" localSheetId="11" hidden="1">#REF!</definedName>
    <definedName name="__123Graph_A" localSheetId="29" hidden="1">#REF!</definedName>
    <definedName name="__123Graph_A" hidden="1">#REF!</definedName>
    <definedName name="__123Graph_ABERLGRAP" localSheetId="9" hidden="1">'[1]Time series'!#REF!</definedName>
    <definedName name="__123Graph_ABERLGRAP" localSheetId="5" hidden="1">'[1]Time series'!#REF!</definedName>
    <definedName name="__123Graph_ABERLGRAP" localSheetId="6" hidden="1">'[1]Time series'!#REF!</definedName>
    <definedName name="__123Graph_ABERLGRAP" localSheetId="7" hidden="1">'[1]Time series'!#REF!</definedName>
    <definedName name="__123Graph_ABERLGRAP" localSheetId="10" hidden="1">'[1]Time series'!#REF!</definedName>
    <definedName name="__123Graph_ABERLGRAP" localSheetId="0" hidden="1">'[1]Time series'!#REF!</definedName>
    <definedName name="__123Graph_ABERLGRAP" localSheetId="14" hidden="1">'[1]Time series'!#REF!</definedName>
    <definedName name="__123Graph_ABERLGRAP" localSheetId="23" hidden="1">'[1]Time series'!#REF!</definedName>
    <definedName name="__123Graph_ABERLGRAP" localSheetId="18" hidden="1">'[1]Time series'!#REF!</definedName>
    <definedName name="__123Graph_ABERLGRAP" localSheetId="19" hidden="1">'[1]Time series'!#REF!</definedName>
    <definedName name="__123Graph_ABERLGRAP" localSheetId="22" hidden="1">'[1]Time series'!#REF!</definedName>
    <definedName name="__123Graph_ABERLGRAP" localSheetId="32" hidden="1">'[1]Time series'!#REF!</definedName>
    <definedName name="__123Graph_ABERLGRAP" localSheetId="33" hidden="1">'[1]Time series'!#REF!</definedName>
    <definedName name="__123Graph_ABERLGRAP" localSheetId="8" hidden="1">'[1]Time series'!#REF!</definedName>
    <definedName name="__123Graph_ABERLGRAP" localSheetId="16" hidden="1">'[1]Time series'!#REF!</definedName>
    <definedName name="__123Graph_ABERLGRAP" localSheetId="24" hidden="1">'[1]Time series'!#REF!</definedName>
    <definedName name="__123Graph_ABERLGRAP" localSheetId="28" hidden="1">'[1]Time series'!#REF!</definedName>
    <definedName name="__123Graph_ABERLGRAP" localSheetId="21" hidden="1">'[1]Time series'!#REF!</definedName>
    <definedName name="__123Graph_ABERLGRAP" localSheetId="13" hidden="1">'[1]Time series'!#REF!</definedName>
    <definedName name="__123Graph_ABERLGRAP" localSheetId="34" hidden="1">'[1]Time series'!#REF!</definedName>
    <definedName name="__123Graph_ABERLGRAP" localSheetId="45" hidden="1">'[1]Time series'!#REF!</definedName>
    <definedName name="__123Graph_ABERLGRAP" localSheetId="60" hidden="1">'[1]Time series'!#REF!</definedName>
    <definedName name="__123Graph_ABERLGRAP" localSheetId="27" hidden="1">'[1]Time series'!#REF!</definedName>
    <definedName name="__123Graph_ABERLGRAP" localSheetId="12" hidden="1">'[1]Time series'!#REF!</definedName>
    <definedName name="__123Graph_ABERLGRAP" localSheetId="30" hidden="1">'[1]Time series'!#REF!</definedName>
    <definedName name="__123Graph_ABERLGRAP" localSheetId="26" hidden="1">'[1]Time series'!#REF!</definedName>
    <definedName name="__123Graph_ABERLGRAP" localSheetId="31" hidden="1">'[1]Time series'!#REF!</definedName>
    <definedName name="__123Graph_ABERLGRAP" localSheetId="25" hidden="1">'[1]Time series'!#REF!</definedName>
    <definedName name="__123Graph_ABERLGRAP" localSheetId="11" hidden="1">'[1]Time series'!#REF!</definedName>
    <definedName name="__123Graph_ABERLGRAP" localSheetId="29" hidden="1">'[1]Time series'!#REF!</definedName>
    <definedName name="__123Graph_ABERLGRAP" hidden="1">'[1]Time series'!#REF!</definedName>
    <definedName name="__123Graph_ACATCH1" localSheetId="9" hidden="1">'[1]Time series'!#REF!</definedName>
    <definedName name="__123Graph_ACATCH1" localSheetId="5" hidden="1">'[1]Time series'!#REF!</definedName>
    <definedName name="__123Graph_ACATCH1" localSheetId="6" hidden="1">'[1]Time series'!#REF!</definedName>
    <definedName name="__123Graph_ACATCH1" localSheetId="7" hidden="1">'[1]Time series'!#REF!</definedName>
    <definedName name="__123Graph_ACATCH1" localSheetId="10" hidden="1">'[1]Time series'!#REF!</definedName>
    <definedName name="__123Graph_ACATCH1" localSheetId="0" hidden="1">'[1]Time series'!#REF!</definedName>
    <definedName name="__123Graph_ACATCH1" localSheetId="14" hidden="1">'[1]Time series'!#REF!</definedName>
    <definedName name="__123Graph_ACATCH1" localSheetId="23" hidden="1">'[1]Time series'!#REF!</definedName>
    <definedName name="__123Graph_ACATCH1" localSheetId="18" hidden="1">'[1]Time series'!#REF!</definedName>
    <definedName name="__123Graph_ACATCH1" localSheetId="19" hidden="1">'[1]Time series'!#REF!</definedName>
    <definedName name="__123Graph_ACATCH1" localSheetId="22" hidden="1">'[1]Time series'!#REF!</definedName>
    <definedName name="__123Graph_ACATCH1" localSheetId="32" hidden="1">'[1]Time series'!#REF!</definedName>
    <definedName name="__123Graph_ACATCH1" localSheetId="33" hidden="1">'[1]Time series'!#REF!</definedName>
    <definedName name="__123Graph_ACATCH1" localSheetId="8" hidden="1">'[1]Time series'!#REF!</definedName>
    <definedName name="__123Graph_ACATCH1" localSheetId="16" hidden="1">'[1]Time series'!#REF!</definedName>
    <definedName name="__123Graph_ACATCH1" localSheetId="24" hidden="1">'[1]Time series'!#REF!</definedName>
    <definedName name="__123Graph_ACATCH1" localSheetId="28" hidden="1">'[1]Time series'!#REF!</definedName>
    <definedName name="__123Graph_ACATCH1" localSheetId="21" hidden="1">'[1]Time series'!#REF!</definedName>
    <definedName name="__123Graph_ACATCH1" localSheetId="13" hidden="1">'[1]Time series'!#REF!</definedName>
    <definedName name="__123Graph_ACATCH1" localSheetId="34" hidden="1">'[1]Time series'!#REF!</definedName>
    <definedName name="__123Graph_ACATCH1" localSheetId="45" hidden="1">'[1]Time series'!#REF!</definedName>
    <definedName name="__123Graph_ACATCH1" localSheetId="60" hidden="1">'[1]Time series'!#REF!</definedName>
    <definedName name="__123Graph_ACATCH1" localSheetId="27" hidden="1">'[1]Time series'!#REF!</definedName>
    <definedName name="__123Graph_ACATCH1" localSheetId="12" hidden="1">'[1]Time series'!#REF!</definedName>
    <definedName name="__123Graph_ACATCH1" localSheetId="30" hidden="1">'[1]Time series'!#REF!</definedName>
    <definedName name="__123Graph_ACATCH1" localSheetId="26" hidden="1">'[1]Time series'!#REF!</definedName>
    <definedName name="__123Graph_ACATCH1" localSheetId="31" hidden="1">'[1]Time series'!#REF!</definedName>
    <definedName name="__123Graph_ACATCH1" localSheetId="25" hidden="1">'[1]Time series'!#REF!</definedName>
    <definedName name="__123Graph_ACATCH1" localSheetId="11" hidden="1">'[1]Time series'!#REF!</definedName>
    <definedName name="__123Graph_ACATCH1" localSheetId="29" hidden="1">'[1]Time series'!#REF!</definedName>
    <definedName name="__123Graph_ACATCH1" hidden="1">'[1]Time series'!#REF!</definedName>
    <definedName name="__123Graph_ACONVERG1" localSheetId="9" hidden="1">'[1]Time series'!#REF!</definedName>
    <definedName name="__123Graph_ACONVERG1" localSheetId="5" hidden="1">'[1]Time series'!#REF!</definedName>
    <definedName name="__123Graph_ACONVERG1" localSheetId="6" hidden="1">'[1]Time series'!#REF!</definedName>
    <definedName name="__123Graph_ACONVERG1" localSheetId="7" hidden="1">'[1]Time series'!#REF!</definedName>
    <definedName name="__123Graph_ACONVERG1" localSheetId="10" hidden="1">'[1]Time series'!#REF!</definedName>
    <definedName name="__123Graph_ACONVERG1" localSheetId="0" hidden="1">'[1]Time series'!#REF!</definedName>
    <definedName name="__123Graph_ACONVERG1" localSheetId="14" hidden="1">'[1]Time series'!#REF!</definedName>
    <definedName name="__123Graph_ACONVERG1" localSheetId="23" hidden="1">'[1]Time series'!#REF!</definedName>
    <definedName name="__123Graph_ACONVERG1" localSheetId="18" hidden="1">'[1]Time series'!#REF!</definedName>
    <definedName name="__123Graph_ACONVERG1" localSheetId="19" hidden="1">'[1]Time series'!#REF!</definedName>
    <definedName name="__123Graph_ACONVERG1" localSheetId="22" hidden="1">'[1]Time series'!#REF!</definedName>
    <definedName name="__123Graph_ACONVERG1" localSheetId="32" hidden="1">'[1]Time series'!#REF!</definedName>
    <definedName name="__123Graph_ACONVERG1" localSheetId="33" hidden="1">'[1]Time series'!#REF!</definedName>
    <definedName name="__123Graph_ACONVERG1" localSheetId="8" hidden="1">'[1]Time series'!#REF!</definedName>
    <definedName name="__123Graph_ACONVERG1" localSheetId="16" hidden="1">'[1]Time series'!#REF!</definedName>
    <definedName name="__123Graph_ACONVERG1" localSheetId="24" hidden="1">'[1]Time series'!#REF!</definedName>
    <definedName name="__123Graph_ACONVERG1" localSheetId="28" hidden="1">'[1]Time series'!#REF!</definedName>
    <definedName name="__123Graph_ACONVERG1" localSheetId="21" hidden="1">'[1]Time series'!#REF!</definedName>
    <definedName name="__123Graph_ACONVERG1" localSheetId="13" hidden="1">'[1]Time series'!#REF!</definedName>
    <definedName name="__123Graph_ACONVERG1" localSheetId="34" hidden="1">'[1]Time series'!#REF!</definedName>
    <definedName name="__123Graph_ACONVERG1" localSheetId="45" hidden="1">'[1]Time series'!#REF!</definedName>
    <definedName name="__123Graph_ACONVERG1" localSheetId="60" hidden="1">'[1]Time series'!#REF!</definedName>
    <definedName name="__123Graph_ACONVERG1" localSheetId="27" hidden="1">'[1]Time series'!#REF!</definedName>
    <definedName name="__123Graph_ACONVERG1" localSheetId="12" hidden="1">'[1]Time series'!#REF!</definedName>
    <definedName name="__123Graph_ACONVERG1" localSheetId="30" hidden="1">'[1]Time series'!#REF!</definedName>
    <definedName name="__123Graph_ACONVERG1" localSheetId="26" hidden="1">'[1]Time series'!#REF!</definedName>
    <definedName name="__123Graph_ACONVERG1" localSheetId="31" hidden="1">'[1]Time series'!#REF!</definedName>
    <definedName name="__123Graph_ACONVERG1" localSheetId="25" hidden="1">'[1]Time series'!#REF!</definedName>
    <definedName name="__123Graph_ACONVERG1" localSheetId="11" hidden="1">'[1]Time series'!#REF!</definedName>
    <definedName name="__123Graph_ACONVERG1" localSheetId="29" hidden="1">'[1]Time series'!#REF!</definedName>
    <definedName name="__123Graph_ACONVERG1" hidden="1">'[1]Time series'!#REF!</definedName>
    <definedName name="__123Graph_AECTOT" localSheetId="9" hidden="1">#REF!</definedName>
    <definedName name="__123Graph_AECTOT" localSheetId="5" hidden="1">#REF!</definedName>
    <definedName name="__123Graph_AECTOT" localSheetId="6" hidden="1">#REF!</definedName>
    <definedName name="__123Graph_AECTOT" localSheetId="7" hidden="1">#REF!</definedName>
    <definedName name="__123Graph_AECTOT" localSheetId="10" hidden="1">#REF!</definedName>
    <definedName name="__123Graph_AECTOT" localSheetId="0" hidden="1">#REF!</definedName>
    <definedName name="__123Graph_AECTOT" localSheetId="14" hidden="1">#REF!</definedName>
    <definedName name="__123Graph_AECTOT" localSheetId="23" hidden="1">#REF!</definedName>
    <definedName name="__123Graph_AECTOT" localSheetId="18" hidden="1">#REF!</definedName>
    <definedName name="__123Graph_AECTOT" localSheetId="19" hidden="1">#REF!</definedName>
    <definedName name="__123Graph_AECTOT" localSheetId="22" hidden="1">#REF!</definedName>
    <definedName name="__123Graph_AECTOT" localSheetId="32" hidden="1">#REF!</definedName>
    <definedName name="__123Graph_AECTOT" localSheetId="33" hidden="1">#REF!</definedName>
    <definedName name="__123Graph_AECTOT" localSheetId="8" hidden="1">#REF!</definedName>
    <definedName name="__123Graph_AECTOT" localSheetId="16" hidden="1">#REF!</definedName>
    <definedName name="__123Graph_AECTOT" localSheetId="24" hidden="1">#REF!</definedName>
    <definedName name="__123Graph_AECTOT" localSheetId="28" hidden="1">#REF!</definedName>
    <definedName name="__123Graph_AECTOT" localSheetId="21" hidden="1">#REF!</definedName>
    <definedName name="__123Graph_AECTOT" localSheetId="13" hidden="1">#REF!</definedName>
    <definedName name="__123Graph_AECTOT" localSheetId="34" hidden="1">#REF!</definedName>
    <definedName name="__123Graph_AECTOT" localSheetId="45" hidden="1">#REF!</definedName>
    <definedName name="__123Graph_AECTOT" localSheetId="41" hidden="1">#REF!</definedName>
    <definedName name="__123Graph_AECTOT" localSheetId="60" hidden="1">#REF!</definedName>
    <definedName name="__123Graph_AECTOT" localSheetId="27" hidden="1">#REF!</definedName>
    <definedName name="__123Graph_AECTOT" localSheetId="12" hidden="1">#REF!</definedName>
    <definedName name="__123Graph_AECTOT" localSheetId="30" hidden="1">#REF!</definedName>
    <definedName name="__123Graph_AECTOT" localSheetId="26" hidden="1">#REF!</definedName>
    <definedName name="__123Graph_AECTOT" localSheetId="31" hidden="1">#REF!</definedName>
    <definedName name="__123Graph_AECTOT" localSheetId="25" hidden="1">#REF!</definedName>
    <definedName name="__123Graph_AECTOT" localSheetId="11" hidden="1">#REF!</definedName>
    <definedName name="__123Graph_AECTOT" localSheetId="29" hidden="1">#REF!</definedName>
    <definedName name="__123Graph_AECTOT" hidden="1">#REF!</definedName>
    <definedName name="__123Graph_AGRAPH1" localSheetId="0" hidden="1">'[2]GDP(O)'!$C$2427:$C$2427</definedName>
    <definedName name="__123Graph_AGRAPH1" hidden="1">'[2]GDP(O)'!$C$2427:$C$2427</definedName>
    <definedName name="__123Graph_AGRAPH2" localSheetId="9" hidden="1">'[1]Time series'!#REF!</definedName>
    <definedName name="__123Graph_AGRAPH2" localSheetId="5" hidden="1">'[1]Time series'!#REF!</definedName>
    <definedName name="__123Graph_AGRAPH2" localSheetId="6" hidden="1">'[1]Time series'!#REF!</definedName>
    <definedName name="__123Graph_AGRAPH2" localSheetId="7" hidden="1">'[1]Time series'!#REF!</definedName>
    <definedName name="__123Graph_AGRAPH2" localSheetId="10" hidden="1">'[1]Time series'!#REF!</definedName>
    <definedName name="__123Graph_AGRAPH2" localSheetId="0" hidden="1">'[1]Time series'!#REF!</definedName>
    <definedName name="__123Graph_AGRAPH2" localSheetId="14" hidden="1">'[1]Time series'!#REF!</definedName>
    <definedName name="__123Graph_AGRAPH2" localSheetId="23" hidden="1">'[1]Time series'!#REF!</definedName>
    <definedName name="__123Graph_AGRAPH2" localSheetId="18" hidden="1">'[1]Time series'!#REF!</definedName>
    <definedName name="__123Graph_AGRAPH2" localSheetId="19" hidden="1">'[1]Time series'!#REF!</definedName>
    <definedName name="__123Graph_AGRAPH2" localSheetId="22" hidden="1">'[1]Time series'!#REF!</definedName>
    <definedName name="__123Graph_AGRAPH2" localSheetId="32" hidden="1">'[1]Time series'!#REF!</definedName>
    <definedName name="__123Graph_AGRAPH2" localSheetId="33" hidden="1">'[1]Time series'!#REF!</definedName>
    <definedName name="__123Graph_AGRAPH2" localSheetId="8" hidden="1">'[1]Time series'!#REF!</definedName>
    <definedName name="__123Graph_AGRAPH2" localSheetId="16" hidden="1">'[1]Time series'!#REF!</definedName>
    <definedName name="__123Graph_AGRAPH2" localSheetId="24" hidden="1">'[1]Time series'!#REF!</definedName>
    <definedName name="__123Graph_AGRAPH2" localSheetId="28" hidden="1">'[1]Time series'!#REF!</definedName>
    <definedName name="__123Graph_AGRAPH2" localSheetId="21" hidden="1">'[1]Time series'!#REF!</definedName>
    <definedName name="__123Graph_AGRAPH2" localSheetId="13" hidden="1">'[1]Time series'!#REF!</definedName>
    <definedName name="__123Graph_AGRAPH2" localSheetId="34" hidden="1">'[1]Time series'!#REF!</definedName>
    <definedName name="__123Graph_AGRAPH2" localSheetId="45" hidden="1">'[1]Time series'!#REF!</definedName>
    <definedName name="__123Graph_AGRAPH2" localSheetId="60" hidden="1">'[1]Time series'!#REF!</definedName>
    <definedName name="__123Graph_AGRAPH2" localSheetId="27" hidden="1">'[1]Time series'!#REF!</definedName>
    <definedName name="__123Graph_AGRAPH2" localSheetId="12" hidden="1">'[1]Time series'!#REF!</definedName>
    <definedName name="__123Graph_AGRAPH2" localSheetId="30" hidden="1">'[1]Time series'!#REF!</definedName>
    <definedName name="__123Graph_AGRAPH2" localSheetId="26" hidden="1">'[1]Time series'!#REF!</definedName>
    <definedName name="__123Graph_AGRAPH2" localSheetId="31" hidden="1">'[1]Time series'!#REF!</definedName>
    <definedName name="__123Graph_AGRAPH2" localSheetId="25" hidden="1">'[1]Time series'!#REF!</definedName>
    <definedName name="__123Graph_AGRAPH2" localSheetId="11" hidden="1">'[1]Time series'!#REF!</definedName>
    <definedName name="__123Graph_AGRAPH2" localSheetId="29" hidden="1">'[1]Time series'!#REF!</definedName>
    <definedName name="__123Graph_AGRAPH2" hidden="1">'[1]Time series'!#REF!</definedName>
    <definedName name="__123Graph_AGRAPH41" localSheetId="9" hidden="1">'[1]Time series'!#REF!</definedName>
    <definedName name="__123Graph_AGRAPH41" localSheetId="5" hidden="1">'[1]Time series'!#REF!</definedName>
    <definedName name="__123Graph_AGRAPH41" localSheetId="6" hidden="1">'[1]Time series'!#REF!</definedName>
    <definedName name="__123Graph_AGRAPH41" localSheetId="7" hidden="1">'[1]Time series'!#REF!</definedName>
    <definedName name="__123Graph_AGRAPH41" localSheetId="10" hidden="1">'[1]Time series'!#REF!</definedName>
    <definedName name="__123Graph_AGRAPH41" localSheetId="0" hidden="1">'[1]Time series'!#REF!</definedName>
    <definedName name="__123Graph_AGRAPH41" localSheetId="14" hidden="1">'[1]Time series'!#REF!</definedName>
    <definedName name="__123Graph_AGRAPH41" localSheetId="23" hidden="1">'[1]Time series'!#REF!</definedName>
    <definedName name="__123Graph_AGRAPH41" localSheetId="18" hidden="1">'[1]Time series'!#REF!</definedName>
    <definedName name="__123Graph_AGRAPH41" localSheetId="19" hidden="1">'[1]Time series'!#REF!</definedName>
    <definedName name="__123Graph_AGRAPH41" localSheetId="22" hidden="1">'[1]Time series'!#REF!</definedName>
    <definedName name="__123Graph_AGRAPH41" localSheetId="32" hidden="1">'[1]Time series'!#REF!</definedName>
    <definedName name="__123Graph_AGRAPH41" localSheetId="33" hidden="1">'[1]Time series'!#REF!</definedName>
    <definedName name="__123Graph_AGRAPH41" localSheetId="8" hidden="1">'[1]Time series'!#REF!</definedName>
    <definedName name="__123Graph_AGRAPH41" localSheetId="16" hidden="1">'[1]Time series'!#REF!</definedName>
    <definedName name="__123Graph_AGRAPH41" localSheetId="24" hidden="1">'[1]Time series'!#REF!</definedName>
    <definedName name="__123Graph_AGRAPH41" localSheetId="28" hidden="1">'[1]Time series'!#REF!</definedName>
    <definedName name="__123Graph_AGRAPH41" localSheetId="21" hidden="1">'[1]Time series'!#REF!</definedName>
    <definedName name="__123Graph_AGRAPH41" localSheetId="13" hidden="1">'[1]Time series'!#REF!</definedName>
    <definedName name="__123Graph_AGRAPH41" localSheetId="34" hidden="1">'[1]Time series'!#REF!</definedName>
    <definedName name="__123Graph_AGRAPH41" localSheetId="45" hidden="1">'[1]Time series'!#REF!</definedName>
    <definedName name="__123Graph_AGRAPH41" localSheetId="60" hidden="1">'[1]Time series'!#REF!</definedName>
    <definedName name="__123Graph_AGRAPH41" localSheetId="27" hidden="1">'[1]Time series'!#REF!</definedName>
    <definedName name="__123Graph_AGRAPH41" localSheetId="12" hidden="1">'[1]Time series'!#REF!</definedName>
    <definedName name="__123Graph_AGRAPH41" localSheetId="30" hidden="1">'[1]Time series'!#REF!</definedName>
    <definedName name="__123Graph_AGRAPH41" localSheetId="26" hidden="1">'[1]Time series'!#REF!</definedName>
    <definedName name="__123Graph_AGRAPH41" localSheetId="31" hidden="1">'[1]Time series'!#REF!</definedName>
    <definedName name="__123Graph_AGRAPH41" localSheetId="25" hidden="1">'[1]Time series'!#REF!</definedName>
    <definedName name="__123Graph_AGRAPH41" localSheetId="11" hidden="1">'[1]Time series'!#REF!</definedName>
    <definedName name="__123Graph_AGRAPH41" localSheetId="29" hidden="1">'[1]Time series'!#REF!</definedName>
    <definedName name="__123Graph_AGRAPH41" hidden="1">'[1]Time series'!#REF!</definedName>
    <definedName name="__123Graph_AGRAPH42" localSheetId="9" hidden="1">'[1]Time series'!#REF!</definedName>
    <definedName name="__123Graph_AGRAPH42" localSheetId="5" hidden="1">'[1]Time series'!#REF!</definedName>
    <definedName name="__123Graph_AGRAPH42" localSheetId="6" hidden="1">'[1]Time series'!#REF!</definedName>
    <definedName name="__123Graph_AGRAPH42" localSheetId="7" hidden="1">'[1]Time series'!#REF!</definedName>
    <definedName name="__123Graph_AGRAPH42" localSheetId="10" hidden="1">'[1]Time series'!#REF!</definedName>
    <definedName name="__123Graph_AGRAPH42" localSheetId="0" hidden="1">'[1]Time series'!#REF!</definedName>
    <definedName name="__123Graph_AGRAPH42" localSheetId="14" hidden="1">'[1]Time series'!#REF!</definedName>
    <definedName name="__123Graph_AGRAPH42" localSheetId="23" hidden="1">'[1]Time series'!#REF!</definedName>
    <definedName name="__123Graph_AGRAPH42" localSheetId="18" hidden="1">'[1]Time series'!#REF!</definedName>
    <definedName name="__123Graph_AGRAPH42" localSheetId="19" hidden="1">'[1]Time series'!#REF!</definedName>
    <definedName name="__123Graph_AGRAPH42" localSheetId="22" hidden="1">'[1]Time series'!#REF!</definedName>
    <definedName name="__123Graph_AGRAPH42" localSheetId="32" hidden="1">'[1]Time series'!#REF!</definedName>
    <definedName name="__123Graph_AGRAPH42" localSheetId="33" hidden="1">'[1]Time series'!#REF!</definedName>
    <definedName name="__123Graph_AGRAPH42" localSheetId="8" hidden="1">'[1]Time series'!#REF!</definedName>
    <definedName name="__123Graph_AGRAPH42" localSheetId="16" hidden="1">'[1]Time series'!#REF!</definedName>
    <definedName name="__123Graph_AGRAPH42" localSheetId="24" hidden="1">'[1]Time series'!#REF!</definedName>
    <definedName name="__123Graph_AGRAPH42" localSheetId="28" hidden="1">'[1]Time series'!#REF!</definedName>
    <definedName name="__123Graph_AGRAPH42" localSheetId="21" hidden="1">'[1]Time series'!#REF!</definedName>
    <definedName name="__123Graph_AGRAPH42" localSheetId="13" hidden="1">'[1]Time series'!#REF!</definedName>
    <definedName name="__123Graph_AGRAPH42" localSheetId="34" hidden="1">'[1]Time series'!#REF!</definedName>
    <definedName name="__123Graph_AGRAPH42" localSheetId="45" hidden="1">'[1]Time series'!#REF!</definedName>
    <definedName name="__123Graph_AGRAPH42" localSheetId="60" hidden="1">'[1]Time series'!#REF!</definedName>
    <definedName name="__123Graph_AGRAPH42" localSheetId="27" hidden="1">'[1]Time series'!#REF!</definedName>
    <definedName name="__123Graph_AGRAPH42" localSheetId="12" hidden="1">'[1]Time series'!#REF!</definedName>
    <definedName name="__123Graph_AGRAPH42" localSheetId="30" hidden="1">'[1]Time series'!#REF!</definedName>
    <definedName name="__123Graph_AGRAPH42" localSheetId="26" hidden="1">'[1]Time series'!#REF!</definedName>
    <definedName name="__123Graph_AGRAPH42" localSheetId="31" hidden="1">'[1]Time series'!#REF!</definedName>
    <definedName name="__123Graph_AGRAPH42" localSheetId="25" hidden="1">'[1]Time series'!#REF!</definedName>
    <definedName name="__123Graph_AGRAPH42" localSheetId="11" hidden="1">'[1]Time series'!#REF!</definedName>
    <definedName name="__123Graph_AGRAPH42" localSheetId="29" hidden="1">'[1]Time series'!#REF!</definedName>
    <definedName name="__123Graph_AGRAPH42" hidden="1">'[1]Time series'!#REF!</definedName>
    <definedName name="__123Graph_AGRAPH44" localSheetId="9" hidden="1">'[1]Time series'!#REF!</definedName>
    <definedName name="__123Graph_AGRAPH44" localSheetId="5" hidden="1">'[1]Time series'!#REF!</definedName>
    <definedName name="__123Graph_AGRAPH44" localSheetId="6" hidden="1">'[1]Time series'!#REF!</definedName>
    <definedName name="__123Graph_AGRAPH44" localSheetId="7" hidden="1">'[1]Time series'!#REF!</definedName>
    <definedName name="__123Graph_AGRAPH44" localSheetId="10" hidden="1">'[1]Time series'!#REF!</definedName>
    <definedName name="__123Graph_AGRAPH44" localSheetId="0" hidden="1">'[1]Time series'!#REF!</definedName>
    <definedName name="__123Graph_AGRAPH44" localSheetId="14" hidden="1">'[1]Time series'!#REF!</definedName>
    <definedName name="__123Graph_AGRAPH44" localSheetId="23" hidden="1">'[1]Time series'!#REF!</definedName>
    <definedName name="__123Graph_AGRAPH44" localSheetId="18" hidden="1">'[1]Time series'!#REF!</definedName>
    <definedName name="__123Graph_AGRAPH44" localSheetId="19" hidden="1">'[1]Time series'!#REF!</definedName>
    <definedName name="__123Graph_AGRAPH44" localSheetId="22" hidden="1">'[1]Time series'!#REF!</definedName>
    <definedName name="__123Graph_AGRAPH44" localSheetId="32" hidden="1">'[1]Time series'!#REF!</definedName>
    <definedName name="__123Graph_AGRAPH44" localSheetId="33" hidden="1">'[1]Time series'!#REF!</definedName>
    <definedName name="__123Graph_AGRAPH44" localSheetId="8" hidden="1">'[1]Time series'!#REF!</definedName>
    <definedName name="__123Graph_AGRAPH44" localSheetId="16" hidden="1">'[1]Time series'!#REF!</definedName>
    <definedName name="__123Graph_AGRAPH44" localSheetId="24" hidden="1">'[1]Time series'!#REF!</definedName>
    <definedName name="__123Graph_AGRAPH44" localSheetId="28" hidden="1">'[1]Time series'!#REF!</definedName>
    <definedName name="__123Graph_AGRAPH44" localSheetId="21" hidden="1">'[1]Time series'!#REF!</definedName>
    <definedName name="__123Graph_AGRAPH44" localSheetId="13" hidden="1">'[1]Time series'!#REF!</definedName>
    <definedName name="__123Graph_AGRAPH44" localSheetId="34" hidden="1">'[1]Time series'!#REF!</definedName>
    <definedName name="__123Graph_AGRAPH44" localSheetId="45" hidden="1">'[1]Time series'!#REF!</definedName>
    <definedName name="__123Graph_AGRAPH44" localSheetId="60" hidden="1">'[1]Time series'!#REF!</definedName>
    <definedName name="__123Graph_AGRAPH44" localSheetId="27" hidden="1">'[1]Time series'!#REF!</definedName>
    <definedName name="__123Graph_AGRAPH44" localSheetId="12" hidden="1">'[1]Time series'!#REF!</definedName>
    <definedName name="__123Graph_AGRAPH44" localSheetId="30" hidden="1">'[1]Time series'!#REF!</definedName>
    <definedName name="__123Graph_AGRAPH44" localSheetId="26" hidden="1">'[1]Time series'!#REF!</definedName>
    <definedName name="__123Graph_AGRAPH44" localSheetId="31" hidden="1">'[1]Time series'!#REF!</definedName>
    <definedName name="__123Graph_AGRAPH44" localSheetId="25" hidden="1">'[1]Time series'!#REF!</definedName>
    <definedName name="__123Graph_AGRAPH44" localSheetId="11" hidden="1">'[1]Time series'!#REF!</definedName>
    <definedName name="__123Graph_AGRAPH44" localSheetId="29" hidden="1">'[1]Time series'!#REF!</definedName>
    <definedName name="__123Graph_AGRAPH44" hidden="1">'[1]Time series'!#REF!</definedName>
    <definedName name="__123Graph_APERIB" localSheetId="9" hidden="1">'[1]Time series'!#REF!</definedName>
    <definedName name="__123Graph_APERIB" localSheetId="5" hidden="1">'[1]Time series'!#REF!</definedName>
    <definedName name="__123Graph_APERIB" localSheetId="6" hidden="1">'[1]Time series'!#REF!</definedName>
    <definedName name="__123Graph_APERIB" localSheetId="7" hidden="1">'[1]Time series'!#REF!</definedName>
    <definedName name="__123Graph_APERIB" localSheetId="10" hidden="1">'[1]Time series'!#REF!</definedName>
    <definedName name="__123Graph_APERIB" localSheetId="0" hidden="1">'[1]Time series'!#REF!</definedName>
    <definedName name="__123Graph_APERIB" localSheetId="14" hidden="1">'[1]Time series'!#REF!</definedName>
    <definedName name="__123Graph_APERIB" localSheetId="23" hidden="1">'[1]Time series'!#REF!</definedName>
    <definedName name="__123Graph_APERIB" localSheetId="18" hidden="1">'[1]Time series'!#REF!</definedName>
    <definedName name="__123Graph_APERIB" localSheetId="19" hidden="1">'[1]Time series'!#REF!</definedName>
    <definedName name="__123Graph_APERIB" localSheetId="22" hidden="1">'[1]Time series'!#REF!</definedName>
    <definedName name="__123Graph_APERIB" localSheetId="32" hidden="1">'[1]Time series'!#REF!</definedName>
    <definedName name="__123Graph_APERIB" localSheetId="33" hidden="1">'[1]Time series'!#REF!</definedName>
    <definedName name="__123Graph_APERIB" localSheetId="8" hidden="1">'[1]Time series'!#REF!</definedName>
    <definedName name="__123Graph_APERIB" localSheetId="16" hidden="1">'[1]Time series'!#REF!</definedName>
    <definedName name="__123Graph_APERIB" localSheetId="24" hidden="1">'[1]Time series'!#REF!</definedName>
    <definedName name="__123Graph_APERIB" localSheetId="28" hidden="1">'[1]Time series'!#REF!</definedName>
    <definedName name="__123Graph_APERIB" localSheetId="21" hidden="1">'[1]Time series'!#REF!</definedName>
    <definedName name="__123Graph_APERIB" localSheetId="13" hidden="1">'[1]Time series'!#REF!</definedName>
    <definedName name="__123Graph_APERIB" localSheetId="34" hidden="1">'[1]Time series'!#REF!</definedName>
    <definedName name="__123Graph_APERIB" localSheetId="45" hidden="1">'[1]Time series'!#REF!</definedName>
    <definedName name="__123Graph_APERIB" localSheetId="60" hidden="1">'[1]Time series'!#REF!</definedName>
    <definedName name="__123Graph_APERIB" localSheetId="27" hidden="1">'[1]Time series'!#REF!</definedName>
    <definedName name="__123Graph_APERIB" localSheetId="12" hidden="1">'[1]Time series'!#REF!</definedName>
    <definedName name="__123Graph_APERIB" localSheetId="30" hidden="1">'[1]Time series'!#REF!</definedName>
    <definedName name="__123Graph_APERIB" localSheetId="26" hidden="1">'[1]Time series'!#REF!</definedName>
    <definedName name="__123Graph_APERIB" localSheetId="31" hidden="1">'[1]Time series'!#REF!</definedName>
    <definedName name="__123Graph_APERIB" localSheetId="25" hidden="1">'[1]Time series'!#REF!</definedName>
    <definedName name="__123Graph_APERIB" localSheetId="11" hidden="1">'[1]Time series'!#REF!</definedName>
    <definedName name="__123Graph_APERIB" localSheetId="29" hidden="1">'[1]Time series'!#REF!</definedName>
    <definedName name="__123Graph_APERIB" hidden="1">'[1]Time series'!#REF!</definedName>
    <definedName name="__123Graph_APRODABSC" localSheetId="9" hidden="1">'[1]Time series'!#REF!</definedName>
    <definedName name="__123Graph_APRODABSC" localSheetId="5" hidden="1">'[1]Time series'!#REF!</definedName>
    <definedName name="__123Graph_APRODABSC" localSheetId="6" hidden="1">'[1]Time series'!#REF!</definedName>
    <definedName name="__123Graph_APRODABSC" localSheetId="7" hidden="1">'[1]Time series'!#REF!</definedName>
    <definedName name="__123Graph_APRODABSC" localSheetId="10" hidden="1">'[1]Time series'!#REF!</definedName>
    <definedName name="__123Graph_APRODABSC" localSheetId="0" hidden="1">'[1]Time series'!#REF!</definedName>
    <definedName name="__123Graph_APRODABSC" localSheetId="14" hidden="1">'[1]Time series'!#REF!</definedName>
    <definedName name="__123Graph_APRODABSC" localSheetId="23" hidden="1">'[1]Time series'!#REF!</definedName>
    <definedName name="__123Graph_APRODABSC" localSheetId="18" hidden="1">'[1]Time series'!#REF!</definedName>
    <definedName name="__123Graph_APRODABSC" localSheetId="19" hidden="1">'[1]Time series'!#REF!</definedName>
    <definedName name="__123Graph_APRODABSC" localSheetId="22" hidden="1">'[1]Time series'!#REF!</definedName>
    <definedName name="__123Graph_APRODABSC" localSheetId="32" hidden="1">'[1]Time series'!#REF!</definedName>
    <definedName name="__123Graph_APRODABSC" localSheetId="33" hidden="1">'[1]Time series'!#REF!</definedName>
    <definedName name="__123Graph_APRODABSC" localSheetId="8" hidden="1">'[1]Time series'!#REF!</definedName>
    <definedName name="__123Graph_APRODABSC" localSheetId="16" hidden="1">'[1]Time series'!#REF!</definedName>
    <definedName name="__123Graph_APRODABSC" localSheetId="24" hidden="1">'[1]Time series'!#REF!</definedName>
    <definedName name="__123Graph_APRODABSC" localSheetId="28" hidden="1">'[1]Time series'!#REF!</definedName>
    <definedName name="__123Graph_APRODABSC" localSheetId="21" hidden="1">'[1]Time series'!#REF!</definedName>
    <definedName name="__123Graph_APRODABSC" localSheetId="13" hidden="1">'[1]Time series'!#REF!</definedName>
    <definedName name="__123Graph_APRODABSC" localSheetId="34" hidden="1">'[1]Time series'!#REF!</definedName>
    <definedName name="__123Graph_APRODABSC" localSheetId="45" hidden="1">'[1]Time series'!#REF!</definedName>
    <definedName name="__123Graph_APRODABSC" localSheetId="60" hidden="1">'[1]Time series'!#REF!</definedName>
    <definedName name="__123Graph_APRODABSC" localSheetId="27" hidden="1">'[1]Time series'!#REF!</definedName>
    <definedName name="__123Graph_APRODABSC" localSheetId="12" hidden="1">'[1]Time series'!#REF!</definedName>
    <definedName name="__123Graph_APRODABSC" localSheetId="30" hidden="1">'[1]Time series'!#REF!</definedName>
    <definedName name="__123Graph_APRODABSC" localSheetId="26" hidden="1">'[1]Time series'!#REF!</definedName>
    <definedName name="__123Graph_APRODABSC" localSheetId="31" hidden="1">'[1]Time series'!#REF!</definedName>
    <definedName name="__123Graph_APRODABSC" localSheetId="25" hidden="1">'[1]Time series'!#REF!</definedName>
    <definedName name="__123Graph_APRODABSC" localSheetId="11" hidden="1">'[1]Time series'!#REF!</definedName>
    <definedName name="__123Graph_APRODABSC" localSheetId="29" hidden="1">'[1]Time series'!#REF!</definedName>
    <definedName name="__123Graph_APRODABSC" hidden="1">'[1]Time series'!#REF!</definedName>
    <definedName name="__123Graph_APRODABSD" localSheetId="9" hidden="1">'[1]Time series'!#REF!</definedName>
    <definedName name="__123Graph_APRODABSD" localSheetId="5" hidden="1">'[1]Time series'!#REF!</definedName>
    <definedName name="__123Graph_APRODABSD" localSheetId="6" hidden="1">'[1]Time series'!#REF!</definedName>
    <definedName name="__123Graph_APRODABSD" localSheetId="7" hidden="1">'[1]Time series'!#REF!</definedName>
    <definedName name="__123Graph_APRODABSD" localSheetId="10" hidden="1">'[1]Time series'!#REF!</definedName>
    <definedName name="__123Graph_APRODABSD" localSheetId="0" hidden="1">'[1]Time series'!#REF!</definedName>
    <definedName name="__123Graph_APRODABSD" localSheetId="14" hidden="1">'[1]Time series'!#REF!</definedName>
    <definedName name="__123Graph_APRODABSD" localSheetId="23" hidden="1">'[1]Time series'!#REF!</definedName>
    <definedName name="__123Graph_APRODABSD" localSheetId="18" hidden="1">'[1]Time series'!#REF!</definedName>
    <definedName name="__123Graph_APRODABSD" localSheetId="19" hidden="1">'[1]Time series'!#REF!</definedName>
    <definedName name="__123Graph_APRODABSD" localSheetId="22" hidden="1">'[1]Time series'!#REF!</definedName>
    <definedName name="__123Graph_APRODABSD" localSheetId="32" hidden="1">'[1]Time series'!#REF!</definedName>
    <definedName name="__123Graph_APRODABSD" localSheetId="33" hidden="1">'[1]Time series'!#REF!</definedName>
    <definedName name="__123Graph_APRODABSD" localSheetId="8" hidden="1">'[1]Time series'!#REF!</definedName>
    <definedName name="__123Graph_APRODABSD" localSheetId="16" hidden="1">'[1]Time series'!#REF!</definedName>
    <definedName name="__123Graph_APRODABSD" localSheetId="24" hidden="1">'[1]Time series'!#REF!</definedName>
    <definedName name="__123Graph_APRODABSD" localSheetId="28" hidden="1">'[1]Time series'!#REF!</definedName>
    <definedName name="__123Graph_APRODABSD" localSheetId="21" hidden="1">'[1]Time series'!#REF!</definedName>
    <definedName name="__123Graph_APRODABSD" localSheetId="13" hidden="1">'[1]Time series'!#REF!</definedName>
    <definedName name="__123Graph_APRODABSD" localSheetId="34" hidden="1">'[1]Time series'!#REF!</definedName>
    <definedName name="__123Graph_APRODABSD" localSheetId="45" hidden="1">'[1]Time series'!#REF!</definedName>
    <definedName name="__123Graph_APRODABSD" localSheetId="60" hidden="1">'[1]Time series'!#REF!</definedName>
    <definedName name="__123Graph_APRODABSD" localSheetId="27" hidden="1">'[1]Time series'!#REF!</definedName>
    <definedName name="__123Graph_APRODABSD" localSheetId="12" hidden="1">'[1]Time series'!#REF!</definedName>
    <definedName name="__123Graph_APRODABSD" localSheetId="30" hidden="1">'[1]Time series'!#REF!</definedName>
    <definedName name="__123Graph_APRODABSD" localSheetId="26" hidden="1">'[1]Time series'!#REF!</definedName>
    <definedName name="__123Graph_APRODABSD" localSheetId="31" hidden="1">'[1]Time series'!#REF!</definedName>
    <definedName name="__123Graph_APRODABSD" localSheetId="25" hidden="1">'[1]Time series'!#REF!</definedName>
    <definedName name="__123Graph_APRODABSD" localSheetId="11" hidden="1">'[1]Time series'!#REF!</definedName>
    <definedName name="__123Graph_APRODABSD" localSheetId="29" hidden="1">'[1]Time series'!#REF!</definedName>
    <definedName name="__123Graph_APRODABSD" hidden="1">'[1]Time series'!#REF!</definedName>
    <definedName name="__123Graph_APRODTRE2" localSheetId="9" hidden="1">'[1]Time series'!#REF!</definedName>
    <definedName name="__123Graph_APRODTRE2" localSheetId="5" hidden="1">'[1]Time series'!#REF!</definedName>
    <definedName name="__123Graph_APRODTRE2" localSheetId="6" hidden="1">'[1]Time series'!#REF!</definedName>
    <definedName name="__123Graph_APRODTRE2" localSheetId="7" hidden="1">'[1]Time series'!#REF!</definedName>
    <definedName name="__123Graph_APRODTRE2" localSheetId="10" hidden="1">'[1]Time series'!#REF!</definedName>
    <definedName name="__123Graph_APRODTRE2" localSheetId="0" hidden="1">'[1]Time series'!#REF!</definedName>
    <definedName name="__123Graph_APRODTRE2" localSheetId="14" hidden="1">'[1]Time series'!#REF!</definedName>
    <definedName name="__123Graph_APRODTRE2" localSheetId="23" hidden="1">'[1]Time series'!#REF!</definedName>
    <definedName name="__123Graph_APRODTRE2" localSheetId="18" hidden="1">'[1]Time series'!#REF!</definedName>
    <definedName name="__123Graph_APRODTRE2" localSheetId="19" hidden="1">'[1]Time series'!#REF!</definedName>
    <definedName name="__123Graph_APRODTRE2" localSheetId="22" hidden="1">'[1]Time series'!#REF!</definedName>
    <definedName name="__123Graph_APRODTRE2" localSheetId="32" hidden="1">'[1]Time series'!#REF!</definedName>
    <definedName name="__123Graph_APRODTRE2" localSheetId="33" hidden="1">'[1]Time series'!#REF!</definedName>
    <definedName name="__123Graph_APRODTRE2" localSheetId="8" hidden="1">'[1]Time series'!#REF!</definedName>
    <definedName name="__123Graph_APRODTRE2" localSheetId="16" hidden="1">'[1]Time series'!#REF!</definedName>
    <definedName name="__123Graph_APRODTRE2" localSheetId="24" hidden="1">'[1]Time series'!#REF!</definedName>
    <definedName name="__123Graph_APRODTRE2" localSheetId="28" hidden="1">'[1]Time series'!#REF!</definedName>
    <definedName name="__123Graph_APRODTRE2" localSheetId="21" hidden="1">'[1]Time series'!#REF!</definedName>
    <definedName name="__123Graph_APRODTRE2" localSheetId="13" hidden="1">'[1]Time series'!#REF!</definedName>
    <definedName name="__123Graph_APRODTRE2" localSheetId="34" hidden="1">'[1]Time series'!#REF!</definedName>
    <definedName name="__123Graph_APRODTRE2" localSheetId="45" hidden="1">'[1]Time series'!#REF!</definedName>
    <definedName name="__123Graph_APRODTRE2" localSheetId="60" hidden="1">'[1]Time series'!#REF!</definedName>
    <definedName name="__123Graph_APRODTRE2" localSheetId="27" hidden="1">'[1]Time series'!#REF!</definedName>
    <definedName name="__123Graph_APRODTRE2" localSheetId="12" hidden="1">'[1]Time series'!#REF!</definedName>
    <definedName name="__123Graph_APRODTRE2" localSheetId="30" hidden="1">'[1]Time series'!#REF!</definedName>
    <definedName name="__123Graph_APRODTRE2" localSheetId="26" hidden="1">'[1]Time series'!#REF!</definedName>
    <definedName name="__123Graph_APRODTRE2" localSheetId="31" hidden="1">'[1]Time series'!#REF!</definedName>
    <definedName name="__123Graph_APRODTRE2" localSheetId="25" hidden="1">'[1]Time series'!#REF!</definedName>
    <definedName name="__123Graph_APRODTRE2" localSheetId="11" hidden="1">'[1]Time series'!#REF!</definedName>
    <definedName name="__123Graph_APRODTRE2" localSheetId="29" hidden="1">'[1]Time series'!#REF!</definedName>
    <definedName name="__123Graph_APRODTRE2" hidden="1">'[1]Time series'!#REF!</definedName>
    <definedName name="__123Graph_APRODTRE3" localSheetId="9" hidden="1">'[1]Time series'!#REF!</definedName>
    <definedName name="__123Graph_APRODTRE3" localSheetId="5" hidden="1">'[1]Time series'!#REF!</definedName>
    <definedName name="__123Graph_APRODTRE3" localSheetId="6" hidden="1">'[1]Time series'!#REF!</definedName>
    <definedName name="__123Graph_APRODTRE3" localSheetId="7" hidden="1">'[1]Time series'!#REF!</definedName>
    <definedName name="__123Graph_APRODTRE3" localSheetId="10" hidden="1">'[1]Time series'!#REF!</definedName>
    <definedName name="__123Graph_APRODTRE3" localSheetId="0" hidden="1">'[1]Time series'!#REF!</definedName>
    <definedName name="__123Graph_APRODTRE3" localSheetId="14" hidden="1">'[1]Time series'!#REF!</definedName>
    <definedName name="__123Graph_APRODTRE3" localSheetId="23" hidden="1">'[1]Time series'!#REF!</definedName>
    <definedName name="__123Graph_APRODTRE3" localSheetId="18" hidden="1">'[1]Time series'!#REF!</definedName>
    <definedName name="__123Graph_APRODTRE3" localSheetId="19" hidden="1">'[1]Time series'!#REF!</definedName>
    <definedName name="__123Graph_APRODTRE3" localSheetId="22" hidden="1">'[1]Time series'!#REF!</definedName>
    <definedName name="__123Graph_APRODTRE3" localSheetId="32" hidden="1">'[1]Time series'!#REF!</definedName>
    <definedName name="__123Graph_APRODTRE3" localSheetId="33" hidden="1">'[1]Time series'!#REF!</definedName>
    <definedName name="__123Graph_APRODTRE3" localSheetId="8" hidden="1">'[1]Time series'!#REF!</definedName>
    <definedName name="__123Graph_APRODTRE3" localSheetId="16" hidden="1">'[1]Time series'!#REF!</definedName>
    <definedName name="__123Graph_APRODTRE3" localSheetId="24" hidden="1">'[1]Time series'!#REF!</definedName>
    <definedName name="__123Graph_APRODTRE3" localSheetId="28" hidden="1">'[1]Time series'!#REF!</definedName>
    <definedName name="__123Graph_APRODTRE3" localSheetId="21" hidden="1">'[1]Time series'!#REF!</definedName>
    <definedName name="__123Graph_APRODTRE3" localSheetId="13" hidden="1">'[1]Time series'!#REF!</definedName>
    <definedName name="__123Graph_APRODTRE3" localSheetId="34" hidden="1">'[1]Time series'!#REF!</definedName>
    <definedName name="__123Graph_APRODTRE3" localSheetId="45" hidden="1">'[1]Time series'!#REF!</definedName>
    <definedName name="__123Graph_APRODTRE3" localSheetId="60" hidden="1">'[1]Time series'!#REF!</definedName>
    <definedName name="__123Graph_APRODTRE3" localSheetId="27" hidden="1">'[1]Time series'!#REF!</definedName>
    <definedName name="__123Graph_APRODTRE3" localSheetId="12" hidden="1">'[1]Time series'!#REF!</definedName>
    <definedName name="__123Graph_APRODTRE3" localSheetId="30" hidden="1">'[1]Time series'!#REF!</definedName>
    <definedName name="__123Graph_APRODTRE3" localSheetId="26" hidden="1">'[1]Time series'!#REF!</definedName>
    <definedName name="__123Graph_APRODTRE3" localSheetId="31" hidden="1">'[1]Time series'!#REF!</definedName>
    <definedName name="__123Graph_APRODTRE3" localSheetId="25" hidden="1">'[1]Time series'!#REF!</definedName>
    <definedName name="__123Graph_APRODTRE3" localSheetId="11" hidden="1">'[1]Time series'!#REF!</definedName>
    <definedName name="__123Graph_APRODTRE3" localSheetId="29" hidden="1">'[1]Time series'!#REF!</definedName>
    <definedName name="__123Graph_APRODTRE3" hidden="1">'[1]Time series'!#REF!</definedName>
    <definedName name="__123Graph_APRODTRE4" localSheetId="9" hidden="1">'[1]Time series'!#REF!</definedName>
    <definedName name="__123Graph_APRODTRE4" localSheetId="5" hidden="1">'[1]Time series'!#REF!</definedName>
    <definedName name="__123Graph_APRODTRE4" localSheetId="6" hidden="1">'[1]Time series'!#REF!</definedName>
    <definedName name="__123Graph_APRODTRE4" localSheetId="7" hidden="1">'[1]Time series'!#REF!</definedName>
    <definedName name="__123Graph_APRODTRE4" localSheetId="10" hidden="1">'[1]Time series'!#REF!</definedName>
    <definedName name="__123Graph_APRODTRE4" localSheetId="0" hidden="1">'[1]Time series'!#REF!</definedName>
    <definedName name="__123Graph_APRODTRE4" localSheetId="14" hidden="1">'[1]Time series'!#REF!</definedName>
    <definedName name="__123Graph_APRODTRE4" localSheetId="23" hidden="1">'[1]Time series'!#REF!</definedName>
    <definedName name="__123Graph_APRODTRE4" localSheetId="18" hidden="1">'[1]Time series'!#REF!</definedName>
    <definedName name="__123Graph_APRODTRE4" localSheetId="19" hidden="1">'[1]Time series'!#REF!</definedName>
    <definedName name="__123Graph_APRODTRE4" localSheetId="22" hidden="1">'[1]Time series'!#REF!</definedName>
    <definedName name="__123Graph_APRODTRE4" localSheetId="32" hidden="1">'[1]Time series'!#REF!</definedName>
    <definedName name="__123Graph_APRODTRE4" localSheetId="33" hidden="1">'[1]Time series'!#REF!</definedName>
    <definedName name="__123Graph_APRODTRE4" localSheetId="8" hidden="1">'[1]Time series'!#REF!</definedName>
    <definedName name="__123Graph_APRODTRE4" localSheetId="16" hidden="1">'[1]Time series'!#REF!</definedName>
    <definedName name="__123Graph_APRODTRE4" localSheetId="24" hidden="1">'[1]Time series'!#REF!</definedName>
    <definedName name="__123Graph_APRODTRE4" localSheetId="28" hidden="1">'[1]Time series'!#REF!</definedName>
    <definedName name="__123Graph_APRODTRE4" localSheetId="21" hidden="1">'[1]Time series'!#REF!</definedName>
    <definedName name="__123Graph_APRODTRE4" localSheetId="13" hidden="1">'[1]Time series'!#REF!</definedName>
    <definedName name="__123Graph_APRODTRE4" localSheetId="34" hidden="1">'[1]Time series'!#REF!</definedName>
    <definedName name="__123Graph_APRODTRE4" localSheetId="45" hidden="1">'[1]Time series'!#REF!</definedName>
    <definedName name="__123Graph_APRODTRE4" localSheetId="60" hidden="1">'[1]Time series'!#REF!</definedName>
    <definedName name="__123Graph_APRODTRE4" localSheetId="27" hidden="1">'[1]Time series'!#REF!</definedName>
    <definedName name="__123Graph_APRODTRE4" localSheetId="12" hidden="1">'[1]Time series'!#REF!</definedName>
    <definedName name="__123Graph_APRODTRE4" localSheetId="30" hidden="1">'[1]Time series'!#REF!</definedName>
    <definedName name="__123Graph_APRODTRE4" localSheetId="26" hidden="1">'[1]Time series'!#REF!</definedName>
    <definedName name="__123Graph_APRODTRE4" localSheetId="31" hidden="1">'[1]Time series'!#REF!</definedName>
    <definedName name="__123Graph_APRODTRE4" localSheetId="25" hidden="1">'[1]Time series'!#REF!</definedName>
    <definedName name="__123Graph_APRODTRE4" localSheetId="11" hidden="1">'[1]Time series'!#REF!</definedName>
    <definedName name="__123Graph_APRODTRE4" localSheetId="29" hidden="1">'[1]Time series'!#REF!</definedName>
    <definedName name="__123Graph_APRODTRE4" hidden="1">'[1]Time series'!#REF!</definedName>
    <definedName name="__123Graph_APRODTREND" localSheetId="9" hidden="1">'[1]Time series'!#REF!</definedName>
    <definedName name="__123Graph_APRODTREND" localSheetId="5" hidden="1">'[1]Time series'!#REF!</definedName>
    <definedName name="__123Graph_APRODTREND" localSheetId="6" hidden="1">'[1]Time series'!#REF!</definedName>
    <definedName name="__123Graph_APRODTREND" localSheetId="7" hidden="1">'[1]Time series'!#REF!</definedName>
    <definedName name="__123Graph_APRODTREND" localSheetId="10" hidden="1">'[1]Time series'!#REF!</definedName>
    <definedName name="__123Graph_APRODTREND" localSheetId="0" hidden="1">'[1]Time series'!#REF!</definedName>
    <definedName name="__123Graph_APRODTREND" localSheetId="14" hidden="1">'[1]Time series'!#REF!</definedName>
    <definedName name="__123Graph_APRODTREND" localSheetId="23" hidden="1">'[1]Time series'!#REF!</definedName>
    <definedName name="__123Graph_APRODTREND" localSheetId="18" hidden="1">'[1]Time series'!#REF!</definedName>
    <definedName name="__123Graph_APRODTREND" localSheetId="19" hidden="1">'[1]Time series'!#REF!</definedName>
    <definedName name="__123Graph_APRODTREND" localSheetId="22" hidden="1">'[1]Time series'!#REF!</definedName>
    <definedName name="__123Graph_APRODTREND" localSheetId="32" hidden="1">'[1]Time series'!#REF!</definedName>
    <definedName name="__123Graph_APRODTREND" localSheetId="33" hidden="1">'[1]Time series'!#REF!</definedName>
    <definedName name="__123Graph_APRODTREND" localSheetId="8" hidden="1">'[1]Time series'!#REF!</definedName>
    <definedName name="__123Graph_APRODTREND" localSheetId="16" hidden="1">'[1]Time series'!#REF!</definedName>
    <definedName name="__123Graph_APRODTREND" localSheetId="24" hidden="1">'[1]Time series'!#REF!</definedName>
    <definedName name="__123Graph_APRODTREND" localSheetId="28" hidden="1">'[1]Time series'!#REF!</definedName>
    <definedName name="__123Graph_APRODTREND" localSheetId="21" hidden="1">'[1]Time series'!#REF!</definedName>
    <definedName name="__123Graph_APRODTREND" localSheetId="13" hidden="1">'[1]Time series'!#REF!</definedName>
    <definedName name="__123Graph_APRODTREND" localSheetId="34" hidden="1">'[1]Time series'!#REF!</definedName>
    <definedName name="__123Graph_APRODTREND" localSheetId="45" hidden="1">'[1]Time series'!#REF!</definedName>
    <definedName name="__123Graph_APRODTREND" localSheetId="60" hidden="1">'[1]Time series'!#REF!</definedName>
    <definedName name="__123Graph_APRODTREND" localSheetId="27" hidden="1">'[1]Time series'!#REF!</definedName>
    <definedName name="__123Graph_APRODTREND" localSheetId="12" hidden="1">'[1]Time series'!#REF!</definedName>
    <definedName name="__123Graph_APRODTREND" localSheetId="30" hidden="1">'[1]Time series'!#REF!</definedName>
    <definedName name="__123Graph_APRODTREND" localSheetId="26" hidden="1">'[1]Time series'!#REF!</definedName>
    <definedName name="__123Graph_APRODTREND" localSheetId="31" hidden="1">'[1]Time series'!#REF!</definedName>
    <definedName name="__123Graph_APRODTREND" localSheetId="25" hidden="1">'[1]Time series'!#REF!</definedName>
    <definedName name="__123Graph_APRODTREND" localSheetId="11" hidden="1">'[1]Time series'!#REF!</definedName>
    <definedName name="__123Graph_APRODTREND" localSheetId="29" hidden="1">'[1]Time series'!#REF!</definedName>
    <definedName name="__123Graph_APRODTREND" hidden="1">'[1]Time series'!#REF!</definedName>
    <definedName name="__123Graph_AUTRECHT" localSheetId="9" hidden="1">'[1]Time series'!#REF!</definedName>
    <definedName name="__123Graph_AUTRECHT" localSheetId="5" hidden="1">'[1]Time series'!#REF!</definedName>
    <definedName name="__123Graph_AUTRECHT" localSheetId="6" hidden="1">'[1]Time series'!#REF!</definedName>
    <definedName name="__123Graph_AUTRECHT" localSheetId="7" hidden="1">'[1]Time series'!#REF!</definedName>
    <definedName name="__123Graph_AUTRECHT" localSheetId="10" hidden="1">'[1]Time series'!#REF!</definedName>
    <definedName name="__123Graph_AUTRECHT" localSheetId="0" hidden="1">'[1]Time series'!#REF!</definedName>
    <definedName name="__123Graph_AUTRECHT" localSheetId="14" hidden="1">'[1]Time series'!#REF!</definedName>
    <definedName name="__123Graph_AUTRECHT" localSheetId="23" hidden="1">'[1]Time series'!#REF!</definedName>
    <definedName name="__123Graph_AUTRECHT" localSheetId="18" hidden="1">'[1]Time series'!#REF!</definedName>
    <definedName name="__123Graph_AUTRECHT" localSheetId="19" hidden="1">'[1]Time series'!#REF!</definedName>
    <definedName name="__123Graph_AUTRECHT" localSheetId="22" hidden="1">'[1]Time series'!#REF!</definedName>
    <definedName name="__123Graph_AUTRECHT" localSheetId="32" hidden="1">'[1]Time series'!#REF!</definedName>
    <definedName name="__123Graph_AUTRECHT" localSheetId="33" hidden="1">'[1]Time series'!#REF!</definedName>
    <definedName name="__123Graph_AUTRECHT" localSheetId="8" hidden="1">'[1]Time series'!#REF!</definedName>
    <definedName name="__123Graph_AUTRECHT" localSheetId="16" hidden="1">'[1]Time series'!#REF!</definedName>
    <definedName name="__123Graph_AUTRECHT" localSheetId="24" hidden="1">'[1]Time series'!#REF!</definedName>
    <definedName name="__123Graph_AUTRECHT" localSheetId="28" hidden="1">'[1]Time series'!#REF!</definedName>
    <definedName name="__123Graph_AUTRECHT" localSheetId="21" hidden="1">'[1]Time series'!#REF!</definedName>
    <definedName name="__123Graph_AUTRECHT" localSheetId="13" hidden="1">'[1]Time series'!#REF!</definedName>
    <definedName name="__123Graph_AUTRECHT" localSheetId="34" hidden="1">'[1]Time series'!#REF!</definedName>
    <definedName name="__123Graph_AUTRECHT" localSheetId="45" hidden="1">'[1]Time series'!#REF!</definedName>
    <definedName name="__123Graph_AUTRECHT" localSheetId="60" hidden="1">'[1]Time series'!#REF!</definedName>
    <definedName name="__123Graph_AUTRECHT" localSheetId="27" hidden="1">'[1]Time series'!#REF!</definedName>
    <definedName name="__123Graph_AUTRECHT" localSheetId="12" hidden="1">'[1]Time series'!#REF!</definedName>
    <definedName name="__123Graph_AUTRECHT" localSheetId="30" hidden="1">'[1]Time series'!#REF!</definedName>
    <definedName name="__123Graph_AUTRECHT" localSheetId="26" hidden="1">'[1]Time series'!#REF!</definedName>
    <definedName name="__123Graph_AUTRECHT" localSheetId="31" hidden="1">'[1]Time series'!#REF!</definedName>
    <definedName name="__123Graph_AUTRECHT" localSheetId="25" hidden="1">'[1]Time series'!#REF!</definedName>
    <definedName name="__123Graph_AUTRECHT" localSheetId="11" hidden="1">'[1]Time series'!#REF!</definedName>
    <definedName name="__123Graph_AUTRECHT" localSheetId="29" hidden="1">'[1]Time series'!#REF!</definedName>
    <definedName name="__123Graph_AUTRECHT" hidden="1">'[1]Time series'!#REF!</definedName>
    <definedName name="__123Graph_B" localSheetId="9" hidden="1">#REF!</definedName>
    <definedName name="__123Graph_B" localSheetId="5" hidden="1">#REF!</definedName>
    <definedName name="__123Graph_B" localSheetId="6" hidden="1">#REF!</definedName>
    <definedName name="__123Graph_B" localSheetId="7" hidden="1">#REF!</definedName>
    <definedName name="__123Graph_B" localSheetId="10" hidden="1">#REF!</definedName>
    <definedName name="__123Graph_B" localSheetId="0" hidden="1">#REF!</definedName>
    <definedName name="__123Graph_B" localSheetId="14" hidden="1">#REF!</definedName>
    <definedName name="__123Graph_B" localSheetId="23" hidden="1">#REF!</definedName>
    <definedName name="__123Graph_B" localSheetId="18" hidden="1">#REF!</definedName>
    <definedName name="__123Graph_B" localSheetId="19" hidden="1">#REF!</definedName>
    <definedName name="__123Graph_B" localSheetId="22" hidden="1">#REF!</definedName>
    <definedName name="__123Graph_B" localSheetId="32" hidden="1">#REF!</definedName>
    <definedName name="__123Graph_B" localSheetId="33" hidden="1">#REF!</definedName>
    <definedName name="__123Graph_B" localSheetId="8" hidden="1">#REF!</definedName>
    <definedName name="__123Graph_B" localSheetId="16" hidden="1">#REF!</definedName>
    <definedName name="__123Graph_B" localSheetId="24" hidden="1">#REF!</definedName>
    <definedName name="__123Graph_B" localSheetId="28" hidden="1">#REF!</definedName>
    <definedName name="__123Graph_B" localSheetId="21" hidden="1">#REF!</definedName>
    <definedName name="__123Graph_B" localSheetId="13" hidden="1">#REF!</definedName>
    <definedName name="__123Graph_B" localSheetId="34" hidden="1">#REF!</definedName>
    <definedName name="__123Graph_B" localSheetId="45" hidden="1">#REF!</definedName>
    <definedName name="__123Graph_B" localSheetId="41" hidden="1">#REF!</definedName>
    <definedName name="__123Graph_B" localSheetId="60" hidden="1">#REF!</definedName>
    <definedName name="__123Graph_B" localSheetId="27" hidden="1">#REF!</definedName>
    <definedName name="__123Graph_B" localSheetId="12" hidden="1">#REF!</definedName>
    <definedName name="__123Graph_B" localSheetId="30" hidden="1">#REF!</definedName>
    <definedName name="__123Graph_B" localSheetId="26" hidden="1">#REF!</definedName>
    <definedName name="__123Graph_B" localSheetId="31" hidden="1">#REF!</definedName>
    <definedName name="__123Graph_B" localSheetId="25" hidden="1">#REF!</definedName>
    <definedName name="__123Graph_B" localSheetId="11" hidden="1">#REF!</definedName>
    <definedName name="__123Graph_B" localSheetId="29" hidden="1">#REF!</definedName>
    <definedName name="__123Graph_B" hidden="1">#REF!</definedName>
    <definedName name="__123Graph_BBERLGRAP" localSheetId="9" hidden="1">'[1]Time series'!#REF!</definedName>
    <definedName name="__123Graph_BBERLGRAP" localSheetId="5" hidden="1">'[1]Time series'!#REF!</definedName>
    <definedName name="__123Graph_BBERLGRAP" localSheetId="6" hidden="1">'[1]Time series'!#REF!</definedName>
    <definedName name="__123Graph_BBERLGRAP" localSheetId="7" hidden="1">'[1]Time series'!#REF!</definedName>
    <definedName name="__123Graph_BBERLGRAP" localSheetId="10" hidden="1">'[1]Time series'!#REF!</definedName>
    <definedName name="__123Graph_BBERLGRAP" localSheetId="0" hidden="1">'[1]Time series'!#REF!</definedName>
    <definedName name="__123Graph_BBERLGRAP" localSheetId="14" hidden="1">'[1]Time series'!#REF!</definedName>
    <definedName name="__123Graph_BBERLGRAP" localSheetId="23" hidden="1">'[1]Time series'!#REF!</definedName>
    <definedName name="__123Graph_BBERLGRAP" localSheetId="18" hidden="1">'[1]Time series'!#REF!</definedName>
    <definedName name="__123Graph_BBERLGRAP" localSheetId="19" hidden="1">'[1]Time series'!#REF!</definedName>
    <definedName name="__123Graph_BBERLGRAP" localSheetId="22" hidden="1">'[1]Time series'!#REF!</definedName>
    <definedName name="__123Graph_BBERLGRAP" localSheetId="32" hidden="1">'[1]Time series'!#REF!</definedName>
    <definedName name="__123Graph_BBERLGRAP" localSheetId="33" hidden="1">'[1]Time series'!#REF!</definedName>
    <definedName name="__123Graph_BBERLGRAP" localSheetId="8" hidden="1">'[1]Time series'!#REF!</definedName>
    <definedName name="__123Graph_BBERLGRAP" localSheetId="16" hidden="1">'[1]Time series'!#REF!</definedName>
    <definedName name="__123Graph_BBERLGRAP" localSheetId="24" hidden="1">'[1]Time series'!#REF!</definedName>
    <definedName name="__123Graph_BBERLGRAP" localSheetId="28" hidden="1">'[1]Time series'!#REF!</definedName>
    <definedName name="__123Graph_BBERLGRAP" localSheetId="21" hidden="1">'[1]Time series'!#REF!</definedName>
    <definedName name="__123Graph_BBERLGRAP" localSheetId="13" hidden="1">'[1]Time series'!#REF!</definedName>
    <definedName name="__123Graph_BBERLGRAP" localSheetId="34" hidden="1">'[1]Time series'!#REF!</definedName>
    <definedName name="__123Graph_BBERLGRAP" localSheetId="45" hidden="1">'[1]Time series'!#REF!</definedName>
    <definedName name="__123Graph_BBERLGRAP" localSheetId="60" hidden="1">'[1]Time series'!#REF!</definedName>
    <definedName name="__123Graph_BBERLGRAP" localSheetId="27" hidden="1">'[1]Time series'!#REF!</definedName>
    <definedName name="__123Graph_BBERLGRAP" localSheetId="12" hidden="1">'[1]Time series'!#REF!</definedName>
    <definedName name="__123Graph_BBERLGRAP" localSheetId="30" hidden="1">'[1]Time series'!#REF!</definedName>
    <definedName name="__123Graph_BBERLGRAP" localSheetId="26" hidden="1">'[1]Time series'!#REF!</definedName>
    <definedName name="__123Graph_BBERLGRAP" localSheetId="31" hidden="1">'[1]Time series'!#REF!</definedName>
    <definedName name="__123Graph_BBERLGRAP" localSheetId="25" hidden="1">'[1]Time series'!#REF!</definedName>
    <definedName name="__123Graph_BBERLGRAP" localSheetId="11" hidden="1">'[1]Time series'!#REF!</definedName>
    <definedName name="__123Graph_BBERLGRAP" localSheetId="29" hidden="1">'[1]Time series'!#REF!</definedName>
    <definedName name="__123Graph_BBERLGRAP" hidden="1">'[1]Time series'!#REF!</definedName>
    <definedName name="__123Graph_BCATCH1" localSheetId="9" hidden="1">'[1]Time series'!#REF!</definedName>
    <definedName name="__123Graph_BCATCH1" localSheetId="5" hidden="1">'[1]Time series'!#REF!</definedName>
    <definedName name="__123Graph_BCATCH1" localSheetId="6" hidden="1">'[1]Time series'!#REF!</definedName>
    <definedName name="__123Graph_BCATCH1" localSheetId="7" hidden="1">'[1]Time series'!#REF!</definedName>
    <definedName name="__123Graph_BCATCH1" localSheetId="10" hidden="1">'[1]Time series'!#REF!</definedName>
    <definedName name="__123Graph_BCATCH1" localSheetId="0" hidden="1">'[1]Time series'!#REF!</definedName>
    <definedName name="__123Graph_BCATCH1" localSheetId="14" hidden="1">'[1]Time series'!#REF!</definedName>
    <definedName name="__123Graph_BCATCH1" localSheetId="23" hidden="1">'[1]Time series'!#REF!</definedName>
    <definedName name="__123Graph_BCATCH1" localSheetId="18" hidden="1">'[1]Time series'!#REF!</definedName>
    <definedName name="__123Graph_BCATCH1" localSheetId="19" hidden="1">'[1]Time series'!#REF!</definedName>
    <definedName name="__123Graph_BCATCH1" localSheetId="22" hidden="1">'[1]Time series'!#REF!</definedName>
    <definedName name="__123Graph_BCATCH1" localSheetId="32" hidden="1">'[1]Time series'!#REF!</definedName>
    <definedName name="__123Graph_BCATCH1" localSheetId="33" hidden="1">'[1]Time series'!#REF!</definedName>
    <definedName name="__123Graph_BCATCH1" localSheetId="8" hidden="1">'[1]Time series'!#REF!</definedName>
    <definedName name="__123Graph_BCATCH1" localSheetId="16" hidden="1">'[1]Time series'!#REF!</definedName>
    <definedName name="__123Graph_BCATCH1" localSheetId="24" hidden="1">'[1]Time series'!#REF!</definedName>
    <definedName name="__123Graph_BCATCH1" localSheetId="28" hidden="1">'[1]Time series'!#REF!</definedName>
    <definedName name="__123Graph_BCATCH1" localSheetId="21" hidden="1">'[1]Time series'!#REF!</definedName>
    <definedName name="__123Graph_BCATCH1" localSheetId="13" hidden="1">'[1]Time series'!#REF!</definedName>
    <definedName name="__123Graph_BCATCH1" localSheetId="34" hidden="1">'[1]Time series'!#REF!</definedName>
    <definedName name="__123Graph_BCATCH1" localSheetId="45" hidden="1">'[1]Time series'!#REF!</definedName>
    <definedName name="__123Graph_BCATCH1" localSheetId="60" hidden="1">'[1]Time series'!#REF!</definedName>
    <definedName name="__123Graph_BCATCH1" localSheetId="27" hidden="1">'[1]Time series'!#REF!</definedName>
    <definedName name="__123Graph_BCATCH1" localSheetId="12" hidden="1">'[1]Time series'!#REF!</definedName>
    <definedName name="__123Graph_BCATCH1" localSheetId="30" hidden="1">'[1]Time series'!#REF!</definedName>
    <definedName name="__123Graph_BCATCH1" localSheetId="26" hidden="1">'[1]Time series'!#REF!</definedName>
    <definedName name="__123Graph_BCATCH1" localSheetId="31" hidden="1">'[1]Time series'!#REF!</definedName>
    <definedName name="__123Graph_BCATCH1" localSheetId="25" hidden="1">'[1]Time series'!#REF!</definedName>
    <definedName name="__123Graph_BCATCH1" localSheetId="11" hidden="1">'[1]Time series'!#REF!</definedName>
    <definedName name="__123Graph_BCATCH1" localSheetId="29" hidden="1">'[1]Time series'!#REF!</definedName>
    <definedName name="__123Graph_BCATCH1" hidden="1">'[1]Time series'!#REF!</definedName>
    <definedName name="__123Graph_BCONVERG1" localSheetId="9" hidden="1">'[1]Time series'!#REF!</definedName>
    <definedName name="__123Graph_BCONVERG1" localSheetId="5" hidden="1">'[1]Time series'!#REF!</definedName>
    <definedName name="__123Graph_BCONVERG1" localSheetId="6" hidden="1">'[1]Time series'!#REF!</definedName>
    <definedName name="__123Graph_BCONVERG1" localSheetId="7" hidden="1">'[1]Time series'!#REF!</definedName>
    <definedName name="__123Graph_BCONVERG1" localSheetId="10" hidden="1">'[1]Time series'!#REF!</definedName>
    <definedName name="__123Graph_BCONVERG1" localSheetId="0" hidden="1">'[1]Time series'!#REF!</definedName>
    <definedName name="__123Graph_BCONVERG1" localSheetId="14" hidden="1">'[1]Time series'!#REF!</definedName>
    <definedName name="__123Graph_BCONVERG1" localSheetId="23" hidden="1">'[1]Time series'!#REF!</definedName>
    <definedName name="__123Graph_BCONVERG1" localSheetId="18" hidden="1">'[1]Time series'!#REF!</definedName>
    <definedName name="__123Graph_BCONVERG1" localSheetId="19" hidden="1">'[1]Time series'!#REF!</definedName>
    <definedName name="__123Graph_BCONVERG1" localSheetId="22" hidden="1">'[1]Time series'!#REF!</definedName>
    <definedName name="__123Graph_BCONVERG1" localSheetId="32" hidden="1">'[1]Time series'!#REF!</definedName>
    <definedName name="__123Graph_BCONVERG1" localSheetId="33" hidden="1">'[1]Time series'!#REF!</definedName>
    <definedName name="__123Graph_BCONVERG1" localSheetId="8" hidden="1">'[1]Time series'!#REF!</definedName>
    <definedName name="__123Graph_BCONVERG1" localSheetId="16" hidden="1">'[1]Time series'!#REF!</definedName>
    <definedName name="__123Graph_BCONVERG1" localSheetId="24" hidden="1">'[1]Time series'!#REF!</definedName>
    <definedName name="__123Graph_BCONVERG1" localSheetId="28" hidden="1">'[1]Time series'!#REF!</definedName>
    <definedName name="__123Graph_BCONVERG1" localSheetId="21" hidden="1">'[1]Time series'!#REF!</definedName>
    <definedName name="__123Graph_BCONVERG1" localSheetId="13" hidden="1">'[1]Time series'!#REF!</definedName>
    <definedName name="__123Graph_BCONVERG1" localSheetId="34" hidden="1">'[1]Time series'!#REF!</definedName>
    <definedName name="__123Graph_BCONVERG1" localSheetId="45" hidden="1">'[1]Time series'!#REF!</definedName>
    <definedName name="__123Graph_BCONVERG1" localSheetId="60" hidden="1">'[1]Time series'!#REF!</definedName>
    <definedName name="__123Graph_BCONVERG1" localSheetId="27" hidden="1">'[1]Time series'!#REF!</definedName>
    <definedName name="__123Graph_BCONVERG1" localSheetId="12" hidden="1">'[1]Time series'!#REF!</definedName>
    <definedName name="__123Graph_BCONVERG1" localSheetId="30" hidden="1">'[1]Time series'!#REF!</definedName>
    <definedName name="__123Graph_BCONVERG1" localSheetId="26" hidden="1">'[1]Time series'!#REF!</definedName>
    <definedName name="__123Graph_BCONVERG1" localSheetId="31" hidden="1">'[1]Time series'!#REF!</definedName>
    <definedName name="__123Graph_BCONVERG1" localSheetId="25" hidden="1">'[1]Time series'!#REF!</definedName>
    <definedName name="__123Graph_BCONVERG1" localSheetId="11" hidden="1">'[1]Time series'!#REF!</definedName>
    <definedName name="__123Graph_BCONVERG1" localSheetId="29" hidden="1">'[1]Time series'!#REF!</definedName>
    <definedName name="__123Graph_BCONVERG1" hidden="1">'[1]Time series'!#REF!</definedName>
    <definedName name="__123Graph_BECTOT" localSheetId="9" hidden="1">#REF!</definedName>
    <definedName name="__123Graph_BECTOT" localSheetId="5" hidden="1">#REF!</definedName>
    <definedName name="__123Graph_BECTOT" localSheetId="6" hidden="1">#REF!</definedName>
    <definedName name="__123Graph_BECTOT" localSheetId="7" hidden="1">#REF!</definedName>
    <definedName name="__123Graph_BECTOT" localSheetId="10" hidden="1">#REF!</definedName>
    <definedName name="__123Graph_BECTOT" localSheetId="0" hidden="1">#REF!</definedName>
    <definedName name="__123Graph_BECTOT" localSheetId="14" hidden="1">#REF!</definedName>
    <definedName name="__123Graph_BECTOT" localSheetId="23" hidden="1">#REF!</definedName>
    <definedName name="__123Graph_BECTOT" localSheetId="18" hidden="1">#REF!</definedName>
    <definedName name="__123Graph_BECTOT" localSheetId="19" hidden="1">#REF!</definedName>
    <definedName name="__123Graph_BECTOT" localSheetId="22" hidden="1">#REF!</definedName>
    <definedName name="__123Graph_BECTOT" localSheetId="32" hidden="1">#REF!</definedName>
    <definedName name="__123Graph_BECTOT" localSheetId="33" hidden="1">#REF!</definedName>
    <definedName name="__123Graph_BECTOT" localSheetId="8" hidden="1">#REF!</definedName>
    <definedName name="__123Graph_BECTOT" localSheetId="16" hidden="1">#REF!</definedName>
    <definedName name="__123Graph_BECTOT" localSheetId="24" hidden="1">#REF!</definedName>
    <definedName name="__123Graph_BECTOT" localSheetId="28" hidden="1">#REF!</definedName>
    <definedName name="__123Graph_BECTOT" localSheetId="21" hidden="1">#REF!</definedName>
    <definedName name="__123Graph_BECTOT" localSheetId="13" hidden="1">#REF!</definedName>
    <definedName name="__123Graph_BECTOT" localSheetId="34" hidden="1">#REF!</definedName>
    <definedName name="__123Graph_BECTOT" localSheetId="45" hidden="1">#REF!</definedName>
    <definedName name="__123Graph_BECTOT" localSheetId="41" hidden="1">#REF!</definedName>
    <definedName name="__123Graph_BECTOT" localSheetId="60" hidden="1">#REF!</definedName>
    <definedName name="__123Graph_BECTOT" localSheetId="27" hidden="1">#REF!</definedName>
    <definedName name="__123Graph_BECTOT" localSheetId="12" hidden="1">#REF!</definedName>
    <definedName name="__123Graph_BECTOT" localSheetId="30" hidden="1">#REF!</definedName>
    <definedName name="__123Graph_BECTOT" localSheetId="26" hidden="1">#REF!</definedName>
    <definedName name="__123Graph_BECTOT" localSheetId="31" hidden="1">#REF!</definedName>
    <definedName name="__123Graph_BECTOT" localSheetId="25" hidden="1">#REF!</definedName>
    <definedName name="__123Graph_BECTOT" localSheetId="11" hidden="1">#REF!</definedName>
    <definedName name="__123Graph_BECTOT" localSheetId="29" hidden="1">#REF!</definedName>
    <definedName name="__123Graph_BECTOT" hidden="1">#REF!</definedName>
    <definedName name="__123Graph_BGRAPH1" localSheetId="0" hidden="1">'[2]GDP(O)'!$D$2427:$D$2427</definedName>
    <definedName name="__123Graph_BGRAPH1" hidden="1">'[2]GDP(O)'!$D$2427:$D$2427</definedName>
    <definedName name="__123Graph_BGRAPH2" localSheetId="9" hidden="1">'[1]Time series'!#REF!</definedName>
    <definedName name="__123Graph_BGRAPH2" localSheetId="5" hidden="1">'[1]Time series'!#REF!</definedName>
    <definedName name="__123Graph_BGRAPH2" localSheetId="6" hidden="1">'[1]Time series'!#REF!</definedName>
    <definedName name="__123Graph_BGRAPH2" localSheetId="7" hidden="1">'[1]Time series'!#REF!</definedName>
    <definedName name="__123Graph_BGRAPH2" localSheetId="10" hidden="1">'[1]Time series'!#REF!</definedName>
    <definedName name="__123Graph_BGRAPH2" localSheetId="0" hidden="1">'[1]Time series'!#REF!</definedName>
    <definedName name="__123Graph_BGRAPH2" localSheetId="14" hidden="1">'[1]Time series'!#REF!</definedName>
    <definedName name="__123Graph_BGRAPH2" localSheetId="23" hidden="1">'[1]Time series'!#REF!</definedName>
    <definedName name="__123Graph_BGRAPH2" localSheetId="18" hidden="1">'[1]Time series'!#REF!</definedName>
    <definedName name="__123Graph_BGRAPH2" localSheetId="19" hidden="1">'[1]Time series'!#REF!</definedName>
    <definedName name="__123Graph_BGRAPH2" localSheetId="22" hidden="1">'[1]Time series'!#REF!</definedName>
    <definedName name="__123Graph_BGRAPH2" localSheetId="32" hidden="1">'[1]Time series'!#REF!</definedName>
    <definedName name="__123Graph_BGRAPH2" localSheetId="33" hidden="1">'[1]Time series'!#REF!</definedName>
    <definedName name="__123Graph_BGRAPH2" localSheetId="8" hidden="1">'[1]Time series'!#REF!</definedName>
    <definedName name="__123Graph_BGRAPH2" localSheetId="16" hidden="1">'[1]Time series'!#REF!</definedName>
    <definedName name="__123Graph_BGRAPH2" localSheetId="24" hidden="1">'[1]Time series'!#REF!</definedName>
    <definedName name="__123Graph_BGRAPH2" localSheetId="28" hidden="1">'[1]Time series'!#REF!</definedName>
    <definedName name="__123Graph_BGRAPH2" localSheetId="21" hidden="1">'[1]Time series'!#REF!</definedName>
    <definedName name="__123Graph_BGRAPH2" localSheetId="13" hidden="1">'[1]Time series'!#REF!</definedName>
    <definedName name="__123Graph_BGRAPH2" localSheetId="34" hidden="1">'[1]Time series'!#REF!</definedName>
    <definedName name="__123Graph_BGRAPH2" localSheetId="45" hidden="1">'[1]Time series'!#REF!</definedName>
    <definedName name="__123Graph_BGRAPH2" localSheetId="60" hidden="1">'[1]Time series'!#REF!</definedName>
    <definedName name="__123Graph_BGRAPH2" localSheetId="27" hidden="1">'[1]Time series'!#REF!</definedName>
    <definedName name="__123Graph_BGRAPH2" localSheetId="12" hidden="1">'[1]Time series'!#REF!</definedName>
    <definedName name="__123Graph_BGRAPH2" localSheetId="30" hidden="1">'[1]Time series'!#REF!</definedName>
    <definedName name="__123Graph_BGRAPH2" localSheetId="26" hidden="1">'[1]Time series'!#REF!</definedName>
    <definedName name="__123Graph_BGRAPH2" localSheetId="31" hidden="1">'[1]Time series'!#REF!</definedName>
    <definedName name="__123Graph_BGRAPH2" localSheetId="25" hidden="1">'[1]Time series'!#REF!</definedName>
    <definedName name="__123Graph_BGRAPH2" localSheetId="11" hidden="1">'[1]Time series'!#REF!</definedName>
    <definedName name="__123Graph_BGRAPH2" localSheetId="29" hidden="1">'[1]Time series'!#REF!</definedName>
    <definedName name="__123Graph_BGRAPH2" hidden="1">'[1]Time series'!#REF!</definedName>
    <definedName name="__123Graph_BGRAPH41" localSheetId="9" hidden="1">'[1]Time series'!#REF!</definedName>
    <definedName name="__123Graph_BGRAPH41" localSheetId="5" hidden="1">'[1]Time series'!#REF!</definedName>
    <definedName name="__123Graph_BGRAPH41" localSheetId="6" hidden="1">'[1]Time series'!#REF!</definedName>
    <definedName name="__123Graph_BGRAPH41" localSheetId="7" hidden="1">'[1]Time series'!#REF!</definedName>
    <definedName name="__123Graph_BGRAPH41" localSheetId="10" hidden="1">'[1]Time series'!#REF!</definedName>
    <definedName name="__123Graph_BGRAPH41" localSheetId="0" hidden="1">'[1]Time series'!#REF!</definedName>
    <definedName name="__123Graph_BGRAPH41" localSheetId="14" hidden="1">'[1]Time series'!#REF!</definedName>
    <definedName name="__123Graph_BGRAPH41" localSheetId="23" hidden="1">'[1]Time series'!#REF!</definedName>
    <definedName name="__123Graph_BGRAPH41" localSheetId="18" hidden="1">'[1]Time series'!#REF!</definedName>
    <definedName name="__123Graph_BGRAPH41" localSheetId="19" hidden="1">'[1]Time series'!#REF!</definedName>
    <definedName name="__123Graph_BGRAPH41" localSheetId="22" hidden="1">'[1]Time series'!#REF!</definedName>
    <definedName name="__123Graph_BGRAPH41" localSheetId="32" hidden="1">'[1]Time series'!#REF!</definedName>
    <definedName name="__123Graph_BGRAPH41" localSheetId="33" hidden="1">'[1]Time series'!#REF!</definedName>
    <definedName name="__123Graph_BGRAPH41" localSheetId="8" hidden="1">'[1]Time series'!#REF!</definedName>
    <definedName name="__123Graph_BGRAPH41" localSheetId="16" hidden="1">'[1]Time series'!#REF!</definedName>
    <definedName name="__123Graph_BGRAPH41" localSheetId="24" hidden="1">'[1]Time series'!#REF!</definedName>
    <definedName name="__123Graph_BGRAPH41" localSheetId="28" hidden="1">'[1]Time series'!#REF!</definedName>
    <definedName name="__123Graph_BGRAPH41" localSheetId="21" hidden="1">'[1]Time series'!#REF!</definedName>
    <definedName name="__123Graph_BGRAPH41" localSheetId="13" hidden="1">'[1]Time series'!#REF!</definedName>
    <definedName name="__123Graph_BGRAPH41" localSheetId="34" hidden="1">'[1]Time series'!#REF!</definedName>
    <definedName name="__123Graph_BGRAPH41" localSheetId="45" hidden="1">'[1]Time series'!#REF!</definedName>
    <definedName name="__123Graph_BGRAPH41" localSheetId="60" hidden="1">'[1]Time series'!#REF!</definedName>
    <definedName name="__123Graph_BGRAPH41" localSheetId="27" hidden="1">'[1]Time series'!#REF!</definedName>
    <definedName name="__123Graph_BGRAPH41" localSheetId="12" hidden="1">'[1]Time series'!#REF!</definedName>
    <definedName name="__123Graph_BGRAPH41" localSheetId="30" hidden="1">'[1]Time series'!#REF!</definedName>
    <definedName name="__123Graph_BGRAPH41" localSheetId="26" hidden="1">'[1]Time series'!#REF!</definedName>
    <definedName name="__123Graph_BGRAPH41" localSheetId="31" hidden="1">'[1]Time series'!#REF!</definedName>
    <definedName name="__123Graph_BGRAPH41" localSheetId="25" hidden="1">'[1]Time series'!#REF!</definedName>
    <definedName name="__123Graph_BGRAPH41" localSheetId="11" hidden="1">'[1]Time series'!#REF!</definedName>
    <definedName name="__123Graph_BGRAPH41" localSheetId="29" hidden="1">'[1]Time series'!#REF!</definedName>
    <definedName name="__123Graph_BGRAPH41" hidden="1">'[1]Time series'!#REF!</definedName>
    <definedName name="__123Graph_BPERIB" localSheetId="9" hidden="1">'[1]Time series'!#REF!</definedName>
    <definedName name="__123Graph_BPERIB" localSheetId="5" hidden="1">'[1]Time series'!#REF!</definedName>
    <definedName name="__123Graph_BPERIB" localSheetId="6" hidden="1">'[1]Time series'!#REF!</definedName>
    <definedName name="__123Graph_BPERIB" localSheetId="7" hidden="1">'[1]Time series'!#REF!</definedName>
    <definedName name="__123Graph_BPERIB" localSheetId="10" hidden="1">'[1]Time series'!#REF!</definedName>
    <definedName name="__123Graph_BPERIB" localSheetId="0" hidden="1">'[1]Time series'!#REF!</definedName>
    <definedName name="__123Graph_BPERIB" localSheetId="14" hidden="1">'[1]Time series'!#REF!</definedName>
    <definedName name="__123Graph_BPERIB" localSheetId="23" hidden="1">'[1]Time series'!#REF!</definedName>
    <definedName name="__123Graph_BPERIB" localSheetId="18" hidden="1">'[1]Time series'!#REF!</definedName>
    <definedName name="__123Graph_BPERIB" localSheetId="19" hidden="1">'[1]Time series'!#REF!</definedName>
    <definedName name="__123Graph_BPERIB" localSheetId="22" hidden="1">'[1]Time series'!#REF!</definedName>
    <definedName name="__123Graph_BPERIB" localSheetId="32" hidden="1">'[1]Time series'!#REF!</definedName>
    <definedName name="__123Graph_BPERIB" localSheetId="33" hidden="1">'[1]Time series'!#REF!</definedName>
    <definedName name="__123Graph_BPERIB" localSheetId="8" hidden="1">'[1]Time series'!#REF!</definedName>
    <definedName name="__123Graph_BPERIB" localSheetId="16" hidden="1">'[1]Time series'!#REF!</definedName>
    <definedName name="__123Graph_BPERIB" localSheetId="24" hidden="1">'[1]Time series'!#REF!</definedName>
    <definedName name="__123Graph_BPERIB" localSheetId="28" hidden="1">'[1]Time series'!#REF!</definedName>
    <definedName name="__123Graph_BPERIB" localSheetId="21" hidden="1">'[1]Time series'!#REF!</definedName>
    <definedName name="__123Graph_BPERIB" localSheetId="13" hidden="1">'[1]Time series'!#REF!</definedName>
    <definedName name="__123Graph_BPERIB" localSheetId="34" hidden="1">'[1]Time series'!#REF!</definedName>
    <definedName name="__123Graph_BPERIB" localSheetId="45" hidden="1">'[1]Time series'!#REF!</definedName>
    <definedName name="__123Graph_BPERIB" localSheetId="60" hidden="1">'[1]Time series'!#REF!</definedName>
    <definedName name="__123Graph_BPERIB" localSheetId="27" hidden="1">'[1]Time series'!#REF!</definedName>
    <definedName name="__123Graph_BPERIB" localSheetId="12" hidden="1">'[1]Time series'!#REF!</definedName>
    <definedName name="__123Graph_BPERIB" localSheetId="30" hidden="1">'[1]Time series'!#REF!</definedName>
    <definedName name="__123Graph_BPERIB" localSheetId="26" hidden="1">'[1]Time series'!#REF!</definedName>
    <definedName name="__123Graph_BPERIB" localSheetId="31" hidden="1">'[1]Time series'!#REF!</definedName>
    <definedName name="__123Graph_BPERIB" localSheetId="25" hidden="1">'[1]Time series'!#REF!</definedName>
    <definedName name="__123Graph_BPERIB" localSheetId="11" hidden="1">'[1]Time series'!#REF!</definedName>
    <definedName name="__123Graph_BPERIB" localSheetId="29" hidden="1">'[1]Time series'!#REF!</definedName>
    <definedName name="__123Graph_BPERIB" hidden="1">'[1]Time series'!#REF!</definedName>
    <definedName name="__123Graph_BPRODABSC" localSheetId="9" hidden="1">'[1]Time series'!#REF!</definedName>
    <definedName name="__123Graph_BPRODABSC" localSheetId="5" hidden="1">'[1]Time series'!#REF!</definedName>
    <definedName name="__123Graph_BPRODABSC" localSheetId="6" hidden="1">'[1]Time series'!#REF!</definedName>
    <definedName name="__123Graph_BPRODABSC" localSheetId="7" hidden="1">'[1]Time series'!#REF!</definedName>
    <definedName name="__123Graph_BPRODABSC" localSheetId="10" hidden="1">'[1]Time series'!#REF!</definedName>
    <definedName name="__123Graph_BPRODABSC" localSheetId="0" hidden="1">'[1]Time series'!#REF!</definedName>
    <definedName name="__123Graph_BPRODABSC" localSheetId="14" hidden="1">'[1]Time series'!#REF!</definedName>
    <definedName name="__123Graph_BPRODABSC" localSheetId="23" hidden="1">'[1]Time series'!#REF!</definedName>
    <definedName name="__123Graph_BPRODABSC" localSheetId="18" hidden="1">'[1]Time series'!#REF!</definedName>
    <definedName name="__123Graph_BPRODABSC" localSheetId="19" hidden="1">'[1]Time series'!#REF!</definedName>
    <definedName name="__123Graph_BPRODABSC" localSheetId="22" hidden="1">'[1]Time series'!#REF!</definedName>
    <definedName name="__123Graph_BPRODABSC" localSheetId="32" hidden="1">'[1]Time series'!#REF!</definedName>
    <definedName name="__123Graph_BPRODABSC" localSheetId="33" hidden="1">'[1]Time series'!#REF!</definedName>
    <definedName name="__123Graph_BPRODABSC" localSheetId="8" hidden="1">'[1]Time series'!#REF!</definedName>
    <definedName name="__123Graph_BPRODABSC" localSheetId="16" hidden="1">'[1]Time series'!#REF!</definedName>
    <definedName name="__123Graph_BPRODABSC" localSheetId="24" hidden="1">'[1]Time series'!#REF!</definedName>
    <definedName name="__123Graph_BPRODABSC" localSheetId="28" hidden="1">'[1]Time series'!#REF!</definedName>
    <definedName name="__123Graph_BPRODABSC" localSheetId="21" hidden="1">'[1]Time series'!#REF!</definedName>
    <definedName name="__123Graph_BPRODABSC" localSheetId="13" hidden="1">'[1]Time series'!#REF!</definedName>
    <definedName name="__123Graph_BPRODABSC" localSheetId="34" hidden="1">'[1]Time series'!#REF!</definedName>
    <definedName name="__123Graph_BPRODABSC" localSheetId="45" hidden="1">'[1]Time series'!#REF!</definedName>
    <definedName name="__123Graph_BPRODABSC" localSheetId="60" hidden="1">'[1]Time series'!#REF!</definedName>
    <definedName name="__123Graph_BPRODABSC" localSheetId="27" hidden="1">'[1]Time series'!#REF!</definedName>
    <definedName name="__123Graph_BPRODABSC" localSheetId="12" hidden="1">'[1]Time series'!#REF!</definedName>
    <definedName name="__123Graph_BPRODABSC" localSheetId="30" hidden="1">'[1]Time series'!#REF!</definedName>
    <definedName name="__123Graph_BPRODABSC" localSheetId="26" hidden="1">'[1]Time series'!#REF!</definedName>
    <definedName name="__123Graph_BPRODABSC" localSheetId="31" hidden="1">'[1]Time series'!#REF!</definedName>
    <definedName name="__123Graph_BPRODABSC" localSheetId="25" hidden="1">'[1]Time series'!#REF!</definedName>
    <definedName name="__123Graph_BPRODABSC" localSheetId="11" hidden="1">'[1]Time series'!#REF!</definedName>
    <definedName name="__123Graph_BPRODABSC" localSheetId="29" hidden="1">'[1]Time series'!#REF!</definedName>
    <definedName name="__123Graph_BPRODABSC" hidden="1">'[1]Time series'!#REF!</definedName>
    <definedName name="__123Graph_BPRODABSD" localSheetId="9" hidden="1">'[1]Time series'!#REF!</definedName>
    <definedName name="__123Graph_BPRODABSD" localSheetId="5" hidden="1">'[1]Time series'!#REF!</definedName>
    <definedName name="__123Graph_BPRODABSD" localSheetId="6" hidden="1">'[1]Time series'!#REF!</definedName>
    <definedName name="__123Graph_BPRODABSD" localSheetId="7" hidden="1">'[1]Time series'!#REF!</definedName>
    <definedName name="__123Graph_BPRODABSD" localSheetId="10" hidden="1">'[1]Time series'!#REF!</definedName>
    <definedName name="__123Graph_BPRODABSD" localSheetId="0" hidden="1">'[1]Time series'!#REF!</definedName>
    <definedName name="__123Graph_BPRODABSD" localSheetId="14" hidden="1">'[1]Time series'!#REF!</definedName>
    <definedName name="__123Graph_BPRODABSD" localSheetId="23" hidden="1">'[1]Time series'!#REF!</definedName>
    <definedName name="__123Graph_BPRODABSD" localSheetId="18" hidden="1">'[1]Time series'!#REF!</definedName>
    <definedName name="__123Graph_BPRODABSD" localSheetId="19" hidden="1">'[1]Time series'!#REF!</definedName>
    <definedName name="__123Graph_BPRODABSD" localSheetId="22" hidden="1">'[1]Time series'!#REF!</definedName>
    <definedName name="__123Graph_BPRODABSD" localSheetId="32" hidden="1">'[1]Time series'!#REF!</definedName>
    <definedName name="__123Graph_BPRODABSD" localSheetId="33" hidden="1">'[1]Time series'!#REF!</definedName>
    <definedName name="__123Graph_BPRODABSD" localSheetId="8" hidden="1">'[1]Time series'!#REF!</definedName>
    <definedName name="__123Graph_BPRODABSD" localSheetId="16" hidden="1">'[1]Time series'!#REF!</definedName>
    <definedName name="__123Graph_BPRODABSD" localSheetId="24" hidden="1">'[1]Time series'!#REF!</definedName>
    <definedName name="__123Graph_BPRODABSD" localSheetId="28" hidden="1">'[1]Time series'!#REF!</definedName>
    <definedName name="__123Graph_BPRODABSD" localSheetId="21" hidden="1">'[1]Time series'!#REF!</definedName>
    <definedName name="__123Graph_BPRODABSD" localSheetId="13" hidden="1">'[1]Time series'!#REF!</definedName>
    <definedName name="__123Graph_BPRODABSD" localSheetId="34" hidden="1">'[1]Time series'!#REF!</definedName>
    <definedName name="__123Graph_BPRODABSD" localSheetId="45" hidden="1">'[1]Time series'!#REF!</definedName>
    <definedName name="__123Graph_BPRODABSD" localSheetId="60" hidden="1">'[1]Time series'!#REF!</definedName>
    <definedName name="__123Graph_BPRODABSD" localSheetId="27" hidden="1">'[1]Time series'!#REF!</definedName>
    <definedName name="__123Graph_BPRODABSD" localSheetId="12" hidden="1">'[1]Time series'!#REF!</definedName>
    <definedName name="__123Graph_BPRODABSD" localSheetId="30" hidden="1">'[1]Time series'!#REF!</definedName>
    <definedName name="__123Graph_BPRODABSD" localSheetId="26" hidden="1">'[1]Time series'!#REF!</definedName>
    <definedName name="__123Graph_BPRODABSD" localSheetId="31" hidden="1">'[1]Time series'!#REF!</definedName>
    <definedName name="__123Graph_BPRODABSD" localSheetId="25" hidden="1">'[1]Time series'!#REF!</definedName>
    <definedName name="__123Graph_BPRODABSD" localSheetId="11" hidden="1">'[1]Time series'!#REF!</definedName>
    <definedName name="__123Graph_BPRODABSD" localSheetId="29" hidden="1">'[1]Time series'!#REF!</definedName>
    <definedName name="__123Graph_BPRODABSD" hidden="1">'[1]Time series'!#REF!</definedName>
    <definedName name="__123Graph_C" localSheetId="9" hidden="1">#REF!</definedName>
    <definedName name="__123Graph_C" localSheetId="5" hidden="1">#REF!</definedName>
    <definedName name="__123Graph_C" localSheetId="6" hidden="1">#REF!</definedName>
    <definedName name="__123Graph_C" localSheetId="7" hidden="1">#REF!</definedName>
    <definedName name="__123Graph_C" localSheetId="10" hidden="1">#REF!</definedName>
    <definedName name="__123Graph_C" localSheetId="0" hidden="1">#REF!</definedName>
    <definedName name="__123Graph_C" localSheetId="14" hidden="1">#REF!</definedName>
    <definedName name="__123Graph_C" localSheetId="23" hidden="1">#REF!</definedName>
    <definedName name="__123Graph_C" localSheetId="18" hidden="1">#REF!</definedName>
    <definedName name="__123Graph_C" localSheetId="19" hidden="1">#REF!</definedName>
    <definedName name="__123Graph_C" localSheetId="22" hidden="1">#REF!</definedName>
    <definedName name="__123Graph_C" localSheetId="32" hidden="1">#REF!</definedName>
    <definedName name="__123Graph_C" localSheetId="33" hidden="1">#REF!</definedName>
    <definedName name="__123Graph_C" localSheetId="8" hidden="1">#REF!</definedName>
    <definedName name="__123Graph_C" localSheetId="16" hidden="1">#REF!</definedName>
    <definedName name="__123Graph_C" localSheetId="24" hidden="1">#REF!</definedName>
    <definedName name="__123Graph_C" localSheetId="28" hidden="1">#REF!</definedName>
    <definedName name="__123Graph_C" localSheetId="21" hidden="1">#REF!</definedName>
    <definedName name="__123Graph_C" localSheetId="13" hidden="1">#REF!</definedName>
    <definedName name="__123Graph_C" localSheetId="34" hidden="1">#REF!</definedName>
    <definedName name="__123Graph_C" localSheetId="45" hidden="1">#REF!</definedName>
    <definedName name="__123Graph_C" localSheetId="41" hidden="1">#REF!</definedName>
    <definedName name="__123Graph_C" localSheetId="60" hidden="1">#REF!</definedName>
    <definedName name="__123Graph_C" localSheetId="27" hidden="1">#REF!</definedName>
    <definedName name="__123Graph_C" localSheetId="12" hidden="1">#REF!</definedName>
    <definedName name="__123Graph_C" localSheetId="30" hidden="1">#REF!</definedName>
    <definedName name="__123Graph_C" localSheetId="26" hidden="1">#REF!</definedName>
    <definedName name="__123Graph_C" localSheetId="31" hidden="1">#REF!</definedName>
    <definedName name="__123Graph_C" localSheetId="25" hidden="1">#REF!</definedName>
    <definedName name="__123Graph_C" localSheetId="11" hidden="1">#REF!</definedName>
    <definedName name="__123Graph_C" localSheetId="29" hidden="1">#REF!</definedName>
    <definedName name="__123Graph_C" hidden="1">#REF!</definedName>
    <definedName name="__123Graph_CBERLGRAP" localSheetId="9" hidden="1">'[1]Time series'!#REF!</definedName>
    <definedName name="__123Graph_CBERLGRAP" localSheetId="5" hidden="1">'[1]Time series'!#REF!</definedName>
    <definedName name="__123Graph_CBERLGRAP" localSheetId="6" hidden="1">'[1]Time series'!#REF!</definedName>
    <definedName name="__123Graph_CBERLGRAP" localSheetId="7" hidden="1">'[1]Time series'!#REF!</definedName>
    <definedName name="__123Graph_CBERLGRAP" localSheetId="10" hidden="1">'[1]Time series'!#REF!</definedName>
    <definedName name="__123Graph_CBERLGRAP" localSheetId="0" hidden="1">'[1]Time series'!#REF!</definedName>
    <definedName name="__123Graph_CBERLGRAP" localSheetId="14" hidden="1">'[1]Time series'!#REF!</definedName>
    <definedName name="__123Graph_CBERLGRAP" localSheetId="23" hidden="1">'[1]Time series'!#REF!</definedName>
    <definedName name="__123Graph_CBERLGRAP" localSheetId="18" hidden="1">'[1]Time series'!#REF!</definedName>
    <definedName name="__123Graph_CBERLGRAP" localSheetId="19" hidden="1">'[1]Time series'!#REF!</definedName>
    <definedName name="__123Graph_CBERLGRAP" localSheetId="22" hidden="1">'[1]Time series'!#REF!</definedName>
    <definedName name="__123Graph_CBERLGRAP" localSheetId="32" hidden="1">'[1]Time series'!#REF!</definedName>
    <definedName name="__123Graph_CBERLGRAP" localSheetId="33" hidden="1">'[1]Time series'!#REF!</definedName>
    <definedName name="__123Graph_CBERLGRAP" localSheetId="8" hidden="1">'[1]Time series'!#REF!</definedName>
    <definedName name="__123Graph_CBERLGRAP" localSheetId="16" hidden="1">'[1]Time series'!#REF!</definedName>
    <definedName name="__123Graph_CBERLGRAP" localSheetId="24" hidden="1">'[1]Time series'!#REF!</definedName>
    <definedName name="__123Graph_CBERLGRAP" localSheetId="28" hidden="1">'[1]Time series'!#REF!</definedName>
    <definedName name="__123Graph_CBERLGRAP" localSheetId="21" hidden="1">'[1]Time series'!#REF!</definedName>
    <definedName name="__123Graph_CBERLGRAP" localSheetId="13" hidden="1">'[1]Time series'!#REF!</definedName>
    <definedName name="__123Graph_CBERLGRAP" localSheetId="34" hidden="1">'[1]Time series'!#REF!</definedName>
    <definedName name="__123Graph_CBERLGRAP" localSheetId="45" hidden="1">'[1]Time series'!#REF!</definedName>
    <definedName name="__123Graph_CBERLGRAP" localSheetId="60" hidden="1">'[1]Time series'!#REF!</definedName>
    <definedName name="__123Graph_CBERLGRAP" localSheetId="27" hidden="1">'[1]Time series'!#REF!</definedName>
    <definedName name="__123Graph_CBERLGRAP" localSheetId="12" hidden="1">'[1]Time series'!#REF!</definedName>
    <definedName name="__123Graph_CBERLGRAP" localSheetId="30" hidden="1">'[1]Time series'!#REF!</definedName>
    <definedName name="__123Graph_CBERLGRAP" localSheetId="26" hidden="1">'[1]Time series'!#REF!</definedName>
    <definedName name="__123Graph_CBERLGRAP" localSheetId="31" hidden="1">'[1]Time series'!#REF!</definedName>
    <definedName name="__123Graph_CBERLGRAP" localSheetId="25" hidden="1">'[1]Time series'!#REF!</definedName>
    <definedName name="__123Graph_CBERLGRAP" localSheetId="11" hidden="1">'[1]Time series'!#REF!</definedName>
    <definedName name="__123Graph_CBERLGRAP" localSheetId="29" hidden="1">'[1]Time series'!#REF!</definedName>
    <definedName name="__123Graph_CBERLGRAP" hidden="1">'[1]Time series'!#REF!</definedName>
    <definedName name="__123Graph_CCATCH1" localSheetId="9" hidden="1">'[1]Time series'!#REF!</definedName>
    <definedName name="__123Graph_CCATCH1" localSheetId="5" hidden="1">'[1]Time series'!#REF!</definedName>
    <definedName name="__123Graph_CCATCH1" localSheetId="6" hidden="1">'[1]Time series'!#REF!</definedName>
    <definedName name="__123Graph_CCATCH1" localSheetId="7" hidden="1">'[1]Time series'!#REF!</definedName>
    <definedName name="__123Graph_CCATCH1" localSheetId="10" hidden="1">'[1]Time series'!#REF!</definedName>
    <definedName name="__123Graph_CCATCH1" localSheetId="0" hidden="1">'[1]Time series'!#REF!</definedName>
    <definedName name="__123Graph_CCATCH1" localSheetId="14" hidden="1">'[1]Time series'!#REF!</definedName>
    <definedName name="__123Graph_CCATCH1" localSheetId="23" hidden="1">'[1]Time series'!#REF!</definedName>
    <definedName name="__123Graph_CCATCH1" localSheetId="18" hidden="1">'[1]Time series'!#REF!</definedName>
    <definedName name="__123Graph_CCATCH1" localSheetId="19" hidden="1">'[1]Time series'!#REF!</definedName>
    <definedName name="__123Graph_CCATCH1" localSheetId="22" hidden="1">'[1]Time series'!#REF!</definedName>
    <definedName name="__123Graph_CCATCH1" localSheetId="32" hidden="1">'[1]Time series'!#REF!</definedName>
    <definedName name="__123Graph_CCATCH1" localSheetId="33" hidden="1">'[1]Time series'!#REF!</definedName>
    <definedName name="__123Graph_CCATCH1" localSheetId="8" hidden="1">'[1]Time series'!#REF!</definedName>
    <definedName name="__123Graph_CCATCH1" localSheetId="16" hidden="1">'[1]Time series'!#REF!</definedName>
    <definedName name="__123Graph_CCATCH1" localSheetId="24" hidden="1">'[1]Time series'!#REF!</definedName>
    <definedName name="__123Graph_CCATCH1" localSheetId="28" hidden="1">'[1]Time series'!#REF!</definedName>
    <definedName name="__123Graph_CCATCH1" localSheetId="21" hidden="1">'[1]Time series'!#REF!</definedName>
    <definedName name="__123Graph_CCATCH1" localSheetId="13" hidden="1">'[1]Time series'!#REF!</definedName>
    <definedName name="__123Graph_CCATCH1" localSheetId="34" hidden="1">'[1]Time series'!#REF!</definedName>
    <definedName name="__123Graph_CCATCH1" localSheetId="45" hidden="1">'[1]Time series'!#REF!</definedName>
    <definedName name="__123Graph_CCATCH1" localSheetId="60" hidden="1">'[1]Time series'!#REF!</definedName>
    <definedName name="__123Graph_CCATCH1" localSheetId="27" hidden="1">'[1]Time series'!#REF!</definedName>
    <definedName name="__123Graph_CCATCH1" localSheetId="12" hidden="1">'[1]Time series'!#REF!</definedName>
    <definedName name="__123Graph_CCATCH1" localSheetId="30" hidden="1">'[1]Time series'!#REF!</definedName>
    <definedName name="__123Graph_CCATCH1" localSheetId="26" hidden="1">'[1]Time series'!#REF!</definedName>
    <definedName name="__123Graph_CCATCH1" localSheetId="31" hidden="1">'[1]Time series'!#REF!</definedName>
    <definedName name="__123Graph_CCATCH1" localSheetId="25" hidden="1">'[1]Time series'!#REF!</definedName>
    <definedName name="__123Graph_CCATCH1" localSheetId="11" hidden="1">'[1]Time series'!#REF!</definedName>
    <definedName name="__123Graph_CCATCH1" localSheetId="29" hidden="1">'[1]Time series'!#REF!</definedName>
    <definedName name="__123Graph_CCATCH1" hidden="1">'[1]Time series'!#REF!</definedName>
    <definedName name="__123Graph_CCONVERG1" localSheetId="9"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10" hidden="1">#REF!</definedName>
    <definedName name="__123Graph_CCONVERG1" localSheetId="0" hidden="1">#REF!</definedName>
    <definedName name="__123Graph_CCONVERG1" localSheetId="14" hidden="1">#REF!</definedName>
    <definedName name="__123Graph_CCONVERG1" localSheetId="23" hidden="1">#REF!</definedName>
    <definedName name="__123Graph_CCONVERG1" localSheetId="18" hidden="1">#REF!</definedName>
    <definedName name="__123Graph_CCONVERG1" localSheetId="19" hidden="1">#REF!</definedName>
    <definedName name="__123Graph_CCONVERG1" localSheetId="22" hidden="1">#REF!</definedName>
    <definedName name="__123Graph_CCONVERG1" localSheetId="32" hidden="1">#REF!</definedName>
    <definedName name="__123Graph_CCONVERG1" localSheetId="33" hidden="1">#REF!</definedName>
    <definedName name="__123Graph_CCONVERG1" localSheetId="8" hidden="1">#REF!</definedName>
    <definedName name="__123Graph_CCONVERG1" localSheetId="16" hidden="1">#REF!</definedName>
    <definedName name="__123Graph_CCONVERG1" localSheetId="24" hidden="1">#REF!</definedName>
    <definedName name="__123Graph_CCONVERG1" localSheetId="28" hidden="1">#REF!</definedName>
    <definedName name="__123Graph_CCONVERG1" localSheetId="21" hidden="1">#REF!</definedName>
    <definedName name="__123Graph_CCONVERG1" localSheetId="13" hidden="1">#REF!</definedName>
    <definedName name="__123Graph_CCONVERG1" localSheetId="34" hidden="1">#REF!</definedName>
    <definedName name="__123Graph_CCONVERG1" localSheetId="45" hidden="1">#REF!</definedName>
    <definedName name="__123Graph_CCONVERG1" localSheetId="41" hidden="1">#REF!</definedName>
    <definedName name="__123Graph_CCONVERG1" localSheetId="60" hidden="1">#REF!</definedName>
    <definedName name="__123Graph_CCONVERG1" localSheetId="27" hidden="1">#REF!</definedName>
    <definedName name="__123Graph_CCONVERG1" localSheetId="12" hidden="1">#REF!</definedName>
    <definedName name="__123Graph_CCONVERG1" localSheetId="30" hidden="1">#REF!</definedName>
    <definedName name="__123Graph_CCONVERG1" localSheetId="26" hidden="1">#REF!</definedName>
    <definedName name="__123Graph_CCONVERG1" localSheetId="31" hidden="1">#REF!</definedName>
    <definedName name="__123Graph_CCONVERG1" localSheetId="25" hidden="1">#REF!</definedName>
    <definedName name="__123Graph_CCONVERG1" localSheetId="11" hidden="1">#REF!</definedName>
    <definedName name="__123Graph_CCONVERG1" localSheetId="29" hidden="1">#REF!</definedName>
    <definedName name="__123Graph_CCONVERG1" hidden="1">#REF!</definedName>
    <definedName name="__123Graph_CECTOT" localSheetId="9" hidden="1">#REF!</definedName>
    <definedName name="__123Graph_CECTOT" localSheetId="5" hidden="1">#REF!</definedName>
    <definedName name="__123Graph_CECTOT" localSheetId="6" hidden="1">#REF!</definedName>
    <definedName name="__123Graph_CECTOT" localSheetId="7" hidden="1">#REF!</definedName>
    <definedName name="__123Graph_CECTOT" localSheetId="10" hidden="1">#REF!</definedName>
    <definedName name="__123Graph_CECTOT" localSheetId="0" hidden="1">#REF!</definedName>
    <definedName name="__123Graph_CECTOT" localSheetId="14" hidden="1">#REF!</definedName>
    <definedName name="__123Graph_CECTOT" localSheetId="23" hidden="1">#REF!</definedName>
    <definedName name="__123Graph_CECTOT" localSheetId="18" hidden="1">#REF!</definedName>
    <definedName name="__123Graph_CECTOT" localSheetId="19" hidden="1">#REF!</definedName>
    <definedName name="__123Graph_CECTOT" localSheetId="22" hidden="1">#REF!</definedName>
    <definedName name="__123Graph_CECTOT" localSheetId="32" hidden="1">#REF!</definedName>
    <definedName name="__123Graph_CECTOT" localSheetId="33" hidden="1">#REF!</definedName>
    <definedName name="__123Graph_CECTOT" localSheetId="8" hidden="1">#REF!</definedName>
    <definedName name="__123Graph_CECTOT" localSheetId="16" hidden="1">#REF!</definedName>
    <definedName name="__123Graph_CECTOT" localSheetId="24" hidden="1">#REF!</definedName>
    <definedName name="__123Graph_CECTOT" localSheetId="28" hidden="1">#REF!</definedName>
    <definedName name="__123Graph_CECTOT" localSheetId="21" hidden="1">#REF!</definedName>
    <definedName name="__123Graph_CECTOT" localSheetId="13" hidden="1">#REF!</definedName>
    <definedName name="__123Graph_CECTOT" localSheetId="34" hidden="1">#REF!</definedName>
    <definedName name="__123Graph_CECTOT" localSheetId="45" hidden="1">#REF!</definedName>
    <definedName name="__123Graph_CECTOT" localSheetId="41" hidden="1">#REF!</definedName>
    <definedName name="__123Graph_CECTOT" localSheetId="60" hidden="1">#REF!</definedName>
    <definedName name="__123Graph_CECTOT" localSheetId="27" hidden="1">#REF!</definedName>
    <definedName name="__123Graph_CECTOT" localSheetId="12" hidden="1">#REF!</definedName>
    <definedName name="__123Graph_CECTOT" localSheetId="30" hidden="1">#REF!</definedName>
    <definedName name="__123Graph_CECTOT" localSheetId="26" hidden="1">#REF!</definedName>
    <definedName name="__123Graph_CECTOT" localSheetId="31" hidden="1">#REF!</definedName>
    <definedName name="__123Graph_CECTOT" localSheetId="25" hidden="1">#REF!</definedName>
    <definedName name="__123Graph_CECTOT" localSheetId="11" hidden="1">#REF!</definedName>
    <definedName name="__123Graph_CECTOT" localSheetId="29" hidden="1">#REF!</definedName>
    <definedName name="__123Graph_CECTOT" hidden="1">#REF!</definedName>
    <definedName name="__123Graph_CGRAPH1" localSheetId="0" hidden="1">'[2]GDP(O)'!$E$2427:$E$2427</definedName>
    <definedName name="__123Graph_CGRAPH1" hidden="1">'[2]GDP(O)'!$E$2427:$E$2427</definedName>
    <definedName name="__123Graph_CGRAPH41" localSheetId="9" hidden="1">'[1]Time series'!#REF!</definedName>
    <definedName name="__123Graph_CGRAPH41" localSheetId="5" hidden="1">'[1]Time series'!#REF!</definedName>
    <definedName name="__123Graph_CGRAPH41" localSheetId="6" hidden="1">'[1]Time series'!#REF!</definedName>
    <definedName name="__123Graph_CGRAPH41" localSheetId="7" hidden="1">'[1]Time series'!#REF!</definedName>
    <definedName name="__123Graph_CGRAPH41" localSheetId="10" hidden="1">'[1]Time series'!#REF!</definedName>
    <definedName name="__123Graph_CGRAPH41" localSheetId="0" hidden="1">'[1]Time series'!#REF!</definedName>
    <definedName name="__123Graph_CGRAPH41" localSheetId="14" hidden="1">'[1]Time series'!#REF!</definedName>
    <definedName name="__123Graph_CGRAPH41" localSheetId="23" hidden="1">'[1]Time series'!#REF!</definedName>
    <definedName name="__123Graph_CGRAPH41" localSheetId="18" hidden="1">'[1]Time series'!#REF!</definedName>
    <definedName name="__123Graph_CGRAPH41" localSheetId="19" hidden="1">'[1]Time series'!#REF!</definedName>
    <definedName name="__123Graph_CGRAPH41" localSheetId="22" hidden="1">'[1]Time series'!#REF!</definedName>
    <definedName name="__123Graph_CGRAPH41" localSheetId="32" hidden="1">'[1]Time series'!#REF!</definedName>
    <definedName name="__123Graph_CGRAPH41" localSheetId="33" hidden="1">'[1]Time series'!#REF!</definedName>
    <definedName name="__123Graph_CGRAPH41" localSheetId="8" hidden="1">'[1]Time series'!#REF!</definedName>
    <definedName name="__123Graph_CGRAPH41" localSheetId="16" hidden="1">'[1]Time series'!#REF!</definedName>
    <definedName name="__123Graph_CGRAPH41" localSheetId="24" hidden="1">'[1]Time series'!#REF!</definedName>
    <definedName name="__123Graph_CGRAPH41" localSheetId="28" hidden="1">'[1]Time series'!#REF!</definedName>
    <definedName name="__123Graph_CGRAPH41" localSheetId="21" hidden="1">'[1]Time series'!#REF!</definedName>
    <definedName name="__123Graph_CGRAPH41" localSheetId="13" hidden="1">'[1]Time series'!#REF!</definedName>
    <definedName name="__123Graph_CGRAPH41" localSheetId="34" hidden="1">'[1]Time series'!#REF!</definedName>
    <definedName name="__123Graph_CGRAPH41" localSheetId="45" hidden="1">'[1]Time series'!#REF!</definedName>
    <definedName name="__123Graph_CGRAPH41" localSheetId="60" hidden="1">'[1]Time series'!#REF!</definedName>
    <definedName name="__123Graph_CGRAPH41" localSheetId="27" hidden="1">'[1]Time series'!#REF!</definedName>
    <definedName name="__123Graph_CGRAPH41" localSheetId="12" hidden="1">'[1]Time series'!#REF!</definedName>
    <definedName name="__123Graph_CGRAPH41" localSheetId="30" hidden="1">'[1]Time series'!#REF!</definedName>
    <definedName name="__123Graph_CGRAPH41" localSheetId="26" hidden="1">'[1]Time series'!#REF!</definedName>
    <definedName name="__123Graph_CGRAPH41" localSheetId="31" hidden="1">'[1]Time series'!#REF!</definedName>
    <definedName name="__123Graph_CGRAPH41" localSheetId="25" hidden="1">'[1]Time series'!#REF!</definedName>
    <definedName name="__123Graph_CGRAPH41" localSheetId="11" hidden="1">'[1]Time series'!#REF!</definedName>
    <definedName name="__123Graph_CGRAPH41" localSheetId="29" hidden="1">'[1]Time series'!#REF!</definedName>
    <definedName name="__123Graph_CGRAPH41" hidden="1">'[1]Time series'!#REF!</definedName>
    <definedName name="__123Graph_CGRAPH44" localSheetId="9" hidden="1">'[1]Time series'!#REF!</definedName>
    <definedName name="__123Graph_CGRAPH44" localSheetId="5" hidden="1">'[1]Time series'!#REF!</definedName>
    <definedName name="__123Graph_CGRAPH44" localSheetId="6" hidden="1">'[1]Time series'!#REF!</definedName>
    <definedName name="__123Graph_CGRAPH44" localSheetId="7" hidden="1">'[1]Time series'!#REF!</definedName>
    <definedName name="__123Graph_CGRAPH44" localSheetId="10" hidden="1">'[1]Time series'!#REF!</definedName>
    <definedName name="__123Graph_CGRAPH44" localSheetId="0" hidden="1">'[1]Time series'!#REF!</definedName>
    <definedName name="__123Graph_CGRAPH44" localSheetId="14" hidden="1">'[1]Time series'!#REF!</definedName>
    <definedName name="__123Graph_CGRAPH44" localSheetId="23" hidden="1">'[1]Time series'!#REF!</definedName>
    <definedName name="__123Graph_CGRAPH44" localSheetId="18" hidden="1">'[1]Time series'!#REF!</definedName>
    <definedName name="__123Graph_CGRAPH44" localSheetId="19" hidden="1">'[1]Time series'!#REF!</definedName>
    <definedName name="__123Graph_CGRAPH44" localSheetId="22" hidden="1">'[1]Time series'!#REF!</definedName>
    <definedName name="__123Graph_CGRAPH44" localSheetId="32" hidden="1">'[1]Time series'!#REF!</definedName>
    <definedName name="__123Graph_CGRAPH44" localSheetId="33" hidden="1">'[1]Time series'!#REF!</definedName>
    <definedName name="__123Graph_CGRAPH44" localSheetId="8" hidden="1">'[1]Time series'!#REF!</definedName>
    <definedName name="__123Graph_CGRAPH44" localSheetId="16" hidden="1">'[1]Time series'!#REF!</definedName>
    <definedName name="__123Graph_CGRAPH44" localSheetId="24" hidden="1">'[1]Time series'!#REF!</definedName>
    <definedName name="__123Graph_CGRAPH44" localSheetId="28" hidden="1">'[1]Time series'!#REF!</definedName>
    <definedName name="__123Graph_CGRAPH44" localSheetId="21" hidden="1">'[1]Time series'!#REF!</definedName>
    <definedName name="__123Graph_CGRAPH44" localSheetId="13" hidden="1">'[1]Time series'!#REF!</definedName>
    <definedName name="__123Graph_CGRAPH44" localSheetId="34" hidden="1">'[1]Time series'!#REF!</definedName>
    <definedName name="__123Graph_CGRAPH44" localSheetId="45" hidden="1">'[1]Time series'!#REF!</definedName>
    <definedName name="__123Graph_CGRAPH44" localSheetId="60" hidden="1">'[1]Time series'!#REF!</definedName>
    <definedName name="__123Graph_CGRAPH44" localSheetId="27" hidden="1">'[1]Time series'!#REF!</definedName>
    <definedName name="__123Graph_CGRAPH44" localSheetId="12" hidden="1">'[1]Time series'!#REF!</definedName>
    <definedName name="__123Graph_CGRAPH44" localSheetId="30" hidden="1">'[1]Time series'!#REF!</definedName>
    <definedName name="__123Graph_CGRAPH44" localSheetId="26" hidden="1">'[1]Time series'!#REF!</definedName>
    <definedName name="__123Graph_CGRAPH44" localSheetId="31" hidden="1">'[1]Time series'!#REF!</definedName>
    <definedName name="__123Graph_CGRAPH44" localSheetId="25" hidden="1">'[1]Time series'!#REF!</definedName>
    <definedName name="__123Graph_CGRAPH44" localSheetId="11" hidden="1">'[1]Time series'!#REF!</definedName>
    <definedName name="__123Graph_CGRAPH44" localSheetId="29" hidden="1">'[1]Time series'!#REF!</definedName>
    <definedName name="__123Graph_CGRAPH44" hidden="1">'[1]Time series'!#REF!</definedName>
    <definedName name="__123Graph_CPERIA" localSheetId="9" hidden="1">'[1]Time series'!#REF!</definedName>
    <definedName name="__123Graph_CPERIA" localSheetId="5" hidden="1">'[1]Time series'!#REF!</definedName>
    <definedName name="__123Graph_CPERIA" localSheetId="6" hidden="1">'[1]Time series'!#REF!</definedName>
    <definedName name="__123Graph_CPERIA" localSheetId="7" hidden="1">'[1]Time series'!#REF!</definedName>
    <definedName name="__123Graph_CPERIA" localSheetId="10" hidden="1">'[1]Time series'!#REF!</definedName>
    <definedName name="__123Graph_CPERIA" localSheetId="0" hidden="1">'[1]Time series'!#REF!</definedName>
    <definedName name="__123Graph_CPERIA" localSheetId="14" hidden="1">'[1]Time series'!#REF!</definedName>
    <definedName name="__123Graph_CPERIA" localSheetId="23" hidden="1">'[1]Time series'!#REF!</definedName>
    <definedName name="__123Graph_CPERIA" localSheetId="18" hidden="1">'[1]Time series'!#REF!</definedName>
    <definedName name="__123Graph_CPERIA" localSheetId="19" hidden="1">'[1]Time series'!#REF!</definedName>
    <definedName name="__123Graph_CPERIA" localSheetId="22" hidden="1">'[1]Time series'!#REF!</definedName>
    <definedName name="__123Graph_CPERIA" localSheetId="32" hidden="1">'[1]Time series'!#REF!</definedName>
    <definedName name="__123Graph_CPERIA" localSheetId="33" hidden="1">'[1]Time series'!#REF!</definedName>
    <definedName name="__123Graph_CPERIA" localSheetId="8" hidden="1">'[1]Time series'!#REF!</definedName>
    <definedName name="__123Graph_CPERIA" localSheetId="16" hidden="1">'[1]Time series'!#REF!</definedName>
    <definedName name="__123Graph_CPERIA" localSheetId="24" hidden="1">'[1]Time series'!#REF!</definedName>
    <definedName name="__123Graph_CPERIA" localSheetId="28" hidden="1">'[1]Time series'!#REF!</definedName>
    <definedName name="__123Graph_CPERIA" localSheetId="21" hidden="1">'[1]Time series'!#REF!</definedName>
    <definedName name="__123Graph_CPERIA" localSheetId="13" hidden="1">'[1]Time series'!#REF!</definedName>
    <definedName name="__123Graph_CPERIA" localSheetId="34" hidden="1">'[1]Time series'!#REF!</definedName>
    <definedName name="__123Graph_CPERIA" localSheetId="45" hidden="1">'[1]Time series'!#REF!</definedName>
    <definedName name="__123Graph_CPERIA" localSheetId="60" hidden="1">'[1]Time series'!#REF!</definedName>
    <definedName name="__123Graph_CPERIA" localSheetId="27" hidden="1">'[1]Time series'!#REF!</definedName>
    <definedName name="__123Graph_CPERIA" localSheetId="12" hidden="1">'[1]Time series'!#REF!</definedName>
    <definedName name="__123Graph_CPERIA" localSheetId="30" hidden="1">'[1]Time series'!#REF!</definedName>
    <definedName name="__123Graph_CPERIA" localSheetId="26" hidden="1">'[1]Time series'!#REF!</definedName>
    <definedName name="__123Graph_CPERIA" localSheetId="31" hidden="1">'[1]Time series'!#REF!</definedName>
    <definedName name="__123Graph_CPERIA" localSheetId="25" hidden="1">'[1]Time series'!#REF!</definedName>
    <definedName name="__123Graph_CPERIA" localSheetId="11" hidden="1">'[1]Time series'!#REF!</definedName>
    <definedName name="__123Graph_CPERIA" localSheetId="29" hidden="1">'[1]Time series'!#REF!</definedName>
    <definedName name="__123Graph_CPERIA" hidden="1">'[1]Time series'!#REF!</definedName>
    <definedName name="__123Graph_CPERIB" localSheetId="9" hidden="1">'[1]Time series'!#REF!</definedName>
    <definedName name="__123Graph_CPERIB" localSheetId="5" hidden="1">'[1]Time series'!#REF!</definedName>
    <definedName name="__123Graph_CPERIB" localSheetId="6" hidden="1">'[1]Time series'!#REF!</definedName>
    <definedName name="__123Graph_CPERIB" localSheetId="7" hidden="1">'[1]Time series'!#REF!</definedName>
    <definedName name="__123Graph_CPERIB" localSheetId="10" hidden="1">'[1]Time series'!#REF!</definedName>
    <definedName name="__123Graph_CPERIB" localSheetId="0" hidden="1">'[1]Time series'!#REF!</definedName>
    <definedName name="__123Graph_CPERIB" localSheetId="14" hidden="1">'[1]Time series'!#REF!</definedName>
    <definedName name="__123Graph_CPERIB" localSheetId="23" hidden="1">'[1]Time series'!#REF!</definedName>
    <definedName name="__123Graph_CPERIB" localSheetId="18" hidden="1">'[1]Time series'!#REF!</definedName>
    <definedName name="__123Graph_CPERIB" localSheetId="19" hidden="1">'[1]Time series'!#REF!</definedName>
    <definedName name="__123Graph_CPERIB" localSheetId="22" hidden="1">'[1]Time series'!#REF!</definedName>
    <definedName name="__123Graph_CPERIB" localSheetId="32" hidden="1">'[1]Time series'!#REF!</definedName>
    <definedName name="__123Graph_CPERIB" localSheetId="33" hidden="1">'[1]Time series'!#REF!</definedName>
    <definedName name="__123Graph_CPERIB" localSheetId="8" hidden="1">'[1]Time series'!#REF!</definedName>
    <definedName name="__123Graph_CPERIB" localSheetId="16" hidden="1">'[1]Time series'!#REF!</definedName>
    <definedName name="__123Graph_CPERIB" localSheetId="24" hidden="1">'[1]Time series'!#REF!</definedName>
    <definedName name="__123Graph_CPERIB" localSheetId="28" hidden="1">'[1]Time series'!#REF!</definedName>
    <definedName name="__123Graph_CPERIB" localSheetId="21" hidden="1">'[1]Time series'!#REF!</definedName>
    <definedName name="__123Graph_CPERIB" localSheetId="13" hidden="1">'[1]Time series'!#REF!</definedName>
    <definedName name="__123Graph_CPERIB" localSheetId="34" hidden="1">'[1]Time series'!#REF!</definedName>
    <definedName name="__123Graph_CPERIB" localSheetId="45" hidden="1">'[1]Time series'!#REF!</definedName>
    <definedName name="__123Graph_CPERIB" localSheetId="60" hidden="1">'[1]Time series'!#REF!</definedName>
    <definedName name="__123Graph_CPERIB" localSheetId="27" hidden="1">'[1]Time series'!#REF!</definedName>
    <definedName name="__123Graph_CPERIB" localSheetId="12" hidden="1">'[1]Time series'!#REF!</definedName>
    <definedName name="__123Graph_CPERIB" localSheetId="30" hidden="1">'[1]Time series'!#REF!</definedName>
    <definedName name="__123Graph_CPERIB" localSheetId="26" hidden="1">'[1]Time series'!#REF!</definedName>
    <definedName name="__123Graph_CPERIB" localSheetId="31" hidden="1">'[1]Time series'!#REF!</definedName>
    <definedName name="__123Graph_CPERIB" localSheetId="25" hidden="1">'[1]Time series'!#REF!</definedName>
    <definedName name="__123Graph_CPERIB" localSheetId="11" hidden="1">'[1]Time series'!#REF!</definedName>
    <definedName name="__123Graph_CPERIB" localSheetId="29" hidden="1">'[1]Time series'!#REF!</definedName>
    <definedName name="__123Graph_CPERIB" hidden="1">'[1]Time series'!#REF!</definedName>
    <definedName name="__123Graph_CPRODABSC" localSheetId="9" hidden="1">'[1]Time series'!#REF!</definedName>
    <definedName name="__123Graph_CPRODABSC" localSheetId="5" hidden="1">'[1]Time series'!#REF!</definedName>
    <definedName name="__123Graph_CPRODABSC" localSheetId="6" hidden="1">'[1]Time series'!#REF!</definedName>
    <definedName name="__123Graph_CPRODABSC" localSheetId="7" hidden="1">'[1]Time series'!#REF!</definedName>
    <definedName name="__123Graph_CPRODABSC" localSheetId="10" hidden="1">'[1]Time series'!#REF!</definedName>
    <definedName name="__123Graph_CPRODABSC" localSheetId="0" hidden="1">'[1]Time series'!#REF!</definedName>
    <definedName name="__123Graph_CPRODABSC" localSheetId="14" hidden="1">'[1]Time series'!#REF!</definedName>
    <definedName name="__123Graph_CPRODABSC" localSheetId="23" hidden="1">'[1]Time series'!#REF!</definedName>
    <definedName name="__123Graph_CPRODABSC" localSheetId="18" hidden="1">'[1]Time series'!#REF!</definedName>
    <definedName name="__123Graph_CPRODABSC" localSheetId="19" hidden="1">'[1]Time series'!#REF!</definedName>
    <definedName name="__123Graph_CPRODABSC" localSheetId="22" hidden="1">'[1]Time series'!#REF!</definedName>
    <definedName name="__123Graph_CPRODABSC" localSheetId="32" hidden="1">'[1]Time series'!#REF!</definedName>
    <definedName name="__123Graph_CPRODABSC" localSheetId="33" hidden="1">'[1]Time series'!#REF!</definedName>
    <definedName name="__123Graph_CPRODABSC" localSheetId="8" hidden="1">'[1]Time series'!#REF!</definedName>
    <definedName name="__123Graph_CPRODABSC" localSheetId="16" hidden="1">'[1]Time series'!#REF!</definedName>
    <definedName name="__123Graph_CPRODABSC" localSheetId="24" hidden="1">'[1]Time series'!#REF!</definedName>
    <definedName name="__123Graph_CPRODABSC" localSheetId="28" hidden="1">'[1]Time series'!#REF!</definedName>
    <definedName name="__123Graph_CPRODABSC" localSheetId="21" hidden="1">'[1]Time series'!#REF!</definedName>
    <definedName name="__123Graph_CPRODABSC" localSheetId="13" hidden="1">'[1]Time series'!#REF!</definedName>
    <definedName name="__123Graph_CPRODABSC" localSheetId="34" hidden="1">'[1]Time series'!#REF!</definedName>
    <definedName name="__123Graph_CPRODABSC" localSheetId="45" hidden="1">'[1]Time series'!#REF!</definedName>
    <definedName name="__123Graph_CPRODABSC" localSheetId="60" hidden="1">'[1]Time series'!#REF!</definedName>
    <definedName name="__123Graph_CPRODABSC" localSheetId="27" hidden="1">'[1]Time series'!#REF!</definedName>
    <definedName name="__123Graph_CPRODABSC" localSheetId="12" hidden="1">'[1]Time series'!#REF!</definedName>
    <definedName name="__123Graph_CPRODABSC" localSheetId="30" hidden="1">'[1]Time series'!#REF!</definedName>
    <definedName name="__123Graph_CPRODABSC" localSheetId="26" hidden="1">'[1]Time series'!#REF!</definedName>
    <definedName name="__123Graph_CPRODABSC" localSheetId="31" hidden="1">'[1]Time series'!#REF!</definedName>
    <definedName name="__123Graph_CPRODABSC" localSheetId="25" hidden="1">'[1]Time series'!#REF!</definedName>
    <definedName name="__123Graph_CPRODABSC" localSheetId="11" hidden="1">'[1]Time series'!#REF!</definedName>
    <definedName name="__123Graph_CPRODABSC" localSheetId="29" hidden="1">'[1]Time series'!#REF!</definedName>
    <definedName name="__123Graph_CPRODABSC" hidden="1">'[1]Time series'!#REF!</definedName>
    <definedName name="__123Graph_CPRODTRE2" localSheetId="9" hidden="1">'[1]Time series'!#REF!</definedName>
    <definedName name="__123Graph_CPRODTRE2" localSheetId="5" hidden="1">'[1]Time series'!#REF!</definedName>
    <definedName name="__123Graph_CPRODTRE2" localSheetId="6" hidden="1">'[1]Time series'!#REF!</definedName>
    <definedName name="__123Graph_CPRODTRE2" localSheetId="7" hidden="1">'[1]Time series'!#REF!</definedName>
    <definedName name="__123Graph_CPRODTRE2" localSheetId="10" hidden="1">'[1]Time series'!#REF!</definedName>
    <definedName name="__123Graph_CPRODTRE2" localSheetId="0" hidden="1">'[1]Time series'!#REF!</definedName>
    <definedName name="__123Graph_CPRODTRE2" localSheetId="14" hidden="1">'[1]Time series'!#REF!</definedName>
    <definedName name="__123Graph_CPRODTRE2" localSheetId="23" hidden="1">'[1]Time series'!#REF!</definedName>
    <definedName name="__123Graph_CPRODTRE2" localSheetId="18" hidden="1">'[1]Time series'!#REF!</definedName>
    <definedName name="__123Graph_CPRODTRE2" localSheetId="19" hidden="1">'[1]Time series'!#REF!</definedName>
    <definedName name="__123Graph_CPRODTRE2" localSheetId="22" hidden="1">'[1]Time series'!#REF!</definedName>
    <definedName name="__123Graph_CPRODTRE2" localSheetId="32" hidden="1">'[1]Time series'!#REF!</definedName>
    <definedName name="__123Graph_CPRODTRE2" localSheetId="33" hidden="1">'[1]Time series'!#REF!</definedName>
    <definedName name="__123Graph_CPRODTRE2" localSheetId="8" hidden="1">'[1]Time series'!#REF!</definedName>
    <definedName name="__123Graph_CPRODTRE2" localSheetId="16" hidden="1">'[1]Time series'!#REF!</definedName>
    <definedName name="__123Graph_CPRODTRE2" localSheetId="24" hidden="1">'[1]Time series'!#REF!</definedName>
    <definedName name="__123Graph_CPRODTRE2" localSheetId="28" hidden="1">'[1]Time series'!#REF!</definedName>
    <definedName name="__123Graph_CPRODTRE2" localSheetId="21" hidden="1">'[1]Time series'!#REF!</definedName>
    <definedName name="__123Graph_CPRODTRE2" localSheetId="13" hidden="1">'[1]Time series'!#REF!</definedName>
    <definedName name="__123Graph_CPRODTRE2" localSheetId="34" hidden="1">'[1]Time series'!#REF!</definedName>
    <definedName name="__123Graph_CPRODTRE2" localSheetId="45" hidden="1">'[1]Time series'!#REF!</definedName>
    <definedName name="__123Graph_CPRODTRE2" localSheetId="60" hidden="1">'[1]Time series'!#REF!</definedName>
    <definedName name="__123Graph_CPRODTRE2" localSheetId="27" hidden="1">'[1]Time series'!#REF!</definedName>
    <definedName name="__123Graph_CPRODTRE2" localSheetId="12" hidden="1">'[1]Time series'!#REF!</definedName>
    <definedName name="__123Graph_CPRODTRE2" localSheetId="30" hidden="1">'[1]Time series'!#REF!</definedName>
    <definedName name="__123Graph_CPRODTRE2" localSheetId="26" hidden="1">'[1]Time series'!#REF!</definedName>
    <definedName name="__123Graph_CPRODTRE2" localSheetId="31" hidden="1">'[1]Time series'!#REF!</definedName>
    <definedName name="__123Graph_CPRODTRE2" localSheetId="25" hidden="1">'[1]Time series'!#REF!</definedName>
    <definedName name="__123Graph_CPRODTRE2" localSheetId="11" hidden="1">'[1]Time series'!#REF!</definedName>
    <definedName name="__123Graph_CPRODTRE2" localSheetId="29" hidden="1">'[1]Time series'!#REF!</definedName>
    <definedName name="__123Graph_CPRODTRE2" hidden="1">'[1]Time series'!#REF!</definedName>
    <definedName name="__123Graph_CPRODTREND" localSheetId="9" hidden="1">'[1]Time series'!#REF!</definedName>
    <definedName name="__123Graph_CPRODTREND" localSheetId="5" hidden="1">'[1]Time series'!#REF!</definedName>
    <definedName name="__123Graph_CPRODTREND" localSheetId="6" hidden="1">'[1]Time series'!#REF!</definedName>
    <definedName name="__123Graph_CPRODTREND" localSheetId="7" hidden="1">'[1]Time series'!#REF!</definedName>
    <definedName name="__123Graph_CPRODTREND" localSheetId="10" hidden="1">'[1]Time series'!#REF!</definedName>
    <definedName name="__123Graph_CPRODTREND" localSheetId="0" hidden="1">'[1]Time series'!#REF!</definedName>
    <definedName name="__123Graph_CPRODTREND" localSheetId="14" hidden="1">'[1]Time series'!#REF!</definedName>
    <definedName name="__123Graph_CPRODTREND" localSheetId="23" hidden="1">'[1]Time series'!#REF!</definedName>
    <definedName name="__123Graph_CPRODTREND" localSheetId="18" hidden="1">'[1]Time series'!#REF!</definedName>
    <definedName name="__123Graph_CPRODTREND" localSheetId="19" hidden="1">'[1]Time series'!#REF!</definedName>
    <definedName name="__123Graph_CPRODTREND" localSheetId="22" hidden="1">'[1]Time series'!#REF!</definedName>
    <definedName name="__123Graph_CPRODTREND" localSheetId="32" hidden="1">'[1]Time series'!#REF!</definedName>
    <definedName name="__123Graph_CPRODTREND" localSheetId="33" hidden="1">'[1]Time series'!#REF!</definedName>
    <definedName name="__123Graph_CPRODTREND" localSheetId="8" hidden="1">'[1]Time series'!#REF!</definedName>
    <definedName name="__123Graph_CPRODTREND" localSheetId="16" hidden="1">'[1]Time series'!#REF!</definedName>
    <definedName name="__123Graph_CPRODTREND" localSheetId="24" hidden="1">'[1]Time series'!#REF!</definedName>
    <definedName name="__123Graph_CPRODTREND" localSheetId="28" hidden="1">'[1]Time series'!#REF!</definedName>
    <definedName name="__123Graph_CPRODTREND" localSheetId="21" hidden="1">'[1]Time series'!#REF!</definedName>
    <definedName name="__123Graph_CPRODTREND" localSheetId="13" hidden="1">'[1]Time series'!#REF!</definedName>
    <definedName name="__123Graph_CPRODTREND" localSheetId="34" hidden="1">'[1]Time series'!#REF!</definedName>
    <definedName name="__123Graph_CPRODTREND" localSheetId="45" hidden="1">'[1]Time series'!#REF!</definedName>
    <definedName name="__123Graph_CPRODTREND" localSheetId="60" hidden="1">'[1]Time series'!#REF!</definedName>
    <definedName name="__123Graph_CPRODTREND" localSheetId="27" hidden="1">'[1]Time series'!#REF!</definedName>
    <definedName name="__123Graph_CPRODTREND" localSheetId="12" hidden="1">'[1]Time series'!#REF!</definedName>
    <definedName name="__123Graph_CPRODTREND" localSheetId="30" hidden="1">'[1]Time series'!#REF!</definedName>
    <definedName name="__123Graph_CPRODTREND" localSheetId="26" hidden="1">'[1]Time series'!#REF!</definedName>
    <definedName name="__123Graph_CPRODTREND" localSheetId="31" hidden="1">'[1]Time series'!#REF!</definedName>
    <definedName name="__123Graph_CPRODTREND" localSheetId="25" hidden="1">'[1]Time series'!#REF!</definedName>
    <definedName name="__123Graph_CPRODTREND" localSheetId="11" hidden="1">'[1]Time series'!#REF!</definedName>
    <definedName name="__123Graph_CPRODTREND" localSheetId="29" hidden="1">'[1]Time series'!#REF!</definedName>
    <definedName name="__123Graph_CPRODTREND" hidden="1">'[1]Time series'!#REF!</definedName>
    <definedName name="__123Graph_CUTRECHT" localSheetId="9" hidden="1">'[1]Time series'!#REF!</definedName>
    <definedName name="__123Graph_CUTRECHT" localSheetId="5" hidden="1">'[1]Time series'!#REF!</definedName>
    <definedName name="__123Graph_CUTRECHT" localSheetId="6" hidden="1">'[1]Time series'!#REF!</definedName>
    <definedName name="__123Graph_CUTRECHT" localSheetId="7" hidden="1">'[1]Time series'!#REF!</definedName>
    <definedName name="__123Graph_CUTRECHT" localSheetId="10" hidden="1">'[1]Time series'!#REF!</definedName>
    <definedName name="__123Graph_CUTRECHT" localSheetId="0" hidden="1">'[1]Time series'!#REF!</definedName>
    <definedName name="__123Graph_CUTRECHT" localSheetId="14" hidden="1">'[1]Time series'!#REF!</definedName>
    <definedName name="__123Graph_CUTRECHT" localSheetId="23" hidden="1">'[1]Time series'!#REF!</definedName>
    <definedName name="__123Graph_CUTRECHT" localSheetId="18" hidden="1">'[1]Time series'!#REF!</definedName>
    <definedName name="__123Graph_CUTRECHT" localSheetId="19" hidden="1">'[1]Time series'!#REF!</definedName>
    <definedName name="__123Graph_CUTRECHT" localSheetId="22" hidden="1">'[1]Time series'!#REF!</definedName>
    <definedName name="__123Graph_CUTRECHT" localSheetId="32" hidden="1">'[1]Time series'!#REF!</definedName>
    <definedName name="__123Graph_CUTRECHT" localSheetId="33" hidden="1">'[1]Time series'!#REF!</definedName>
    <definedName name="__123Graph_CUTRECHT" localSheetId="8" hidden="1">'[1]Time series'!#REF!</definedName>
    <definedName name="__123Graph_CUTRECHT" localSheetId="16" hidden="1">'[1]Time series'!#REF!</definedName>
    <definedName name="__123Graph_CUTRECHT" localSheetId="24" hidden="1">'[1]Time series'!#REF!</definedName>
    <definedName name="__123Graph_CUTRECHT" localSheetId="28" hidden="1">'[1]Time series'!#REF!</definedName>
    <definedName name="__123Graph_CUTRECHT" localSheetId="21" hidden="1">'[1]Time series'!#REF!</definedName>
    <definedName name="__123Graph_CUTRECHT" localSheetId="13" hidden="1">'[1]Time series'!#REF!</definedName>
    <definedName name="__123Graph_CUTRECHT" localSheetId="34" hidden="1">'[1]Time series'!#REF!</definedName>
    <definedName name="__123Graph_CUTRECHT" localSheetId="45" hidden="1">'[1]Time series'!#REF!</definedName>
    <definedName name="__123Graph_CUTRECHT" localSheetId="60" hidden="1">'[1]Time series'!#REF!</definedName>
    <definedName name="__123Graph_CUTRECHT" localSheetId="27" hidden="1">'[1]Time series'!#REF!</definedName>
    <definedName name="__123Graph_CUTRECHT" localSheetId="12" hidden="1">'[1]Time series'!#REF!</definedName>
    <definedName name="__123Graph_CUTRECHT" localSheetId="30" hidden="1">'[1]Time series'!#REF!</definedName>
    <definedName name="__123Graph_CUTRECHT" localSheetId="26" hidden="1">'[1]Time series'!#REF!</definedName>
    <definedName name="__123Graph_CUTRECHT" localSheetId="31" hidden="1">'[1]Time series'!#REF!</definedName>
    <definedName name="__123Graph_CUTRECHT" localSheetId="25" hidden="1">'[1]Time series'!#REF!</definedName>
    <definedName name="__123Graph_CUTRECHT" localSheetId="11" hidden="1">'[1]Time series'!#REF!</definedName>
    <definedName name="__123Graph_CUTRECHT" localSheetId="29" hidden="1">'[1]Time series'!#REF!</definedName>
    <definedName name="__123Graph_CUTRECHT" hidden="1">'[1]Time series'!#REF!</definedName>
    <definedName name="__123Graph_D" localSheetId="9" hidden="1">#REF!</definedName>
    <definedName name="__123Graph_D" localSheetId="5" hidden="1">#REF!</definedName>
    <definedName name="__123Graph_D" localSheetId="6" hidden="1">#REF!</definedName>
    <definedName name="__123Graph_D" localSheetId="7" hidden="1">#REF!</definedName>
    <definedName name="__123Graph_D" localSheetId="10" hidden="1">#REF!</definedName>
    <definedName name="__123Graph_D" localSheetId="0" hidden="1">#REF!</definedName>
    <definedName name="__123Graph_D" localSheetId="14" hidden="1">#REF!</definedName>
    <definedName name="__123Graph_D" localSheetId="23" hidden="1">#REF!</definedName>
    <definedName name="__123Graph_D" localSheetId="18" hidden="1">#REF!</definedName>
    <definedName name="__123Graph_D" localSheetId="19" hidden="1">#REF!</definedName>
    <definedName name="__123Graph_D" localSheetId="22" hidden="1">#REF!</definedName>
    <definedName name="__123Graph_D" localSheetId="32" hidden="1">#REF!</definedName>
    <definedName name="__123Graph_D" localSheetId="33" hidden="1">#REF!</definedName>
    <definedName name="__123Graph_D" localSheetId="8" hidden="1">#REF!</definedName>
    <definedName name="__123Graph_D" localSheetId="16" hidden="1">#REF!</definedName>
    <definedName name="__123Graph_D" localSheetId="24" hidden="1">#REF!</definedName>
    <definedName name="__123Graph_D" localSheetId="28" hidden="1">#REF!</definedName>
    <definedName name="__123Graph_D" localSheetId="21" hidden="1">#REF!</definedName>
    <definedName name="__123Graph_D" localSheetId="13" hidden="1">#REF!</definedName>
    <definedName name="__123Graph_D" localSheetId="34" hidden="1">#REF!</definedName>
    <definedName name="__123Graph_D" localSheetId="45" hidden="1">#REF!</definedName>
    <definedName name="__123Graph_D" localSheetId="41" hidden="1">#REF!</definedName>
    <definedName name="__123Graph_D" localSheetId="60" hidden="1">#REF!</definedName>
    <definedName name="__123Graph_D" localSheetId="27" hidden="1">#REF!</definedName>
    <definedName name="__123Graph_D" localSheetId="12" hidden="1">#REF!</definedName>
    <definedName name="__123Graph_D" localSheetId="30" hidden="1">#REF!</definedName>
    <definedName name="__123Graph_D" localSheetId="26" hidden="1">#REF!</definedName>
    <definedName name="__123Graph_D" localSheetId="31" hidden="1">#REF!</definedName>
    <definedName name="__123Graph_D" localSheetId="25" hidden="1">#REF!</definedName>
    <definedName name="__123Graph_D" localSheetId="11" hidden="1">#REF!</definedName>
    <definedName name="__123Graph_D" localSheetId="29" hidden="1">#REF!</definedName>
    <definedName name="__123Graph_D" hidden="1">#REF!</definedName>
    <definedName name="__123Graph_DBERLGRAP" localSheetId="9" hidden="1">'[1]Time series'!#REF!</definedName>
    <definedName name="__123Graph_DBERLGRAP" localSheetId="5" hidden="1">'[1]Time series'!#REF!</definedName>
    <definedName name="__123Graph_DBERLGRAP" localSheetId="6" hidden="1">'[1]Time series'!#REF!</definedName>
    <definedName name="__123Graph_DBERLGRAP" localSheetId="7" hidden="1">'[1]Time series'!#REF!</definedName>
    <definedName name="__123Graph_DBERLGRAP" localSheetId="10" hidden="1">'[1]Time series'!#REF!</definedName>
    <definedName name="__123Graph_DBERLGRAP" localSheetId="0" hidden="1">'[1]Time series'!#REF!</definedName>
    <definedName name="__123Graph_DBERLGRAP" localSheetId="14" hidden="1">'[1]Time series'!#REF!</definedName>
    <definedName name="__123Graph_DBERLGRAP" localSheetId="23" hidden="1">'[1]Time series'!#REF!</definedName>
    <definedName name="__123Graph_DBERLGRAP" localSheetId="18" hidden="1">'[1]Time series'!#REF!</definedName>
    <definedName name="__123Graph_DBERLGRAP" localSheetId="19" hidden="1">'[1]Time series'!#REF!</definedName>
    <definedName name="__123Graph_DBERLGRAP" localSheetId="22" hidden="1">'[1]Time series'!#REF!</definedName>
    <definedName name="__123Graph_DBERLGRAP" localSheetId="32" hidden="1">'[1]Time series'!#REF!</definedName>
    <definedName name="__123Graph_DBERLGRAP" localSheetId="33" hidden="1">'[1]Time series'!#REF!</definedName>
    <definedName name="__123Graph_DBERLGRAP" localSheetId="8" hidden="1">'[1]Time series'!#REF!</definedName>
    <definedName name="__123Graph_DBERLGRAP" localSheetId="16" hidden="1">'[1]Time series'!#REF!</definedName>
    <definedName name="__123Graph_DBERLGRAP" localSheetId="24" hidden="1">'[1]Time series'!#REF!</definedName>
    <definedName name="__123Graph_DBERLGRAP" localSheetId="28" hidden="1">'[1]Time series'!#REF!</definedName>
    <definedName name="__123Graph_DBERLGRAP" localSheetId="21" hidden="1">'[1]Time series'!#REF!</definedName>
    <definedName name="__123Graph_DBERLGRAP" localSheetId="13" hidden="1">'[1]Time series'!#REF!</definedName>
    <definedName name="__123Graph_DBERLGRAP" localSheetId="34" hidden="1">'[1]Time series'!#REF!</definedName>
    <definedName name="__123Graph_DBERLGRAP" localSheetId="45" hidden="1">'[1]Time series'!#REF!</definedName>
    <definedName name="__123Graph_DBERLGRAP" localSheetId="60" hidden="1">'[1]Time series'!#REF!</definedName>
    <definedName name="__123Graph_DBERLGRAP" localSheetId="27" hidden="1">'[1]Time series'!#REF!</definedName>
    <definedName name="__123Graph_DBERLGRAP" localSheetId="12" hidden="1">'[1]Time series'!#REF!</definedName>
    <definedName name="__123Graph_DBERLGRAP" localSheetId="30" hidden="1">'[1]Time series'!#REF!</definedName>
    <definedName name="__123Graph_DBERLGRAP" localSheetId="26" hidden="1">'[1]Time series'!#REF!</definedName>
    <definedName name="__123Graph_DBERLGRAP" localSheetId="31" hidden="1">'[1]Time series'!#REF!</definedName>
    <definedName name="__123Graph_DBERLGRAP" localSheetId="25" hidden="1">'[1]Time series'!#REF!</definedName>
    <definedName name="__123Graph_DBERLGRAP" localSheetId="11" hidden="1">'[1]Time series'!#REF!</definedName>
    <definedName name="__123Graph_DBERLGRAP" localSheetId="29" hidden="1">'[1]Time series'!#REF!</definedName>
    <definedName name="__123Graph_DBERLGRAP" hidden="1">'[1]Time series'!#REF!</definedName>
    <definedName name="__123Graph_DCATCH1" localSheetId="9" hidden="1">'[1]Time series'!#REF!</definedName>
    <definedName name="__123Graph_DCATCH1" localSheetId="5" hidden="1">'[1]Time series'!#REF!</definedName>
    <definedName name="__123Graph_DCATCH1" localSheetId="6" hidden="1">'[1]Time series'!#REF!</definedName>
    <definedName name="__123Graph_DCATCH1" localSheetId="7" hidden="1">'[1]Time series'!#REF!</definedName>
    <definedName name="__123Graph_DCATCH1" localSheetId="10" hidden="1">'[1]Time series'!#REF!</definedName>
    <definedName name="__123Graph_DCATCH1" localSheetId="0" hidden="1">'[1]Time series'!#REF!</definedName>
    <definedName name="__123Graph_DCATCH1" localSheetId="14" hidden="1">'[1]Time series'!#REF!</definedName>
    <definedName name="__123Graph_DCATCH1" localSheetId="23" hidden="1">'[1]Time series'!#REF!</definedName>
    <definedName name="__123Graph_DCATCH1" localSheetId="18" hidden="1">'[1]Time series'!#REF!</definedName>
    <definedName name="__123Graph_DCATCH1" localSheetId="19" hidden="1">'[1]Time series'!#REF!</definedName>
    <definedName name="__123Graph_DCATCH1" localSheetId="22" hidden="1">'[1]Time series'!#REF!</definedName>
    <definedName name="__123Graph_DCATCH1" localSheetId="32" hidden="1">'[1]Time series'!#REF!</definedName>
    <definedName name="__123Graph_DCATCH1" localSheetId="33" hidden="1">'[1]Time series'!#REF!</definedName>
    <definedName name="__123Graph_DCATCH1" localSheetId="8" hidden="1">'[1]Time series'!#REF!</definedName>
    <definedName name="__123Graph_DCATCH1" localSheetId="16" hidden="1">'[1]Time series'!#REF!</definedName>
    <definedName name="__123Graph_DCATCH1" localSheetId="24" hidden="1">'[1]Time series'!#REF!</definedName>
    <definedName name="__123Graph_DCATCH1" localSheetId="28" hidden="1">'[1]Time series'!#REF!</definedName>
    <definedName name="__123Graph_DCATCH1" localSheetId="21" hidden="1">'[1]Time series'!#REF!</definedName>
    <definedName name="__123Graph_DCATCH1" localSheetId="13" hidden="1">'[1]Time series'!#REF!</definedName>
    <definedName name="__123Graph_DCATCH1" localSheetId="34" hidden="1">'[1]Time series'!#REF!</definedName>
    <definedName name="__123Graph_DCATCH1" localSheetId="45" hidden="1">'[1]Time series'!#REF!</definedName>
    <definedName name="__123Graph_DCATCH1" localSheetId="60" hidden="1">'[1]Time series'!#REF!</definedName>
    <definedName name="__123Graph_DCATCH1" localSheetId="27" hidden="1">'[1]Time series'!#REF!</definedName>
    <definedName name="__123Graph_DCATCH1" localSheetId="12" hidden="1">'[1]Time series'!#REF!</definedName>
    <definedName name="__123Graph_DCATCH1" localSheetId="30" hidden="1">'[1]Time series'!#REF!</definedName>
    <definedName name="__123Graph_DCATCH1" localSheetId="26" hidden="1">'[1]Time series'!#REF!</definedName>
    <definedName name="__123Graph_DCATCH1" localSheetId="31" hidden="1">'[1]Time series'!#REF!</definedName>
    <definedName name="__123Graph_DCATCH1" localSheetId="25" hidden="1">'[1]Time series'!#REF!</definedName>
    <definedName name="__123Graph_DCATCH1" localSheetId="11" hidden="1">'[1]Time series'!#REF!</definedName>
    <definedName name="__123Graph_DCATCH1" localSheetId="29" hidden="1">'[1]Time series'!#REF!</definedName>
    <definedName name="__123Graph_DCATCH1" hidden="1">'[1]Time series'!#REF!</definedName>
    <definedName name="__123Graph_DCONVERG1" localSheetId="9" hidden="1">'[1]Time series'!#REF!</definedName>
    <definedName name="__123Graph_DCONVERG1" localSheetId="5" hidden="1">'[1]Time series'!#REF!</definedName>
    <definedName name="__123Graph_DCONVERG1" localSheetId="6" hidden="1">'[1]Time series'!#REF!</definedName>
    <definedName name="__123Graph_DCONVERG1" localSheetId="7" hidden="1">'[1]Time series'!#REF!</definedName>
    <definedName name="__123Graph_DCONVERG1" localSheetId="10" hidden="1">'[1]Time series'!#REF!</definedName>
    <definedName name="__123Graph_DCONVERG1" localSheetId="0" hidden="1">'[1]Time series'!#REF!</definedName>
    <definedName name="__123Graph_DCONVERG1" localSheetId="14" hidden="1">'[1]Time series'!#REF!</definedName>
    <definedName name="__123Graph_DCONVERG1" localSheetId="23" hidden="1">'[1]Time series'!#REF!</definedName>
    <definedName name="__123Graph_DCONVERG1" localSheetId="18" hidden="1">'[1]Time series'!#REF!</definedName>
    <definedName name="__123Graph_DCONVERG1" localSheetId="19" hidden="1">'[1]Time series'!#REF!</definedName>
    <definedName name="__123Graph_DCONVERG1" localSheetId="22" hidden="1">'[1]Time series'!#REF!</definedName>
    <definedName name="__123Graph_DCONVERG1" localSheetId="32" hidden="1">'[1]Time series'!#REF!</definedName>
    <definedName name="__123Graph_DCONVERG1" localSheetId="33" hidden="1">'[1]Time series'!#REF!</definedName>
    <definedName name="__123Graph_DCONVERG1" localSheetId="8" hidden="1">'[1]Time series'!#REF!</definedName>
    <definedName name="__123Graph_DCONVERG1" localSheetId="16" hidden="1">'[1]Time series'!#REF!</definedName>
    <definedName name="__123Graph_DCONVERG1" localSheetId="24" hidden="1">'[1]Time series'!#REF!</definedName>
    <definedName name="__123Graph_DCONVERG1" localSheetId="28" hidden="1">'[1]Time series'!#REF!</definedName>
    <definedName name="__123Graph_DCONVERG1" localSheetId="21" hidden="1">'[1]Time series'!#REF!</definedName>
    <definedName name="__123Graph_DCONVERG1" localSheetId="13" hidden="1">'[1]Time series'!#REF!</definedName>
    <definedName name="__123Graph_DCONVERG1" localSheetId="34" hidden="1">'[1]Time series'!#REF!</definedName>
    <definedName name="__123Graph_DCONVERG1" localSheetId="45" hidden="1">'[1]Time series'!#REF!</definedName>
    <definedName name="__123Graph_DCONVERG1" localSheetId="60" hidden="1">'[1]Time series'!#REF!</definedName>
    <definedName name="__123Graph_DCONVERG1" localSheetId="27" hidden="1">'[1]Time series'!#REF!</definedName>
    <definedName name="__123Graph_DCONVERG1" localSheetId="12" hidden="1">'[1]Time series'!#REF!</definedName>
    <definedName name="__123Graph_DCONVERG1" localSheetId="30" hidden="1">'[1]Time series'!#REF!</definedName>
    <definedName name="__123Graph_DCONVERG1" localSheetId="26" hidden="1">'[1]Time series'!#REF!</definedName>
    <definedName name="__123Graph_DCONVERG1" localSheetId="31" hidden="1">'[1]Time series'!#REF!</definedName>
    <definedName name="__123Graph_DCONVERG1" localSheetId="25" hidden="1">'[1]Time series'!#REF!</definedName>
    <definedName name="__123Graph_DCONVERG1" localSheetId="11" hidden="1">'[1]Time series'!#REF!</definedName>
    <definedName name="__123Graph_DCONVERG1" localSheetId="29" hidden="1">'[1]Time series'!#REF!</definedName>
    <definedName name="__123Graph_DCONVERG1" hidden="1">'[1]Time series'!#REF!</definedName>
    <definedName name="__123Graph_DECTOT" localSheetId="9" hidden="1">#REF!</definedName>
    <definedName name="__123Graph_DECTOT" localSheetId="5" hidden="1">#REF!</definedName>
    <definedName name="__123Graph_DECTOT" localSheetId="6" hidden="1">#REF!</definedName>
    <definedName name="__123Graph_DECTOT" localSheetId="7" hidden="1">#REF!</definedName>
    <definedName name="__123Graph_DECTOT" localSheetId="10" hidden="1">#REF!</definedName>
    <definedName name="__123Graph_DECTOT" localSheetId="0" hidden="1">#REF!</definedName>
    <definedName name="__123Graph_DECTOT" localSheetId="14" hidden="1">#REF!</definedName>
    <definedName name="__123Graph_DECTOT" localSheetId="23" hidden="1">#REF!</definedName>
    <definedName name="__123Graph_DECTOT" localSheetId="18" hidden="1">#REF!</definedName>
    <definedName name="__123Graph_DECTOT" localSheetId="19" hidden="1">#REF!</definedName>
    <definedName name="__123Graph_DECTOT" localSheetId="22" hidden="1">#REF!</definedName>
    <definedName name="__123Graph_DECTOT" localSheetId="32" hidden="1">#REF!</definedName>
    <definedName name="__123Graph_DECTOT" localSheetId="33" hidden="1">#REF!</definedName>
    <definedName name="__123Graph_DECTOT" localSheetId="8" hidden="1">#REF!</definedName>
    <definedName name="__123Graph_DECTOT" localSheetId="16" hidden="1">#REF!</definedName>
    <definedName name="__123Graph_DECTOT" localSheetId="24" hidden="1">#REF!</definedName>
    <definedName name="__123Graph_DECTOT" localSheetId="28" hidden="1">#REF!</definedName>
    <definedName name="__123Graph_DECTOT" localSheetId="21" hidden="1">#REF!</definedName>
    <definedName name="__123Graph_DECTOT" localSheetId="13" hidden="1">#REF!</definedName>
    <definedName name="__123Graph_DECTOT" localSheetId="34" hidden="1">#REF!</definedName>
    <definedName name="__123Graph_DECTOT" localSheetId="45" hidden="1">#REF!</definedName>
    <definedName name="__123Graph_DECTOT" localSheetId="41" hidden="1">#REF!</definedName>
    <definedName name="__123Graph_DECTOT" localSheetId="60" hidden="1">#REF!</definedName>
    <definedName name="__123Graph_DECTOT" localSheetId="27" hidden="1">#REF!</definedName>
    <definedName name="__123Graph_DECTOT" localSheetId="12" hidden="1">#REF!</definedName>
    <definedName name="__123Graph_DECTOT" localSheetId="30" hidden="1">#REF!</definedName>
    <definedName name="__123Graph_DECTOT" localSheetId="26" hidden="1">#REF!</definedName>
    <definedName name="__123Graph_DECTOT" localSheetId="31" hidden="1">#REF!</definedName>
    <definedName name="__123Graph_DECTOT" localSheetId="25" hidden="1">#REF!</definedName>
    <definedName name="__123Graph_DECTOT" localSheetId="11" hidden="1">#REF!</definedName>
    <definedName name="__123Graph_DECTOT" localSheetId="29" hidden="1">#REF!</definedName>
    <definedName name="__123Graph_DECTOT" hidden="1">#REF!</definedName>
    <definedName name="__123Graph_DGRAPH1" localSheetId="0" hidden="1">'[2]GDP(O)'!$F$2427:$F$2427</definedName>
    <definedName name="__123Graph_DGRAPH1" hidden="1">'[2]GDP(O)'!$F$2427:$F$2427</definedName>
    <definedName name="__123Graph_DGRAPH41" localSheetId="9" hidden="1">'[1]Time series'!#REF!</definedName>
    <definedName name="__123Graph_DGRAPH41" localSheetId="5" hidden="1">'[1]Time series'!#REF!</definedName>
    <definedName name="__123Graph_DGRAPH41" localSheetId="6" hidden="1">'[1]Time series'!#REF!</definedName>
    <definedName name="__123Graph_DGRAPH41" localSheetId="7" hidden="1">'[1]Time series'!#REF!</definedName>
    <definedName name="__123Graph_DGRAPH41" localSheetId="10" hidden="1">'[1]Time series'!#REF!</definedName>
    <definedName name="__123Graph_DGRAPH41" localSheetId="0" hidden="1">'[1]Time series'!#REF!</definedName>
    <definedName name="__123Graph_DGRAPH41" localSheetId="14" hidden="1">'[1]Time series'!#REF!</definedName>
    <definedName name="__123Graph_DGRAPH41" localSheetId="23" hidden="1">'[1]Time series'!#REF!</definedName>
    <definedName name="__123Graph_DGRAPH41" localSheetId="18" hidden="1">'[1]Time series'!#REF!</definedName>
    <definedName name="__123Graph_DGRAPH41" localSheetId="19" hidden="1">'[1]Time series'!#REF!</definedName>
    <definedName name="__123Graph_DGRAPH41" localSheetId="22" hidden="1">'[1]Time series'!#REF!</definedName>
    <definedName name="__123Graph_DGRAPH41" localSheetId="32" hidden="1">'[1]Time series'!#REF!</definedName>
    <definedName name="__123Graph_DGRAPH41" localSheetId="33" hidden="1">'[1]Time series'!#REF!</definedName>
    <definedName name="__123Graph_DGRAPH41" localSheetId="8" hidden="1">'[1]Time series'!#REF!</definedName>
    <definedName name="__123Graph_DGRAPH41" localSheetId="16" hidden="1">'[1]Time series'!#REF!</definedName>
    <definedName name="__123Graph_DGRAPH41" localSheetId="24" hidden="1">'[1]Time series'!#REF!</definedName>
    <definedName name="__123Graph_DGRAPH41" localSheetId="28" hidden="1">'[1]Time series'!#REF!</definedName>
    <definedName name="__123Graph_DGRAPH41" localSheetId="21" hidden="1">'[1]Time series'!#REF!</definedName>
    <definedName name="__123Graph_DGRAPH41" localSheetId="13" hidden="1">'[1]Time series'!#REF!</definedName>
    <definedName name="__123Graph_DGRAPH41" localSheetId="34" hidden="1">'[1]Time series'!#REF!</definedName>
    <definedName name="__123Graph_DGRAPH41" localSheetId="45" hidden="1">'[1]Time series'!#REF!</definedName>
    <definedName name="__123Graph_DGRAPH41" localSheetId="60" hidden="1">'[1]Time series'!#REF!</definedName>
    <definedName name="__123Graph_DGRAPH41" localSheetId="27" hidden="1">'[1]Time series'!#REF!</definedName>
    <definedName name="__123Graph_DGRAPH41" localSheetId="12" hidden="1">'[1]Time series'!#REF!</definedName>
    <definedName name="__123Graph_DGRAPH41" localSheetId="30" hidden="1">'[1]Time series'!#REF!</definedName>
    <definedName name="__123Graph_DGRAPH41" localSheetId="26" hidden="1">'[1]Time series'!#REF!</definedName>
    <definedName name="__123Graph_DGRAPH41" localSheetId="31" hidden="1">'[1]Time series'!#REF!</definedName>
    <definedName name="__123Graph_DGRAPH41" localSheetId="25" hidden="1">'[1]Time series'!#REF!</definedName>
    <definedName name="__123Graph_DGRAPH41" localSheetId="11" hidden="1">'[1]Time series'!#REF!</definedName>
    <definedName name="__123Graph_DGRAPH41" localSheetId="29" hidden="1">'[1]Time series'!#REF!</definedName>
    <definedName name="__123Graph_DGRAPH41" hidden="1">'[1]Time series'!#REF!</definedName>
    <definedName name="__123Graph_DPERIA" localSheetId="9" hidden="1">'[1]Time series'!#REF!</definedName>
    <definedName name="__123Graph_DPERIA" localSheetId="5" hidden="1">'[1]Time series'!#REF!</definedName>
    <definedName name="__123Graph_DPERIA" localSheetId="6" hidden="1">'[1]Time series'!#REF!</definedName>
    <definedName name="__123Graph_DPERIA" localSheetId="7" hidden="1">'[1]Time series'!#REF!</definedName>
    <definedName name="__123Graph_DPERIA" localSheetId="10" hidden="1">'[1]Time series'!#REF!</definedName>
    <definedName name="__123Graph_DPERIA" localSheetId="0" hidden="1">'[1]Time series'!#REF!</definedName>
    <definedName name="__123Graph_DPERIA" localSheetId="14" hidden="1">'[1]Time series'!#REF!</definedName>
    <definedName name="__123Graph_DPERIA" localSheetId="23" hidden="1">'[1]Time series'!#REF!</definedName>
    <definedName name="__123Graph_DPERIA" localSheetId="18" hidden="1">'[1]Time series'!#REF!</definedName>
    <definedName name="__123Graph_DPERIA" localSheetId="19" hidden="1">'[1]Time series'!#REF!</definedName>
    <definedName name="__123Graph_DPERIA" localSheetId="22" hidden="1">'[1]Time series'!#REF!</definedName>
    <definedName name="__123Graph_DPERIA" localSheetId="32" hidden="1">'[1]Time series'!#REF!</definedName>
    <definedName name="__123Graph_DPERIA" localSheetId="33" hidden="1">'[1]Time series'!#REF!</definedName>
    <definedName name="__123Graph_DPERIA" localSheetId="8" hidden="1">'[1]Time series'!#REF!</definedName>
    <definedName name="__123Graph_DPERIA" localSheetId="16" hidden="1">'[1]Time series'!#REF!</definedName>
    <definedName name="__123Graph_DPERIA" localSheetId="24" hidden="1">'[1]Time series'!#REF!</definedName>
    <definedName name="__123Graph_DPERIA" localSheetId="28" hidden="1">'[1]Time series'!#REF!</definedName>
    <definedName name="__123Graph_DPERIA" localSheetId="21" hidden="1">'[1]Time series'!#REF!</definedName>
    <definedName name="__123Graph_DPERIA" localSheetId="13" hidden="1">'[1]Time series'!#REF!</definedName>
    <definedName name="__123Graph_DPERIA" localSheetId="34" hidden="1">'[1]Time series'!#REF!</definedName>
    <definedName name="__123Graph_DPERIA" localSheetId="45" hidden="1">'[1]Time series'!#REF!</definedName>
    <definedName name="__123Graph_DPERIA" localSheetId="60" hidden="1">'[1]Time series'!#REF!</definedName>
    <definedName name="__123Graph_DPERIA" localSheetId="27" hidden="1">'[1]Time series'!#REF!</definedName>
    <definedName name="__123Graph_DPERIA" localSheetId="12" hidden="1">'[1]Time series'!#REF!</definedName>
    <definedName name="__123Graph_DPERIA" localSheetId="30" hidden="1">'[1]Time series'!#REF!</definedName>
    <definedName name="__123Graph_DPERIA" localSheetId="26" hidden="1">'[1]Time series'!#REF!</definedName>
    <definedName name="__123Graph_DPERIA" localSheetId="31" hidden="1">'[1]Time series'!#REF!</definedName>
    <definedName name="__123Graph_DPERIA" localSheetId="25" hidden="1">'[1]Time series'!#REF!</definedName>
    <definedName name="__123Graph_DPERIA" localSheetId="11" hidden="1">'[1]Time series'!#REF!</definedName>
    <definedName name="__123Graph_DPERIA" localSheetId="29" hidden="1">'[1]Time series'!#REF!</definedName>
    <definedName name="__123Graph_DPERIA" hidden="1">'[1]Time series'!#REF!</definedName>
    <definedName name="__123Graph_DPERIB" localSheetId="9" hidden="1">'[1]Time series'!#REF!</definedName>
    <definedName name="__123Graph_DPERIB" localSheetId="5" hidden="1">'[1]Time series'!#REF!</definedName>
    <definedName name="__123Graph_DPERIB" localSheetId="6" hidden="1">'[1]Time series'!#REF!</definedName>
    <definedName name="__123Graph_DPERIB" localSheetId="7" hidden="1">'[1]Time series'!#REF!</definedName>
    <definedName name="__123Graph_DPERIB" localSheetId="10" hidden="1">'[1]Time series'!#REF!</definedName>
    <definedName name="__123Graph_DPERIB" localSheetId="0" hidden="1">'[1]Time series'!#REF!</definedName>
    <definedName name="__123Graph_DPERIB" localSheetId="14" hidden="1">'[1]Time series'!#REF!</definedName>
    <definedName name="__123Graph_DPERIB" localSheetId="23" hidden="1">'[1]Time series'!#REF!</definedName>
    <definedName name="__123Graph_DPERIB" localSheetId="18" hidden="1">'[1]Time series'!#REF!</definedName>
    <definedName name="__123Graph_DPERIB" localSheetId="19" hidden="1">'[1]Time series'!#REF!</definedName>
    <definedName name="__123Graph_DPERIB" localSheetId="22" hidden="1">'[1]Time series'!#REF!</definedName>
    <definedName name="__123Graph_DPERIB" localSheetId="32" hidden="1">'[1]Time series'!#REF!</definedName>
    <definedName name="__123Graph_DPERIB" localSheetId="33" hidden="1">'[1]Time series'!#REF!</definedName>
    <definedName name="__123Graph_DPERIB" localSheetId="8" hidden="1">'[1]Time series'!#REF!</definedName>
    <definedName name="__123Graph_DPERIB" localSheetId="16" hidden="1">'[1]Time series'!#REF!</definedName>
    <definedName name="__123Graph_DPERIB" localSheetId="24" hidden="1">'[1]Time series'!#REF!</definedName>
    <definedName name="__123Graph_DPERIB" localSheetId="28" hidden="1">'[1]Time series'!#REF!</definedName>
    <definedName name="__123Graph_DPERIB" localSheetId="21" hidden="1">'[1]Time series'!#REF!</definedName>
    <definedName name="__123Graph_DPERIB" localSheetId="13" hidden="1">'[1]Time series'!#REF!</definedName>
    <definedName name="__123Graph_DPERIB" localSheetId="34" hidden="1">'[1]Time series'!#REF!</definedName>
    <definedName name="__123Graph_DPERIB" localSheetId="45" hidden="1">'[1]Time series'!#REF!</definedName>
    <definedName name="__123Graph_DPERIB" localSheetId="60" hidden="1">'[1]Time series'!#REF!</definedName>
    <definedName name="__123Graph_DPERIB" localSheetId="27" hidden="1">'[1]Time series'!#REF!</definedName>
    <definedName name="__123Graph_DPERIB" localSheetId="12" hidden="1">'[1]Time series'!#REF!</definedName>
    <definedName name="__123Graph_DPERIB" localSheetId="30" hidden="1">'[1]Time series'!#REF!</definedName>
    <definedName name="__123Graph_DPERIB" localSheetId="26" hidden="1">'[1]Time series'!#REF!</definedName>
    <definedName name="__123Graph_DPERIB" localSheetId="31" hidden="1">'[1]Time series'!#REF!</definedName>
    <definedName name="__123Graph_DPERIB" localSheetId="25" hidden="1">'[1]Time series'!#REF!</definedName>
    <definedName name="__123Graph_DPERIB" localSheetId="11" hidden="1">'[1]Time series'!#REF!</definedName>
    <definedName name="__123Graph_DPERIB" localSheetId="29" hidden="1">'[1]Time series'!#REF!</definedName>
    <definedName name="__123Graph_DPERIB" hidden="1">'[1]Time series'!#REF!</definedName>
    <definedName name="__123Graph_DPRODABSC" localSheetId="9" hidden="1">'[1]Time series'!#REF!</definedName>
    <definedName name="__123Graph_DPRODABSC" localSheetId="5" hidden="1">'[1]Time series'!#REF!</definedName>
    <definedName name="__123Graph_DPRODABSC" localSheetId="6" hidden="1">'[1]Time series'!#REF!</definedName>
    <definedName name="__123Graph_DPRODABSC" localSheetId="7" hidden="1">'[1]Time series'!#REF!</definedName>
    <definedName name="__123Graph_DPRODABSC" localSheetId="10" hidden="1">'[1]Time series'!#REF!</definedName>
    <definedName name="__123Graph_DPRODABSC" localSheetId="0" hidden="1">'[1]Time series'!#REF!</definedName>
    <definedName name="__123Graph_DPRODABSC" localSheetId="14" hidden="1">'[1]Time series'!#REF!</definedName>
    <definedName name="__123Graph_DPRODABSC" localSheetId="23" hidden="1">'[1]Time series'!#REF!</definedName>
    <definedName name="__123Graph_DPRODABSC" localSheetId="18" hidden="1">'[1]Time series'!#REF!</definedName>
    <definedName name="__123Graph_DPRODABSC" localSheetId="19" hidden="1">'[1]Time series'!#REF!</definedName>
    <definedName name="__123Graph_DPRODABSC" localSheetId="22" hidden="1">'[1]Time series'!#REF!</definedName>
    <definedName name="__123Graph_DPRODABSC" localSheetId="32" hidden="1">'[1]Time series'!#REF!</definedName>
    <definedName name="__123Graph_DPRODABSC" localSheetId="33" hidden="1">'[1]Time series'!#REF!</definedName>
    <definedName name="__123Graph_DPRODABSC" localSheetId="8" hidden="1">'[1]Time series'!#REF!</definedName>
    <definedName name="__123Graph_DPRODABSC" localSheetId="16" hidden="1">'[1]Time series'!#REF!</definedName>
    <definedName name="__123Graph_DPRODABSC" localSheetId="24" hidden="1">'[1]Time series'!#REF!</definedName>
    <definedName name="__123Graph_DPRODABSC" localSheetId="28" hidden="1">'[1]Time series'!#REF!</definedName>
    <definedName name="__123Graph_DPRODABSC" localSheetId="21" hidden="1">'[1]Time series'!#REF!</definedName>
    <definedName name="__123Graph_DPRODABSC" localSheetId="13" hidden="1">'[1]Time series'!#REF!</definedName>
    <definedName name="__123Graph_DPRODABSC" localSheetId="34" hidden="1">'[1]Time series'!#REF!</definedName>
    <definedName name="__123Graph_DPRODABSC" localSheetId="45" hidden="1">'[1]Time series'!#REF!</definedName>
    <definedName name="__123Graph_DPRODABSC" localSheetId="60" hidden="1">'[1]Time series'!#REF!</definedName>
    <definedName name="__123Graph_DPRODABSC" localSheetId="27" hidden="1">'[1]Time series'!#REF!</definedName>
    <definedName name="__123Graph_DPRODABSC" localSheetId="12" hidden="1">'[1]Time series'!#REF!</definedName>
    <definedName name="__123Graph_DPRODABSC" localSheetId="30" hidden="1">'[1]Time series'!#REF!</definedName>
    <definedName name="__123Graph_DPRODABSC" localSheetId="26" hidden="1">'[1]Time series'!#REF!</definedName>
    <definedName name="__123Graph_DPRODABSC" localSheetId="31" hidden="1">'[1]Time series'!#REF!</definedName>
    <definedName name="__123Graph_DPRODABSC" localSheetId="25" hidden="1">'[1]Time series'!#REF!</definedName>
    <definedName name="__123Graph_DPRODABSC" localSheetId="11" hidden="1">'[1]Time series'!#REF!</definedName>
    <definedName name="__123Graph_DPRODABSC" localSheetId="29" hidden="1">'[1]Time series'!#REF!</definedName>
    <definedName name="__123Graph_DPRODABSC" hidden="1">'[1]Time series'!#REF!</definedName>
    <definedName name="__123Graph_DUTRECHT" localSheetId="9" hidden="1">'[1]Time series'!#REF!</definedName>
    <definedName name="__123Graph_DUTRECHT" localSheetId="5" hidden="1">'[1]Time series'!#REF!</definedName>
    <definedName name="__123Graph_DUTRECHT" localSheetId="6" hidden="1">'[1]Time series'!#REF!</definedName>
    <definedName name="__123Graph_DUTRECHT" localSheetId="7" hidden="1">'[1]Time series'!#REF!</definedName>
    <definedName name="__123Graph_DUTRECHT" localSheetId="10" hidden="1">'[1]Time series'!#REF!</definedName>
    <definedName name="__123Graph_DUTRECHT" localSheetId="0" hidden="1">'[1]Time series'!#REF!</definedName>
    <definedName name="__123Graph_DUTRECHT" localSheetId="14" hidden="1">'[1]Time series'!#REF!</definedName>
    <definedName name="__123Graph_DUTRECHT" localSheetId="23" hidden="1">'[1]Time series'!#REF!</definedName>
    <definedName name="__123Graph_DUTRECHT" localSheetId="18" hidden="1">'[1]Time series'!#REF!</definedName>
    <definedName name="__123Graph_DUTRECHT" localSheetId="19" hidden="1">'[1]Time series'!#REF!</definedName>
    <definedName name="__123Graph_DUTRECHT" localSheetId="22" hidden="1">'[1]Time series'!#REF!</definedName>
    <definedName name="__123Graph_DUTRECHT" localSheetId="32" hidden="1">'[1]Time series'!#REF!</definedName>
    <definedName name="__123Graph_DUTRECHT" localSheetId="33" hidden="1">'[1]Time series'!#REF!</definedName>
    <definedName name="__123Graph_DUTRECHT" localSheetId="8" hidden="1">'[1]Time series'!#REF!</definedName>
    <definedName name="__123Graph_DUTRECHT" localSheetId="16" hidden="1">'[1]Time series'!#REF!</definedName>
    <definedName name="__123Graph_DUTRECHT" localSheetId="24" hidden="1">'[1]Time series'!#REF!</definedName>
    <definedName name="__123Graph_DUTRECHT" localSheetId="28" hidden="1">'[1]Time series'!#REF!</definedName>
    <definedName name="__123Graph_DUTRECHT" localSheetId="21" hidden="1">'[1]Time series'!#REF!</definedName>
    <definedName name="__123Graph_DUTRECHT" localSheetId="13" hidden="1">'[1]Time series'!#REF!</definedName>
    <definedName name="__123Graph_DUTRECHT" localSheetId="34" hidden="1">'[1]Time series'!#REF!</definedName>
    <definedName name="__123Graph_DUTRECHT" localSheetId="45" hidden="1">'[1]Time series'!#REF!</definedName>
    <definedName name="__123Graph_DUTRECHT" localSheetId="60" hidden="1">'[1]Time series'!#REF!</definedName>
    <definedName name="__123Graph_DUTRECHT" localSheetId="27" hidden="1">'[1]Time series'!#REF!</definedName>
    <definedName name="__123Graph_DUTRECHT" localSheetId="12" hidden="1">'[1]Time series'!#REF!</definedName>
    <definedName name="__123Graph_DUTRECHT" localSheetId="30" hidden="1">'[1]Time series'!#REF!</definedName>
    <definedName name="__123Graph_DUTRECHT" localSheetId="26" hidden="1">'[1]Time series'!#REF!</definedName>
    <definedName name="__123Graph_DUTRECHT" localSheetId="31" hidden="1">'[1]Time series'!#REF!</definedName>
    <definedName name="__123Graph_DUTRECHT" localSheetId="25" hidden="1">'[1]Time series'!#REF!</definedName>
    <definedName name="__123Graph_DUTRECHT" localSheetId="11" hidden="1">'[1]Time series'!#REF!</definedName>
    <definedName name="__123Graph_DUTRECHT" localSheetId="29" hidden="1">'[1]Time series'!#REF!</definedName>
    <definedName name="__123Graph_DUTRECHT" hidden="1">'[1]Time series'!#REF!</definedName>
    <definedName name="__123Graph_E" localSheetId="9" hidden="1">#REF!</definedName>
    <definedName name="__123Graph_E" localSheetId="5" hidden="1">#REF!</definedName>
    <definedName name="__123Graph_E" localSheetId="6" hidden="1">#REF!</definedName>
    <definedName name="__123Graph_E" localSheetId="7" hidden="1">#REF!</definedName>
    <definedName name="__123Graph_E" localSheetId="10" hidden="1">#REF!</definedName>
    <definedName name="__123Graph_E" localSheetId="0" hidden="1">#REF!</definedName>
    <definedName name="__123Graph_E" localSheetId="14" hidden="1">#REF!</definedName>
    <definedName name="__123Graph_E" localSheetId="23" hidden="1">#REF!</definedName>
    <definedName name="__123Graph_E" localSheetId="18" hidden="1">#REF!</definedName>
    <definedName name="__123Graph_E" localSheetId="19" hidden="1">#REF!</definedName>
    <definedName name="__123Graph_E" localSheetId="22" hidden="1">#REF!</definedName>
    <definedName name="__123Graph_E" localSheetId="32" hidden="1">#REF!</definedName>
    <definedName name="__123Graph_E" localSheetId="33" hidden="1">#REF!</definedName>
    <definedName name="__123Graph_E" localSheetId="8" hidden="1">#REF!</definedName>
    <definedName name="__123Graph_E" localSheetId="16" hidden="1">#REF!</definedName>
    <definedName name="__123Graph_E" localSheetId="24" hidden="1">#REF!</definedName>
    <definedName name="__123Graph_E" localSheetId="28" hidden="1">#REF!</definedName>
    <definedName name="__123Graph_E" localSheetId="21" hidden="1">#REF!</definedName>
    <definedName name="__123Graph_E" localSheetId="13" hidden="1">#REF!</definedName>
    <definedName name="__123Graph_E" localSheetId="34" hidden="1">#REF!</definedName>
    <definedName name="__123Graph_E" localSheetId="45" hidden="1">#REF!</definedName>
    <definedName name="__123Graph_E" localSheetId="41" hidden="1">#REF!</definedName>
    <definedName name="__123Graph_E" localSheetId="60" hidden="1">#REF!</definedName>
    <definedName name="__123Graph_E" localSheetId="27" hidden="1">#REF!</definedName>
    <definedName name="__123Graph_E" localSheetId="12" hidden="1">#REF!</definedName>
    <definedName name="__123Graph_E" localSheetId="30" hidden="1">#REF!</definedName>
    <definedName name="__123Graph_E" localSheetId="26" hidden="1">#REF!</definedName>
    <definedName name="__123Graph_E" localSheetId="31" hidden="1">#REF!</definedName>
    <definedName name="__123Graph_E" localSheetId="25" hidden="1">#REF!</definedName>
    <definedName name="__123Graph_E" localSheetId="11" hidden="1">#REF!</definedName>
    <definedName name="__123Graph_E" localSheetId="29" hidden="1">#REF!</definedName>
    <definedName name="__123Graph_E" hidden="1">#REF!</definedName>
    <definedName name="__123Graph_EBERLGRAP" localSheetId="9" hidden="1">'[1]Time series'!#REF!</definedName>
    <definedName name="__123Graph_EBERLGRAP" localSheetId="5" hidden="1">'[1]Time series'!#REF!</definedName>
    <definedName name="__123Graph_EBERLGRAP" localSheetId="6" hidden="1">'[1]Time series'!#REF!</definedName>
    <definedName name="__123Graph_EBERLGRAP" localSheetId="7" hidden="1">'[1]Time series'!#REF!</definedName>
    <definedName name="__123Graph_EBERLGRAP" localSheetId="10" hidden="1">'[1]Time series'!#REF!</definedName>
    <definedName name="__123Graph_EBERLGRAP" localSheetId="0" hidden="1">'[1]Time series'!#REF!</definedName>
    <definedName name="__123Graph_EBERLGRAP" localSheetId="14" hidden="1">'[1]Time series'!#REF!</definedName>
    <definedName name="__123Graph_EBERLGRAP" localSheetId="23" hidden="1">'[1]Time series'!#REF!</definedName>
    <definedName name="__123Graph_EBERLGRAP" localSheetId="18" hidden="1">'[1]Time series'!#REF!</definedName>
    <definedName name="__123Graph_EBERLGRAP" localSheetId="19" hidden="1">'[1]Time series'!#REF!</definedName>
    <definedName name="__123Graph_EBERLGRAP" localSheetId="22" hidden="1">'[1]Time series'!#REF!</definedName>
    <definedName name="__123Graph_EBERLGRAP" localSheetId="32" hidden="1">'[1]Time series'!#REF!</definedName>
    <definedName name="__123Graph_EBERLGRAP" localSheetId="33" hidden="1">'[1]Time series'!#REF!</definedName>
    <definedName name="__123Graph_EBERLGRAP" localSheetId="8" hidden="1">'[1]Time series'!#REF!</definedName>
    <definedName name="__123Graph_EBERLGRAP" localSheetId="16" hidden="1">'[1]Time series'!#REF!</definedName>
    <definedName name="__123Graph_EBERLGRAP" localSheetId="24" hidden="1">'[1]Time series'!#REF!</definedName>
    <definedName name="__123Graph_EBERLGRAP" localSheetId="28" hidden="1">'[1]Time series'!#REF!</definedName>
    <definedName name="__123Graph_EBERLGRAP" localSheetId="21" hidden="1">'[1]Time series'!#REF!</definedName>
    <definedName name="__123Graph_EBERLGRAP" localSheetId="13" hidden="1">'[1]Time series'!#REF!</definedName>
    <definedName name="__123Graph_EBERLGRAP" localSheetId="34" hidden="1">'[1]Time series'!#REF!</definedName>
    <definedName name="__123Graph_EBERLGRAP" localSheetId="45" hidden="1">'[1]Time series'!#REF!</definedName>
    <definedName name="__123Graph_EBERLGRAP" localSheetId="60" hidden="1">'[1]Time series'!#REF!</definedName>
    <definedName name="__123Graph_EBERLGRAP" localSheetId="27" hidden="1">'[1]Time series'!#REF!</definedName>
    <definedName name="__123Graph_EBERLGRAP" localSheetId="12" hidden="1">'[1]Time series'!#REF!</definedName>
    <definedName name="__123Graph_EBERLGRAP" localSheetId="30" hidden="1">'[1]Time series'!#REF!</definedName>
    <definedName name="__123Graph_EBERLGRAP" localSheetId="26" hidden="1">'[1]Time series'!#REF!</definedName>
    <definedName name="__123Graph_EBERLGRAP" localSheetId="31" hidden="1">'[1]Time series'!#REF!</definedName>
    <definedName name="__123Graph_EBERLGRAP" localSheetId="25" hidden="1">'[1]Time series'!#REF!</definedName>
    <definedName name="__123Graph_EBERLGRAP" localSheetId="11" hidden="1">'[1]Time series'!#REF!</definedName>
    <definedName name="__123Graph_EBERLGRAP" localSheetId="29" hidden="1">'[1]Time series'!#REF!</definedName>
    <definedName name="__123Graph_EBERLGRAP" hidden="1">'[1]Time series'!#REF!</definedName>
    <definedName name="__123Graph_ECATCH1" localSheetId="9"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10" hidden="1">#REF!</definedName>
    <definedName name="__123Graph_ECATCH1" localSheetId="0" hidden="1">#REF!</definedName>
    <definedName name="__123Graph_ECATCH1" localSheetId="14" hidden="1">#REF!</definedName>
    <definedName name="__123Graph_ECATCH1" localSheetId="23" hidden="1">#REF!</definedName>
    <definedName name="__123Graph_ECATCH1" localSheetId="18" hidden="1">#REF!</definedName>
    <definedName name="__123Graph_ECATCH1" localSheetId="19" hidden="1">#REF!</definedName>
    <definedName name="__123Graph_ECATCH1" localSheetId="22" hidden="1">#REF!</definedName>
    <definedName name="__123Graph_ECATCH1" localSheetId="32" hidden="1">#REF!</definedName>
    <definedName name="__123Graph_ECATCH1" localSheetId="33" hidden="1">#REF!</definedName>
    <definedName name="__123Graph_ECATCH1" localSheetId="8" hidden="1">#REF!</definedName>
    <definedName name="__123Graph_ECATCH1" localSheetId="16" hidden="1">#REF!</definedName>
    <definedName name="__123Graph_ECATCH1" localSheetId="24" hidden="1">#REF!</definedName>
    <definedName name="__123Graph_ECATCH1" localSheetId="28" hidden="1">#REF!</definedName>
    <definedName name="__123Graph_ECATCH1" localSheetId="21" hidden="1">#REF!</definedName>
    <definedName name="__123Graph_ECATCH1" localSheetId="13" hidden="1">#REF!</definedName>
    <definedName name="__123Graph_ECATCH1" localSheetId="34" hidden="1">#REF!</definedName>
    <definedName name="__123Graph_ECATCH1" localSheetId="45" hidden="1">#REF!</definedName>
    <definedName name="__123Graph_ECATCH1" localSheetId="41" hidden="1">#REF!</definedName>
    <definedName name="__123Graph_ECATCH1" localSheetId="60" hidden="1">#REF!</definedName>
    <definedName name="__123Graph_ECATCH1" localSheetId="27" hidden="1">#REF!</definedName>
    <definedName name="__123Graph_ECATCH1" localSheetId="12" hidden="1">#REF!</definedName>
    <definedName name="__123Graph_ECATCH1" localSheetId="30" hidden="1">#REF!</definedName>
    <definedName name="__123Graph_ECATCH1" localSheetId="26" hidden="1">#REF!</definedName>
    <definedName name="__123Graph_ECATCH1" localSheetId="31" hidden="1">#REF!</definedName>
    <definedName name="__123Graph_ECATCH1" localSheetId="25" hidden="1">#REF!</definedName>
    <definedName name="__123Graph_ECATCH1" localSheetId="11" hidden="1">#REF!</definedName>
    <definedName name="__123Graph_ECATCH1" localSheetId="29" hidden="1">#REF!</definedName>
    <definedName name="__123Graph_ECATCH1" hidden="1">#REF!</definedName>
    <definedName name="__123Graph_ECONVERG1" localSheetId="9" hidden="1">'[1]Time series'!#REF!</definedName>
    <definedName name="__123Graph_ECONVERG1" localSheetId="5" hidden="1">'[1]Time series'!#REF!</definedName>
    <definedName name="__123Graph_ECONVERG1" localSheetId="6" hidden="1">'[1]Time series'!#REF!</definedName>
    <definedName name="__123Graph_ECONVERG1" localSheetId="7" hidden="1">'[1]Time series'!#REF!</definedName>
    <definedName name="__123Graph_ECONVERG1" localSheetId="10" hidden="1">'[1]Time series'!#REF!</definedName>
    <definedName name="__123Graph_ECONVERG1" localSheetId="0" hidden="1">'[1]Time series'!#REF!</definedName>
    <definedName name="__123Graph_ECONVERG1" localSheetId="14" hidden="1">'[1]Time series'!#REF!</definedName>
    <definedName name="__123Graph_ECONVERG1" localSheetId="23" hidden="1">'[1]Time series'!#REF!</definedName>
    <definedName name="__123Graph_ECONVERG1" localSheetId="18" hidden="1">'[1]Time series'!#REF!</definedName>
    <definedName name="__123Graph_ECONVERG1" localSheetId="19" hidden="1">'[1]Time series'!#REF!</definedName>
    <definedName name="__123Graph_ECONVERG1" localSheetId="22" hidden="1">'[1]Time series'!#REF!</definedName>
    <definedName name="__123Graph_ECONVERG1" localSheetId="32" hidden="1">'[1]Time series'!#REF!</definedName>
    <definedName name="__123Graph_ECONVERG1" localSheetId="33" hidden="1">'[1]Time series'!#REF!</definedName>
    <definedName name="__123Graph_ECONVERG1" localSheetId="8" hidden="1">'[1]Time series'!#REF!</definedName>
    <definedName name="__123Graph_ECONVERG1" localSheetId="16" hidden="1">'[1]Time series'!#REF!</definedName>
    <definedName name="__123Graph_ECONVERG1" localSheetId="24" hidden="1">'[1]Time series'!#REF!</definedName>
    <definedName name="__123Graph_ECONVERG1" localSheetId="28" hidden="1">'[1]Time series'!#REF!</definedName>
    <definedName name="__123Graph_ECONVERG1" localSheetId="21" hidden="1">'[1]Time series'!#REF!</definedName>
    <definedName name="__123Graph_ECONVERG1" localSheetId="13" hidden="1">'[1]Time series'!#REF!</definedName>
    <definedName name="__123Graph_ECONVERG1" localSheetId="34" hidden="1">'[1]Time series'!#REF!</definedName>
    <definedName name="__123Graph_ECONVERG1" localSheetId="45" hidden="1">'[1]Time series'!#REF!</definedName>
    <definedName name="__123Graph_ECONVERG1" localSheetId="60" hidden="1">'[1]Time series'!#REF!</definedName>
    <definedName name="__123Graph_ECONVERG1" localSheetId="27" hidden="1">'[1]Time series'!#REF!</definedName>
    <definedName name="__123Graph_ECONVERG1" localSheetId="12" hidden="1">'[1]Time series'!#REF!</definedName>
    <definedName name="__123Graph_ECONVERG1" localSheetId="30" hidden="1">'[1]Time series'!#REF!</definedName>
    <definedName name="__123Graph_ECONVERG1" localSheetId="26" hidden="1">'[1]Time series'!#REF!</definedName>
    <definedName name="__123Graph_ECONVERG1" localSheetId="31" hidden="1">'[1]Time series'!#REF!</definedName>
    <definedName name="__123Graph_ECONVERG1" localSheetId="25" hidden="1">'[1]Time series'!#REF!</definedName>
    <definedName name="__123Graph_ECONVERG1" localSheetId="11" hidden="1">'[1]Time series'!#REF!</definedName>
    <definedName name="__123Graph_ECONVERG1" localSheetId="29" hidden="1">'[1]Time series'!#REF!</definedName>
    <definedName name="__123Graph_ECONVERG1" hidden="1">'[1]Time series'!#REF!</definedName>
    <definedName name="__123Graph_EECTOT" localSheetId="9" hidden="1">#REF!</definedName>
    <definedName name="__123Graph_EECTOT" localSheetId="5" hidden="1">#REF!</definedName>
    <definedName name="__123Graph_EECTOT" localSheetId="6" hidden="1">#REF!</definedName>
    <definedName name="__123Graph_EECTOT" localSheetId="7" hidden="1">#REF!</definedName>
    <definedName name="__123Graph_EECTOT" localSheetId="10" hidden="1">#REF!</definedName>
    <definedName name="__123Graph_EECTOT" localSheetId="0" hidden="1">#REF!</definedName>
    <definedName name="__123Graph_EECTOT" localSheetId="14" hidden="1">#REF!</definedName>
    <definedName name="__123Graph_EECTOT" localSheetId="23" hidden="1">#REF!</definedName>
    <definedName name="__123Graph_EECTOT" localSheetId="18" hidden="1">#REF!</definedName>
    <definedName name="__123Graph_EECTOT" localSheetId="19" hidden="1">#REF!</definedName>
    <definedName name="__123Graph_EECTOT" localSheetId="22" hidden="1">#REF!</definedName>
    <definedName name="__123Graph_EECTOT" localSheetId="32" hidden="1">#REF!</definedName>
    <definedName name="__123Graph_EECTOT" localSheetId="33" hidden="1">#REF!</definedName>
    <definedName name="__123Graph_EECTOT" localSheetId="8" hidden="1">#REF!</definedName>
    <definedName name="__123Graph_EECTOT" localSheetId="16" hidden="1">#REF!</definedName>
    <definedName name="__123Graph_EECTOT" localSheetId="24" hidden="1">#REF!</definedName>
    <definedName name="__123Graph_EECTOT" localSheetId="28" hidden="1">#REF!</definedName>
    <definedName name="__123Graph_EECTOT" localSheetId="21" hidden="1">#REF!</definedName>
    <definedName name="__123Graph_EECTOT" localSheetId="13" hidden="1">#REF!</definedName>
    <definedName name="__123Graph_EECTOT" localSheetId="34" hidden="1">#REF!</definedName>
    <definedName name="__123Graph_EECTOT" localSheetId="45" hidden="1">#REF!</definedName>
    <definedName name="__123Graph_EECTOT" localSheetId="41" hidden="1">#REF!</definedName>
    <definedName name="__123Graph_EECTOT" localSheetId="60" hidden="1">#REF!</definedName>
    <definedName name="__123Graph_EECTOT" localSheetId="27" hidden="1">#REF!</definedName>
    <definedName name="__123Graph_EECTOT" localSheetId="12" hidden="1">#REF!</definedName>
    <definedName name="__123Graph_EECTOT" localSheetId="30" hidden="1">#REF!</definedName>
    <definedName name="__123Graph_EECTOT" localSheetId="26" hidden="1">#REF!</definedName>
    <definedName name="__123Graph_EECTOT" localSheetId="31" hidden="1">#REF!</definedName>
    <definedName name="__123Graph_EECTOT" localSheetId="25" hidden="1">#REF!</definedName>
    <definedName name="__123Graph_EECTOT" localSheetId="11" hidden="1">#REF!</definedName>
    <definedName name="__123Graph_EECTOT" localSheetId="29" hidden="1">#REF!</definedName>
    <definedName name="__123Graph_EECTOT" hidden="1">#REF!</definedName>
    <definedName name="__123Graph_EGRAPH1" localSheetId="0" hidden="1">'[2]GDP(O)'!$G$2427:$G$2427</definedName>
    <definedName name="__123Graph_EGRAPH1" hidden="1">'[2]GDP(O)'!$G$2427:$G$2427</definedName>
    <definedName name="__123Graph_EGRAPH41" localSheetId="9" hidden="1">'[1]Time series'!#REF!</definedName>
    <definedName name="__123Graph_EGRAPH41" localSheetId="5" hidden="1">'[1]Time series'!#REF!</definedName>
    <definedName name="__123Graph_EGRAPH41" localSheetId="6" hidden="1">'[1]Time series'!#REF!</definedName>
    <definedName name="__123Graph_EGRAPH41" localSheetId="7" hidden="1">'[1]Time series'!#REF!</definedName>
    <definedName name="__123Graph_EGRAPH41" localSheetId="10" hidden="1">'[1]Time series'!#REF!</definedName>
    <definedName name="__123Graph_EGRAPH41" localSheetId="0" hidden="1">'[1]Time series'!#REF!</definedName>
    <definedName name="__123Graph_EGRAPH41" localSheetId="14" hidden="1">'[1]Time series'!#REF!</definedName>
    <definedName name="__123Graph_EGRAPH41" localSheetId="23" hidden="1">'[1]Time series'!#REF!</definedName>
    <definedName name="__123Graph_EGRAPH41" localSheetId="18" hidden="1">'[1]Time series'!#REF!</definedName>
    <definedName name="__123Graph_EGRAPH41" localSheetId="19" hidden="1">'[1]Time series'!#REF!</definedName>
    <definedName name="__123Graph_EGRAPH41" localSheetId="22" hidden="1">'[1]Time series'!#REF!</definedName>
    <definedName name="__123Graph_EGRAPH41" localSheetId="32" hidden="1">'[1]Time series'!#REF!</definedName>
    <definedName name="__123Graph_EGRAPH41" localSheetId="33" hidden="1">'[1]Time series'!#REF!</definedName>
    <definedName name="__123Graph_EGRAPH41" localSheetId="8" hidden="1">'[1]Time series'!#REF!</definedName>
    <definedName name="__123Graph_EGRAPH41" localSheetId="16" hidden="1">'[1]Time series'!#REF!</definedName>
    <definedName name="__123Graph_EGRAPH41" localSheetId="24" hidden="1">'[1]Time series'!#REF!</definedName>
    <definedName name="__123Graph_EGRAPH41" localSheetId="28" hidden="1">'[1]Time series'!#REF!</definedName>
    <definedName name="__123Graph_EGRAPH41" localSheetId="21" hidden="1">'[1]Time series'!#REF!</definedName>
    <definedName name="__123Graph_EGRAPH41" localSheetId="13" hidden="1">'[1]Time series'!#REF!</definedName>
    <definedName name="__123Graph_EGRAPH41" localSheetId="34" hidden="1">'[1]Time series'!#REF!</definedName>
    <definedName name="__123Graph_EGRAPH41" localSheetId="45" hidden="1">'[1]Time series'!#REF!</definedName>
    <definedName name="__123Graph_EGRAPH41" localSheetId="60" hidden="1">'[1]Time series'!#REF!</definedName>
    <definedName name="__123Graph_EGRAPH41" localSheetId="27" hidden="1">'[1]Time series'!#REF!</definedName>
    <definedName name="__123Graph_EGRAPH41" localSheetId="12" hidden="1">'[1]Time series'!#REF!</definedName>
    <definedName name="__123Graph_EGRAPH41" localSheetId="30" hidden="1">'[1]Time series'!#REF!</definedName>
    <definedName name="__123Graph_EGRAPH41" localSheetId="26" hidden="1">'[1]Time series'!#REF!</definedName>
    <definedName name="__123Graph_EGRAPH41" localSheetId="31" hidden="1">'[1]Time series'!#REF!</definedName>
    <definedName name="__123Graph_EGRAPH41" localSheetId="25" hidden="1">'[1]Time series'!#REF!</definedName>
    <definedName name="__123Graph_EGRAPH41" localSheetId="11" hidden="1">'[1]Time series'!#REF!</definedName>
    <definedName name="__123Graph_EGRAPH41" localSheetId="29" hidden="1">'[1]Time series'!#REF!</definedName>
    <definedName name="__123Graph_EGRAPH41" hidden="1">'[1]Time series'!#REF!</definedName>
    <definedName name="__123Graph_EPERIA" localSheetId="9" hidden="1">'[1]Time series'!#REF!</definedName>
    <definedName name="__123Graph_EPERIA" localSheetId="5" hidden="1">'[1]Time series'!#REF!</definedName>
    <definedName name="__123Graph_EPERIA" localSheetId="6" hidden="1">'[1]Time series'!#REF!</definedName>
    <definedName name="__123Graph_EPERIA" localSheetId="7" hidden="1">'[1]Time series'!#REF!</definedName>
    <definedName name="__123Graph_EPERIA" localSheetId="10" hidden="1">'[1]Time series'!#REF!</definedName>
    <definedName name="__123Graph_EPERIA" localSheetId="0" hidden="1">'[1]Time series'!#REF!</definedName>
    <definedName name="__123Graph_EPERIA" localSheetId="14" hidden="1">'[1]Time series'!#REF!</definedName>
    <definedName name="__123Graph_EPERIA" localSheetId="23" hidden="1">'[1]Time series'!#REF!</definedName>
    <definedName name="__123Graph_EPERIA" localSheetId="18" hidden="1">'[1]Time series'!#REF!</definedName>
    <definedName name="__123Graph_EPERIA" localSheetId="19" hidden="1">'[1]Time series'!#REF!</definedName>
    <definedName name="__123Graph_EPERIA" localSheetId="22" hidden="1">'[1]Time series'!#REF!</definedName>
    <definedName name="__123Graph_EPERIA" localSheetId="32" hidden="1">'[1]Time series'!#REF!</definedName>
    <definedName name="__123Graph_EPERIA" localSheetId="33" hidden="1">'[1]Time series'!#REF!</definedName>
    <definedName name="__123Graph_EPERIA" localSheetId="8" hidden="1">'[1]Time series'!#REF!</definedName>
    <definedName name="__123Graph_EPERIA" localSheetId="16" hidden="1">'[1]Time series'!#REF!</definedName>
    <definedName name="__123Graph_EPERIA" localSheetId="24" hidden="1">'[1]Time series'!#REF!</definedName>
    <definedName name="__123Graph_EPERIA" localSheetId="28" hidden="1">'[1]Time series'!#REF!</definedName>
    <definedName name="__123Graph_EPERIA" localSheetId="21" hidden="1">'[1]Time series'!#REF!</definedName>
    <definedName name="__123Graph_EPERIA" localSheetId="13" hidden="1">'[1]Time series'!#REF!</definedName>
    <definedName name="__123Graph_EPERIA" localSheetId="34" hidden="1">'[1]Time series'!#REF!</definedName>
    <definedName name="__123Graph_EPERIA" localSheetId="45" hidden="1">'[1]Time series'!#REF!</definedName>
    <definedName name="__123Graph_EPERIA" localSheetId="60" hidden="1">'[1]Time series'!#REF!</definedName>
    <definedName name="__123Graph_EPERIA" localSheetId="27" hidden="1">'[1]Time series'!#REF!</definedName>
    <definedName name="__123Graph_EPERIA" localSheetId="12" hidden="1">'[1]Time series'!#REF!</definedName>
    <definedName name="__123Graph_EPERIA" localSheetId="30" hidden="1">'[1]Time series'!#REF!</definedName>
    <definedName name="__123Graph_EPERIA" localSheetId="26" hidden="1">'[1]Time series'!#REF!</definedName>
    <definedName name="__123Graph_EPERIA" localSheetId="31" hidden="1">'[1]Time series'!#REF!</definedName>
    <definedName name="__123Graph_EPERIA" localSheetId="25" hidden="1">'[1]Time series'!#REF!</definedName>
    <definedName name="__123Graph_EPERIA" localSheetId="11" hidden="1">'[1]Time series'!#REF!</definedName>
    <definedName name="__123Graph_EPERIA" localSheetId="29" hidden="1">'[1]Time series'!#REF!</definedName>
    <definedName name="__123Graph_EPERIA" hidden="1">'[1]Time series'!#REF!</definedName>
    <definedName name="__123Graph_EPRODABSC" localSheetId="9" hidden="1">'[1]Time series'!#REF!</definedName>
    <definedName name="__123Graph_EPRODABSC" localSheetId="5" hidden="1">'[1]Time series'!#REF!</definedName>
    <definedName name="__123Graph_EPRODABSC" localSheetId="6" hidden="1">'[1]Time series'!#REF!</definedName>
    <definedName name="__123Graph_EPRODABSC" localSheetId="7" hidden="1">'[1]Time series'!#REF!</definedName>
    <definedName name="__123Graph_EPRODABSC" localSheetId="10" hidden="1">'[1]Time series'!#REF!</definedName>
    <definedName name="__123Graph_EPRODABSC" localSheetId="0" hidden="1">'[1]Time series'!#REF!</definedName>
    <definedName name="__123Graph_EPRODABSC" localSheetId="14" hidden="1">'[1]Time series'!#REF!</definedName>
    <definedName name="__123Graph_EPRODABSC" localSheetId="23" hidden="1">'[1]Time series'!#REF!</definedName>
    <definedName name="__123Graph_EPRODABSC" localSheetId="18" hidden="1">'[1]Time series'!#REF!</definedName>
    <definedName name="__123Graph_EPRODABSC" localSheetId="19" hidden="1">'[1]Time series'!#REF!</definedName>
    <definedName name="__123Graph_EPRODABSC" localSheetId="22" hidden="1">'[1]Time series'!#REF!</definedName>
    <definedName name="__123Graph_EPRODABSC" localSheetId="32" hidden="1">'[1]Time series'!#REF!</definedName>
    <definedName name="__123Graph_EPRODABSC" localSheetId="33" hidden="1">'[1]Time series'!#REF!</definedName>
    <definedName name="__123Graph_EPRODABSC" localSheetId="8" hidden="1">'[1]Time series'!#REF!</definedName>
    <definedName name="__123Graph_EPRODABSC" localSheetId="16" hidden="1">'[1]Time series'!#REF!</definedName>
    <definedName name="__123Graph_EPRODABSC" localSheetId="24" hidden="1">'[1]Time series'!#REF!</definedName>
    <definedName name="__123Graph_EPRODABSC" localSheetId="28" hidden="1">'[1]Time series'!#REF!</definedName>
    <definedName name="__123Graph_EPRODABSC" localSheetId="21" hidden="1">'[1]Time series'!#REF!</definedName>
    <definedName name="__123Graph_EPRODABSC" localSheetId="13" hidden="1">'[1]Time series'!#REF!</definedName>
    <definedName name="__123Graph_EPRODABSC" localSheetId="34" hidden="1">'[1]Time series'!#REF!</definedName>
    <definedName name="__123Graph_EPRODABSC" localSheetId="45" hidden="1">'[1]Time series'!#REF!</definedName>
    <definedName name="__123Graph_EPRODABSC" localSheetId="60" hidden="1">'[1]Time series'!#REF!</definedName>
    <definedName name="__123Graph_EPRODABSC" localSheetId="27" hidden="1">'[1]Time series'!#REF!</definedName>
    <definedName name="__123Graph_EPRODABSC" localSheetId="12" hidden="1">'[1]Time series'!#REF!</definedName>
    <definedName name="__123Graph_EPRODABSC" localSheetId="30" hidden="1">'[1]Time series'!#REF!</definedName>
    <definedName name="__123Graph_EPRODABSC" localSheetId="26" hidden="1">'[1]Time series'!#REF!</definedName>
    <definedName name="__123Graph_EPRODABSC" localSheetId="31" hidden="1">'[1]Time series'!#REF!</definedName>
    <definedName name="__123Graph_EPRODABSC" localSheetId="25" hidden="1">'[1]Time series'!#REF!</definedName>
    <definedName name="__123Graph_EPRODABSC" localSheetId="11" hidden="1">'[1]Time series'!#REF!</definedName>
    <definedName name="__123Graph_EPRODABSC" localSheetId="29" hidden="1">'[1]Time series'!#REF!</definedName>
    <definedName name="__123Graph_EPRODABSC" hidden="1">'[1]Time series'!#REF!</definedName>
    <definedName name="__123Graph_FBERLGRAP" localSheetId="9" hidden="1">'[1]Time series'!#REF!</definedName>
    <definedName name="__123Graph_FBERLGRAP" localSheetId="5" hidden="1">'[1]Time series'!#REF!</definedName>
    <definedName name="__123Graph_FBERLGRAP" localSheetId="6" hidden="1">'[1]Time series'!#REF!</definedName>
    <definedName name="__123Graph_FBERLGRAP" localSheetId="7" hidden="1">'[1]Time series'!#REF!</definedName>
    <definedName name="__123Graph_FBERLGRAP" localSheetId="10" hidden="1">'[1]Time series'!#REF!</definedName>
    <definedName name="__123Graph_FBERLGRAP" localSheetId="0" hidden="1">'[1]Time series'!#REF!</definedName>
    <definedName name="__123Graph_FBERLGRAP" localSheetId="14" hidden="1">'[1]Time series'!#REF!</definedName>
    <definedName name="__123Graph_FBERLGRAP" localSheetId="23" hidden="1">'[1]Time series'!#REF!</definedName>
    <definedName name="__123Graph_FBERLGRAP" localSheetId="18" hidden="1">'[1]Time series'!#REF!</definedName>
    <definedName name="__123Graph_FBERLGRAP" localSheetId="19" hidden="1">'[1]Time series'!#REF!</definedName>
    <definedName name="__123Graph_FBERLGRAP" localSheetId="22" hidden="1">'[1]Time series'!#REF!</definedName>
    <definedName name="__123Graph_FBERLGRAP" localSheetId="32" hidden="1">'[1]Time series'!#REF!</definedName>
    <definedName name="__123Graph_FBERLGRAP" localSheetId="33" hidden="1">'[1]Time series'!#REF!</definedName>
    <definedName name="__123Graph_FBERLGRAP" localSheetId="8" hidden="1">'[1]Time series'!#REF!</definedName>
    <definedName name="__123Graph_FBERLGRAP" localSheetId="16" hidden="1">'[1]Time series'!#REF!</definedName>
    <definedName name="__123Graph_FBERLGRAP" localSheetId="24" hidden="1">'[1]Time series'!#REF!</definedName>
    <definedName name="__123Graph_FBERLGRAP" localSheetId="28" hidden="1">'[1]Time series'!#REF!</definedName>
    <definedName name="__123Graph_FBERLGRAP" localSheetId="21" hidden="1">'[1]Time series'!#REF!</definedName>
    <definedName name="__123Graph_FBERLGRAP" localSheetId="13" hidden="1">'[1]Time series'!#REF!</definedName>
    <definedName name="__123Graph_FBERLGRAP" localSheetId="34" hidden="1">'[1]Time series'!#REF!</definedName>
    <definedName name="__123Graph_FBERLGRAP" localSheetId="45" hidden="1">'[1]Time series'!#REF!</definedName>
    <definedName name="__123Graph_FBERLGRAP" localSheetId="60" hidden="1">'[1]Time series'!#REF!</definedName>
    <definedName name="__123Graph_FBERLGRAP" localSheetId="27" hidden="1">'[1]Time series'!#REF!</definedName>
    <definedName name="__123Graph_FBERLGRAP" localSheetId="12" hidden="1">'[1]Time series'!#REF!</definedName>
    <definedName name="__123Graph_FBERLGRAP" localSheetId="30" hidden="1">'[1]Time series'!#REF!</definedName>
    <definedName name="__123Graph_FBERLGRAP" localSheetId="26" hidden="1">'[1]Time series'!#REF!</definedName>
    <definedName name="__123Graph_FBERLGRAP" localSheetId="31" hidden="1">'[1]Time series'!#REF!</definedName>
    <definedName name="__123Graph_FBERLGRAP" localSheetId="25" hidden="1">'[1]Time series'!#REF!</definedName>
    <definedName name="__123Graph_FBERLGRAP" localSheetId="11" hidden="1">'[1]Time series'!#REF!</definedName>
    <definedName name="__123Graph_FBERLGRAP" localSheetId="29" hidden="1">'[1]Time series'!#REF!</definedName>
    <definedName name="__123Graph_FBERLGRAP" hidden="1">'[1]Time series'!#REF!</definedName>
    <definedName name="__123Graph_FGRAPH1" localSheetId="0" hidden="1">'[2]GDP(O)'!$H$2427:$H$2427</definedName>
    <definedName name="__123Graph_FGRAPH1" hidden="1">'[2]GDP(O)'!$H$2427:$H$2427</definedName>
    <definedName name="__123Graph_FGRAPH41" localSheetId="9" hidden="1">'[1]Time series'!#REF!</definedName>
    <definedName name="__123Graph_FGRAPH41" localSheetId="5" hidden="1">'[1]Time series'!#REF!</definedName>
    <definedName name="__123Graph_FGRAPH41" localSheetId="6" hidden="1">'[1]Time series'!#REF!</definedName>
    <definedName name="__123Graph_FGRAPH41" localSheetId="7" hidden="1">'[1]Time series'!#REF!</definedName>
    <definedName name="__123Graph_FGRAPH41" localSheetId="10" hidden="1">'[1]Time series'!#REF!</definedName>
    <definedName name="__123Graph_FGRAPH41" localSheetId="0" hidden="1">'[1]Time series'!#REF!</definedName>
    <definedName name="__123Graph_FGRAPH41" localSheetId="14" hidden="1">'[1]Time series'!#REF!</definedName>
    <definedName name="__123Graph_FGRAPH41" localSheetId="23" hidden="1">'[1]Time series'!#REF!</definedName>
    <definedName name="__123Graph_FGRAPH41" localSheetId="18" hidden="1">'[1]Time series'!#REF!</definedName>
    <definedName name="__123Graph_FGRAPH41" localSheetId="19" hidden="1">'[1]Time series'!#REF!</definedName>
    <definedName name="__123Graph_FGRAPH41" localSheetId="22" hidden="1">'[1]Time series'!#REF!</definedName>
    <definedName name="__123Graph_FGRAPH41" localSheetId="32" hidden="1">'[1]Time series'!#REF!</definedName>
    <definedName name="__123Graph_FGRAPH41" localSheetId="33" hidden="1">'[1]Time series'!#REF!</definedName>
    <definedName name="__123Graph_FGRAPH41" localSheetId="8" hidden="1">'[1]Time series'!#REF!</definedName>
    <definedName name="__123Graph_FGRAPH41" localSheetId="16" hidden="1">'[1]Time series'!#REF!</definedName>
    <definedName name="__123Graph_FGRAPH41" localSheetId="24" hidden="1">'[1]Time series'!#REF!</definedName>
    <definedName name="__123Graph_FGRAPH41" localSheetId="28" hidden="1">'[1]Time series'!#REF!</definedName>
    <definedName name="__123Graph_FGRAPH41" localSheetId="21" hidden="1">'[1]Time series'!#REF!</definedName>
    <definedName name="__123Graph_FGRAPH41" localSheetId="13" hidden="1">'[1]Time series'!#REF!</definedName>
    <definedName name="__123Graph_FGRAPH41" localSheetId="34" hidden="1">'[1]Time series'!#REF!</definedName>
    <definedName name="__123Graph_FGRAPH41" localSheetId="45" hidden="1">'[1]Time series'!#REF!</definedName>
    <definedName name="__123Graph_FGRAPH41" localSheetId="60" hidden="1">'[1]Time series'!#REF!</definedName>
    <definedName name="__123Graph_FGRAPH41" localSheetId="27" hidden="1">'[1]Time series'!#REF!</definedName>
    <definedName name="__123Graph_FGRAPH41" localSheetId="12" hidden="1">'[1]Time series'!#REF!</definedName>
    <definedName name="__123Graph_FGRAPH41" localSheetId="30" hidden="1">'[1]Time series'!#REF!</definedName>
    <definedName name="__123Graph_FGRAPH41" localSheetId="26" hidden="1">'[1]Time series'!#REF!</definedName>
    <definedName name="__123Graph_FGRAPH41" localSheetId="31" hidden="1">'[1]Time series'!#REF!</definedName>
    <definedName name="__123Graph_FGRAPH41" localSheetId="25" hidden="1">'[1]Time series'!#REF!</definedName>
    <definedName name="__123Graph_FGRAPH41" localSheetId="11" hidden="1">'[1]Time series'!#REF!</definedName>
    <definedName name="__123Graph_FGRAPH41" localSheetId="29" hidden="1">'[1]Time series'!#REF!</definedName>
    <definedName name="__123Graph_FGRAPH41" hidden="1">'[1]Time series'!#REF!</definedName>
    <definedName name="__123Graph_FPRODABSC" localSheetId="9" hidden="1">'[1]Time series'!#REF!</definedName>
    <definedName name="__123Graph_FPRODABSC" localSheetId="5" hidden="1">'[1]Time series'!#REF!</definedName>
    <definedName name="__123Graph_FPRODABSC" localSheetId="6" hidden="1">'[1]Time series'!#REF!</definedName>
    <definedName name="__123Graph_FPRODABSC" localSheetId="7" hidden="1">'[1]Time series'!#REF!</definedName>
    <definedName name="__123Graph_FPRODABSC" localSheetId="10" hidden="1">'[1]Time series'!#REF!</definedName>
    <definedName name="__123Graph_FPRODABSC" localSheetId="0" hidden="1">'[1]Time series'!#REF!</definedName>
    <definedName name="__123Graph_FPRODABSC" localSheetId="14" hidden="1">'[1]Time series'!#REF!</definedName>
    <definedName name="__123Graph_FPRODABSC" localSheetId="23" hidden="1">'[1]Time series'!#REF!</definedName>
    <definedName name="__123Graph_FPRODABSC" localSheetId="18" hidden="1">'[1]Time series'!#REF!</definedName>
    <definedName name="__123Graph_FPRODABSC" localSheetId="19" hidden="1">'[1]Time series'!#REF!</definedName>
    <definedName name="__123Graph_FPRODABSC" localSheetId="22" hidden="1">'[1]Time series'!#REF!</definedName>
    <definedName name="__123Graph_FPRODABSC" localSheetId="32" hidden="1">'[1]Time series'!#REF!</definedName>
    <definedName name="__123Graph_FPRODABSC" localSheetId="33" hidden="1">'[1]Time series'!#REF!</definedName>
    <definedName name="__123Graph_FPRODABSC" localSheetId="8" hidden="1">'[1]Time series'!#REF!</definedName>
    <definedName name="__123Graph_FPRODABSC" localSheetId="16" hidden="1">'[1]Time series'!#REF!</definedName>
    <definedName name="__123Graph_FPRODABSC" localSheetId="24" hidden="1">'[1]Time series'!#REF!</definedName>
    <definedName name="__123Graph_FPRODABSC" localSheetId="28" hidden="1">'[1]Time series'!#REF!</definedName>
    <definedName name="__123Graph_FPRODABSC" localSheetId="21" hidden="1">'[1]Time series'!#REF!</definedName>
    <definedName name="__123Graph_FPRODABSC" localSheetId="13" hidden="1">'[1]Time series'!#REF!</definedName>
    <definedName name="__123Graph_FPRODABSC" localSheetId="34" hidden="1">'[1]Time series'!#REF!</definedName>
    <definedName name="__123Graph_FPRODABSC" localSheetId="45" hidden="1">'[1]Time series'!#REF!</definedName>
    <definedName name="__123Graph_FPRODABSC" localSheetId="60" hidden="1">'[1]Time series'!#REF!</definedName>
    <definedName name="__123Graph_FPRODABSC" localSheetId="27" hidden="1">'[1]Time series'!#REF!</definedName>
    <definedName name="__123Graph_FPRODABSC" localSheetId="12" hidden="1">'[1]Time series'!#REF!</definedName>
    <definedName name="__123Graph_FPRODABSC" localSheetId="30" hidden="1">'[1]Time series'!#REF!</definedName>
    <definedName name="__123Graph_FPRODABSC" localSheetId="26" hidden="1">'[1]Time series'!#REF!</definedName>
    <definedName name="__123Graph_FPRODABSC" localSheetId="31" hidden="1">'[1]Time series'!#REF!</definedName>
    <definedName name="__123Graph_FPRODABSC" localSheetId="25" hidden="1">'[1]Time series'!#REF!</definedName>
    <definedName name="__123Graph_FPRODABSC" localSheetId="11" hidden="1">'[1]Time series'!#REF!</definedName>
    <definedName name="__123Graph_FPRODABSC" localSheetId="29" hidden="1">'[1]Time series'!#REF!</definedName>
    <definedName name="__123Graph_FPRODABSC" hidden="1">'[1]Time series'!#REF!</definedName>
    <definedName name="__123Graph_X" localSheetId="9" hidden="1">#REF!</definedName>
    <definedName name="__123Graph_X" localSheetId="5" hidden="1">#REF!</definedName>
    <definedName name="__123Graph_X" localSheetId="6" hidden="1">#REF!</definedName>
    <definedName name="__123Graph_X" localSheetId="7" hidden="1">#REF!</definedName>
    <definedName name="__123Graph_X" localSheetId="10" hidden="1">#REF!</definedName>
    <definedName name="__123Graph_X" localSheetId="0" hidden="1">#REF!</definedName>
    <definedName name="__123Graph_X" localSheetId="14" hidden="1">#REF!</definedName>
    <definedName name="__123Graph_X" localSheetId="23" hidden="1">#REF!</definedName>
    <definedName name="__123Graph_X" localSheetId="18" hidden="1">#REF!</definedName>
    <definedName name="__123Graph_X" localSheetId="19" hidden="1">#REF!</definedName>
    <definedName name="__123Graph_X" localSheetId="22" hidden="1">#REF!</definedName>
    <definedName name="__123Graph_X" localSheetId="32" hidden="1">#REF!</definedName>
    <definedName name="__123Graph_X" localSheetId="33" hidden="1">#REF!</definedName>
    <definedName name="__123Graph_X" localSheetId="8" hidden="1">#REF!</definedName>
    <definedName name="__123Graph_X" localSheetId="16" hidden="1">#REF!</definedName>
    <definedName name="__123Graph_X" localSheetId="24" hidden="1">#REF!</definedName>
    <definedName name="__123Graph_X" localSheetId="28" hidden="1">#REF!</definedName>
    <definedName name="__123Graph_X" localSheetId="21" hidden="1">#REF!</definedName>
    <definedName name="__123Graph_X" localSheetId="13" hidden="1">#REF!</definedName>
    <definedName name="__123Graph_X" localSheetId="34" hidden="1">#REF!</definedName>
    <definedName name="__123Graph_X" localSheetId="45" hidden="1">#REF!</definedName>
    <definedName name="__123Graph_X" localSheetId="41" hidden="1">#REF!</definedName>
    <definedName name="__123Graph_X" localSheetId="60" hidden="1">#REF!</definedName>
    <definedName name="__123Graph_X" localSheetId="27" hidden="1">#REF!</definedName>
    <definedName name="__123Graph_X" localSheetId="12" hidden="1">#REF!</definedName>
    <definedName name="__123Graph_X" localSheetId="30" hidden="1">#REF!</definedName>
    <definedName name="__123Graph_X" localSheetId="26" hidden="1">#REF!</definedName>
    <definedName name="__123Graph_X" localSheetId="31" hidden="1">#REF!</definedName>
    <definedName name="__123Graph_X" localSheetId="25" hidden="1">#REF!</definedName>
    <definedName name="__123Graph_X" localSheetId="11" hidden="1">#REF!</definedName>
    <definedName name="__123Graph_X" localSheetId="29" hidden="1">#REF!</definedName>
    <definedName name="__123Graph_X" hidden="1">#REF!</definedName>
    <definedName name="__123Graph_XECTOT" localSheetId="9" hidden="1">#REF!</definedName>
    <definedName name="__123Graph_XECTOT" localSheetId="5" hidden="1">#REF!</definedName>
    <definedName name="__123Graph_XECTOT" localSheetId="6" hidden="1">#REF!</definedName>
    <definedName name="__123Graph_XECTOT" localSheetId="7" hidden="1">#REF!</definedName>
    <definedName name="__123Graph_XECTOT" localSheetId="10" hidden="1">#REF!</definedName>
    <definedName name="__123Graph_XECTOT" localSheetId="0" hidden="1">#REF!</definedName>
    <definedName name="__123Graph_XECTOT" localSheetId="14" hidden="1">#REF!</definedName>
    <definedName name="__123Graph_XECTOT" localSheetId="23" hidden="1">#REF!</definedName>
    <definedName name="__123Graph_XECTOT" localSheetId="18" hidden="1">#REF!</definedName>
    <definedName name="__123Graph_XECTOT" localSheetId="19" hidden="1">#REF!</definedName>
    <definedName name="__123Graph_XECTOT" localSheetId="22" hidden="1">#REF!</definedName>
    <definedName name="__123Graph_XECTOT" localSheetId="32" hidden="1">#REF!</definedName>
    <definedName name="__123Graph_XECTOT" localSheetId="33" hidden="1">#REF!</definedName>
    <definedName name="__123Graph_XECTOT" localSheetId="8" hidden="1">#REF!</definedName>
    <definedName name="__123Graph_XECTOT" localSheetId="16" hidden="1">#REF!</definedName>
    <definedName name="__123Graph_XECTOT" localSheetId="24" hidden="1">#REF!</definedName>
    <definedName name="__123Graph_XECTOT" localSheetId="28" hidden="1">#REF!</definedName>
    <definedName name="__123Graph_XECTOT" localSheetId="21" hidden="1">#REF!</definedName>
    <definedName name="__123Graph_XECTOT" localSheetId="13" hidden="1">#REF!</definedName>
    <definedName name="__123Graph_XECTOT" localSheetId="34" hidden="1">#REF!</definedName>
    <definedName name="__123Graph_XECTOT" localSheetId="45" hidden="1">#REF!</definedName>
    <definedName name="__123Graph_XECTOT" localSheetId="41" hidden="1">#REF!</definedName>
    <definedName name="__123Graph_XECTOT" localSheetId="60" hidden="1">#REF!</definedName>
    <definedName name="__123Graph_XECTOT" localSheetId="27" hidden="1">#REF!</definedName>
    <definedName name="__123Graph_XECTOT" localSheetId="12" hidden="1">#REF!</definedName>
    <definedName name="__123Graph_XECTOT" localSheetId="30" hidden="1">#REF!</definedName>
    <definedName name="__123Graph_XECTOT" localSheetId="26" hidden="1">#REF!</definedName>
    <definedName name="__123Graph_XECTOT" localSheetId="31" hidden="1">#REF!</definedName>
    <definedName name="__123Graph_XECTOT" localSheetId="25" hidden="1">#REF!</definedName>
    <definedName name="__123Graph_XECTOT" localSheetId="11" hidden="1">#REF!</definedName>
    <definedName name="__123Graph_XECTOT" localSheetId="29" hidden="1">#REF!</definedName>
    <definedName name="__123Graph_XECTOT" hidden="1">#REF!</definedName>
    <definedName name="__123Graph_XGRAPH1" localSheetId="0" hidden="1">'[2]GDP(O)'!$B$2427:$B$2427</definedName>
    <definedName name="__123Graph_XGRAPH1" hidden="1">'[2]GDP(O)'!$B$2427:$B$2427</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9" hidden="1">#REF!</definedName>
    <definedName name="_Fill" localSheetId="5" hidden="1">#REF!</definedName>
    <definedName name="_Fill" localSheetId="6" hidden="1">#REF!</definedName>
    <definedName name="_Fill" localSheetId="7" hidden="1">#REF!</definedName>
    <definedName name="_Fill" localSheetId="10" hidden="1">#REF!</definedName>
    <definedName name="_Fill" localSheetId="0" hidden="1">#REF!</definedName>
    <definedName name="_Fill" localSheetId="14" hidden="1">#REF!</definedName>
    <definedName name="_Fill" localSheetId="23" hidden="1">#REF!</definedName>
    <definedName name="_Fill" localSheetId="18" hidden="1">#REF!</definedName>
    <definedName name="_Fill" localSheetId="19" hidden="1">#REF!</definedName>
    <definedName name="_Fill" localSheetId="22" hidden="1">#REF!</definedName>
    <definedName name="_Fill" localSheetId="32" hidden="1">#REF!</definedName>
    <definedName name="_Fill" localSheetId="33" hidden="1">#REF!</definedName>
    <definedName name="_Fill" localSheetId="8" hidden="1">#REF!</definedName>
    <definedName name="_Fill" localSheetId="16" hidden="1">#REF!</definedName>
    <definedName name="_Fill" localSheetId="24" hidden="1">#REF!</definedName>
    <definedName name="_Fill" localSheetId="28" hidden="1">#REF!</definedName>
    <definedName name="_Fill" localSheetId="21" hidden="1">#REF!</definedName>
    <definedName name="_Fill" localSheetId="13" hidden="1">#REF!</definedName>
    <definedName name="_Fill" localSheetId="34" hidden="1">#REF!</definedName>
    <definedName name="_Fill" localSheetId="45" hidden="1">#REF!</definedName>
    <definedName name="_Fill" localSheetId="41" hidden="1">#REF!</definedName>
    <definedName name="_Fill" localSheetId="60" hidden="1">#REF!</definedName>
    <definedName name="_Fill" localSheetId="27" hidden="1">#REF!</definedName>
    <definedName name="_Fill" localSheetId="12" hidden="1">#REF!</definedName>
    <definedName name="_Fill" localSheetId="30" hidden="1">#REF!</definedName>
    <definedName name="_Fill" localSheetId="26" hidden="1">#REF!</definedName>
    <definedName name="_Fill" localSheetId="31" hidden="1">#REF!</definedName>
    <definedName name="_Fill" localSheetId="25" hidden="1">#REF!</definedName>
    <definedName name="_Fill" localSheetId="11" hidden="1">#REF!</definedName>
    <definedName name="_Fill" localSheetId="29" hidden="1">#REF!</definedName>
    <definedName name="_Fill" hidden="1">#REF!</definedName>
    <definedName name="_xlnm._FilterDatabase" localSheetId="9" hidden="1">'Child Benefit'!$C$6:$L$14</definedName>
    <definedName name="_xlnm._FilterDatabase" localSheetId="5" hidden="1">'Child Poverty'!$C$6:$L$14</definedName>
    <definedName name="_xlnm._FilterDatabase" localSheetId="6" hidden="1">Childcare!$C$6:$L$14</definedName>
    <definedName name="_xlnm._FilterDatabase" localSheetId="7" hidden="1">'Children in Low Income'!$C$6:$L$14</definedName>
    <definedName name="_xlnm._FilterDatabase" localSheetId="10" hidden="1">'Claimant Count'!$C$6:$L$14</definedName>
    <definedName name="_xlnm._FilterDatabase" localSheetId="14" hidden="1">'Degree Quals'!$C$6:$L$14</definedName>
    <definedName name="_xlnm._FilterDatabase" localSheetId="23" hidden="1">Earnings!$B$6:$K$14</definedName>
    <definedName name="_xlnm._FilterDatabase" localSheetId="18" hidden="1">'Economic Inactivity'!$C$6:$L$14</definedName>
    <definedName name="_xlnm._FilterDatabase" localSheetId="19" hidden="1">Employment!$C$6:$L$14</definedName>
    <definedName name="_xlnm._FilterDatabase" localSheetId="22" hidden="1">'Gender Gap'!$C$6:$H$6</definedName>
    <definedName name="_xlnm._FilterDatabase" localSheetId="32" hidden="1">GVA!$B$6:$K$14</definedName>
    <definedName name="_xlnm._FilterDatabase" localSheetId="33" hidden="1">'GVA phw'!$B$6:$K$14</definedName>
    <definedName name="_xlnm._FilterDatabase" localSheetId="8" hidden="1">'Households on UC'!$C$6:$L$14</definedName>
    <definedName name="_xlnm._FilterDatabase" localSheetId="17" hidden="1">'Ill Health'!$C$6:$L$14</definedName>
    <definedName name="_xlnm._FilterDatabase" localSheetId="16" hidden="1">Incapacity!$C$6:$L$14</definedName>
    <definedName name="_xlnm._FilterDatabase" localSheetId="3" hidden="1">'Index RAG'!$F$7:$G$7</definedName>
    <definedName name="_xlnm._FilterDatabase" localSheetId="24" hidden="1">'Low Earnings'!$B$6:$K$14</definedName>
    <definedName name="_xlnm._FilterDatabase" localSheetId="28" hidden="1">'Low pay'!$C$6:$G$14</definedName>
    <definedName name="_xlnm._FilterDatabase" localSheetId="21" hidden="1">'Low Pay Sectors'!$C$6:$L$14</definedName>
    <definedName name="_xlnm._FilterDatabase" localSheetId="15" hidden="1">'No Qualifications'!$C$6:$L$14</definedName>
    <definedName name="_xlnm._FilterDatabase" localSheetId="13" hidden="1">'Participation Rate'!$C$6:$L$14</definedName>
    <definedName name="_xlnm._FilterDatabase" localSheetId="27" hidden="1">'Satisfactory hours'!$C$6:$G$14</definedName>
    <definedName name="_xlnm._FilterDatabase" localSheetId="12" hidden="1">SLDR!$C$6:$L$14</definedName>
    <definedName name="_xlnm._FilterDatabase" localSheetId="30" hidden="1">'SME Procurement'!$C$6:$I$14</definedName>
    <definedName name="_xlnm._FilterDatabase" localSheetId="26" hidden="1">'SOC1 Occupations'!$C$6:$L$14</definedName>
    <definedName name="_xlnm._FilterDatabase" localSheetId="31" hidden="1">'Social Enterprises'!$C$6:$K$14</definedName>
    <definedName name="_xlnm._FilterDatabase" localSheetId="25" hidden="1">Underemployment!$C$6:$L$6</definedName>
    <definedName name="_xlnm._FilterDatabase" localSheetId="20" hidden="1">Unemployment!$C$6:$L$14</definedName>
    <definedName name="_xlnm._FilterDatabase" localSheetId="2" hidden="1">Update!#REF!</definedName>
    <definedName name="_xlnm._FilterDatabase" localSheetId="11" hidden="1">'Workless Households'!$C$6:$L$14</definedName>
    <definedName name="_xlnm._FilterDatabase" localSheetId="29" hidden="1">'Zero-hour contracts'!$C$6:$G$14</definedName>
    <definedName name="_Key1" localSheetId="9" hidden="1">#REF!</definedName>
    <definedName name="_Key1" localSheetId="5" hidden="1">#REF!</definedName>
    <definedName name="_Key1" localSheetId="6" hidden="1">#REF!</definedName>
    <definedName name="_Key1" localSheetId="7" hidden="1">#REF!</definedName>
    <definedName name="_Key1" localSheetId="10" hidden="1">#REF!</definedName>
    <definedName name="_Key1" localSheetId="0" hidden="1">#REF!</definedName>
    <definedName name="_Key1" localSheetId="14" hidden="1">#REF!</definedName>
    <definedName name="_Key1" localSheetId="23" hidden="1">#REF!</definedName>
    <definedName name="_Key1" localSheetId="18" hidden="1">#REF!</definedName>
    <definedName name="_Key1" localSheetId="19" hidden="1">#REF!</definedName>
    <definedName name="_Key1" localSheetId="22" hidden="1">#REF!</definedName>
    <definedName name="_Key1" localSheetId="32" hidden="1">#REF!</definedName>
    <definedName name="_Key1" localSheetId="33" hidden="1">#REF!</definedName>
    <definedName name="_Key1" localSheetId="8" hidden="1">#REF!</definedName>
    <definedName name="_Key1" localSheetId="16" hidden="1">#REF!</definedName>
    <definedName name="_Key1" localSheetId="24" hidden="1">#REF!</definedName>
    <definedName name="_Key1" localSheetId="28" hidden="1">#REF!</definedName>
    <definedName name="_Key1" localSheetId="21" hidden="1">#REF!</definedName>
    <definedName name="_Key1" localSheetId="13" hidden="1">#REF!</definedName>
    <definedName name="_Key1" localSheetId="34" hidden="1">#REF!</definedName>
    <definedName name="_Key1" localSheetId="45" hidden="1">#REF!</definedName>
    <definedName name="_Key1" localSheetId="41" hidden="1">#REF!</definedName>
    <definedName name="_Key1" localSheetId="60" hidden="1">#REF!</definedName>
    <definedName name="_Key1" localSheetId="27" hidden="1">#REF!</definedName>
    <definedName name="_Key1" localSheetId="12" hidden="1">#REF!</definedName>
    <definedName name="_Key1" localSheetId="30" hidden="1">#REF!</definedName>
    <definedName name="_Key1" localSheetId="26" hidden="1">#REF!</definedName>
    <definedName name="_Key1" localSheetId="31" hidden="1">#REF!</definedName>
    <definedName name="_Key1" localSheetId="25" hidden="1">#REF!</definedName>
    <definedName name="_Key1" localSheetId="11" hidden="1">#REF!</definedName>
    <definedName name="_Key1" localSheetId="29" hidden="1">#REF!</definedName>
    <definedName name="_Key1" hidden="1">#REF!</definedName>
    <definedName name="_Order1" hidden="1">0</definedName>
    <definedName name="_Regression_Out" localSheetId="9" hidden="1">#REF!</definedName>
    <definedName name="_Regression_Out" localSheetId="5" hidden="1">#REF!</definedName>
    <definedName name="_Regression_Out" localSheetId="6" hidden="1">#REF!</definedName>
    <definedName name="_Regression_Out" localSheetId="7" hidden="1">#REF!</definedName>
    <definedName name="_Regression_Out" localSheetId="10" hidden="1">#REF!</definedName>
    <definedName name="_Regression_Out" localSheetId="0" hidden="1">#REF!</definedName>
    <definedName name="_Regression_Out" localSheetId="14" hidden="1">#REF!</definedName>
    <definedName name="_Regression_Out" localSheetId="23" hidden="1">#REF!</definedName>
    <definedName name="_Regression_Out" localSheetId="18" hidden="1">#REF!</definedName>
    <definedName name="_Regression_Out" localSheetId="19" hidden="1">#REF!</definedName>
    <definedName name="_Regression_Out" localSheetId="22" hidden="1">#REF!</definedName>
    <definedName name="_Regression_Out" localSheetId="32" hidden="1">#REF!</definedName>
    <definedName name="_Regression_Out" localSheetId="33" hidden="1">#REF!</definedName>
    <definedName name="_Regression_Out" localSheetId="8" hidden="1">#REF!</definedName>
    <definedName name="_Regression_Out" localSheetId="16" hidden="1">#REF!</definedName>
    <definedName name="_Regression_Out" localSheetId="24" hidden="1">#REF!</definedName>
    <definedName name="_Regression_Out" localSheetId="28" hidden="1">#REF!</definedName>
    <definedName name="_Regression_Out" localSheetId="21" hidden="1">#REF!</definedName>
    <definedName name="_Regression_Out" localSheetId="13" hidden="1">#REF!</definedName>
    <definedName name="_Regression_Out" localSheetId="34" hidden="1">#REF!</definedName>
    <definedName name="_Regression_Out" localSheetId="45" hidden="1">#REF!</definedName>
    <definedName name="_Regression_Out" localSheetId="41" hidden="1">#REF!</definedName>
    <definedName name="_Regression_Out" localSheetId="60" hidden="1">#REF!</definedName>
    <definedName name="_Regression_Out" localSheetId="27" hidden="1">#REF!</definedName>
    <definedName name="_Regression_Out" localSheetId="12" hidden="1">#REF!</definedName>
    <definedName name="_Regression_Out" localSheetId="30" hidden="1">#REF!</definedName>
    <definedName name="_Regression_Out" localSheetId="26" hidden="1">#REF!</definedName>
    <definedName name="_Regression_Out" localSheetId="31" hidden="1">#REF!</definedName>
    <definedName name="_Regression_Out" localSheetId="25" hidden="1">#REF!</definedName>
    <definedName name="_Regression_Out" localSheetId="11" hidden="1">#REF!</definedName>
    <definedName name="_Regression_Out" localSheetId="29" hidden="1">#REF!</definedName>
    <definedName name="_Regression_Out" hidden="1">#REF!</definedName>
    <definedName name="_Regression_X" localSheetId="9" hidden="1">#REF!</definedName>
    <definedName name="_Regression_X" localSheetId="5" hidden="1">#REF!</definedName>
    <definedName name="_Regression_X" localSheetId="6" hidden="1">#REF!</definedName>
    <definedName name="_Regression_X" localSheetId="7" hidden="1">#REF!</definedName>
    <definedName name="_Regression_X" localSheetId="10" hidden="1">#REF!</definedName>
    <definedName name="_Regression_X" localSheetId="0" hidden="1">#REF!</definedName>
    <definedName name="_Regression_X" localSheetId="14" hidden="1">#REF!</definedName>
    <definedName name="_Regression_X" localSheetId="23" hidden="1">#REF!</definedName>
    <definedName name="_Regression_X" localSheetId="18" hidden="1">#REF!</definedName>
    <definedName name="_Regression_X" localSheetId="19" hidden="1">#REF!</definedName>
    <definedName name="_Regression_X" localSheetId="22" hidden="1">#REF!</definedName>
    <definedName name="_Regression_X" localSheetId="32" hidden="1">#REF!</definedName>
    <definedName name="_Regression_X" localSheetId="33" hidden="1">#REF!</definedName>
    <definedName name="_Regression_X" localSheetId="8" hidden="1">#REF!</definedName>
    <definedName name="_Regression_X" localSheetId="16" hidden="1">#REF!</definedName>
    <definedName name="_Regression_X" localSheetId="24" hidden="1">#REF!</definedName>
    <definedName name="_Regression_X" localSheetId="28" hidden="1">#REF!</definedName>
    <definedName name="_Regression_X" localSheetId="21" hidden="1">#REF!</definedName>
    <definedName name="_Regression_X" localSheetId="13" hidden="1">#REF!</definedName>
    <definedName name="_Regression_X" localSheetId="34" hidden="1">#REF!</definedName>
    <definedName name="_Regression_X" localSheetId="45" hidden="1">#REF!</definedName>
    <definedName name="_Regression_X" localSheetId="41" hidden="1">#REF!</definedName>
    <definedName name="_Regression_X" localSheetId="60" hidden="1">#REF!</definedName>
    <definedName name="_Regression_X" localSheetId="27" hidden="1">#REF!</definedName>
    <definedName name="_Regression_X" localSheetId="12" hidden="1">#REF!</definedName>
    <definedName name="_Regression_X" localSheetId="30" hidden="1">#REF!</definedName>
    <definedName name="_Regression_X" localSheetId="26" hidden="1">#REF!</definedName>
    <definedName name="_Regression_X" localSheetId="31" hidden="1">#REF!</definedName>
    <definedName name="_Regression_X" localSheetId="25" hidden="1">#REF!</definedName>
    <definedName name="_Regression_X" localSheetId="11" hidden="1">#REF!</definedName>
    <definedName name="_Regression_X" localSheetId="29" hidden="1">#REF!</definedName>
    <definedName name="_Regression_X" hidden="1">#REF!</definedName>
    <definedName name="_Regression_Y" localSheetId="9" hidden="1">#REF!</definedName>
    <definedName name="_Regression_Y" localSheetId="5" hidden="1">#REF!</definedName>
    <definedName name="_Regression_Y" localSheetId="6" hidden="1">#REF!</definedName>
    <definedName name="_Regression_Y" localSheetId="7" hidden="1">#REF!</definedName>
    <definedName name="_Regression_Y" localSheetId="10" hidden="1">#REF!</definedName>
    <definedName name="_Regression_Y" localSheetId="0" hidden="1">#REF!</definedName>
    <definedName name="_Regression_Y" localSheetId="14" hidden="1">#REF!</definedName>
    <definedName name="_Regression_Y" localSheetId="23" hidden="1">#REF!</definedName>
    <definedName name="_Regression_Y" localSheetId="18" hidden="1">#REF!</definedName>
    <definedName name="_Regression_Y" localSheetId="19" hidden="1">#REF!</definedName>
    <definedName name="_Regression_Y" localSheetId="22" hidden="1">#REF!</definedName>
    <definedName name="_Regression_Y" localSheetId="32" hidden="1">#REF!</definedName>
    <definedName name="_Regression_Y" localSheetId="33" hidden="1">#REF!</definedName>
    <definedName name="_Regression_Y" localSheetId="8" hidden="1">#REF!</definedName>
    <definedName name="_Regression_Y" localSheetId="16" hidden="1">#REF!</definedName>
    <definedName name="_Regression_Y" localSheetId="24" hidden="1">#REF!</definedName>
    <definedName name="_Regression_Y" localSheetId="28" hidden="1">#REF!</definedName>
    <definedName name="_Regression_Y" localSheetId="21" hidden="1">#REF!</definedName>
    <definedName name="_Regression_Y" localSheetId="13" hidden="1">#REF!</definedName>
    <definedName name="_Regression_Y" localSheetId="34" hidden="1">#REF!</definedName>
    <definedName name="_Regression_Y" localSheetId="45" hidden="1">#REF!</definedName>
    <definedName name="_Regression_Y" localSheetId="41" hidden="1">#REF!</definedName>
    <definedName name="_Regression_Y" localSheetId="60" hidden="1">#REF!</definedName>
    <definedName name="_Regression_Y" localSheetId="27" hidden="1">#REF!</definedName>
    <definedName name="_Regression_Y" localSheetId="12" hidden="1">#REF!</definedName>
    <definedName name="_Regression_Y" localSheetId="30" hidden="1">#REF!</definedName>
    <definedName name="_Regression_Y" localSheetId="26" hidden="1">#REF!</definedName>
    <definedName name="_Regression_Y" localSheetId="31" hidden="1">#REF!</definedName>
    <definedName name="_Regression_Y" localSheetId="25" hidden="1">#REF!</definedName>
    <definedName name="_Regression_Y" localSheetId="11" hidden="1">#REF!</definedName>
    <definedName name="_Regression_Y" localSheetId="29" hidden="1">#REF!</definedName>
    <definedName name="_Regression_Y" hidden="1">#REF!</definedName>
    <definedName name="_Sort" localSheetId="9" hidden="1">#REF!</definedName>
    <definedName name="_Sort" localSheetId="5" hidden="1">#REF!</definedName>
    <definedName name="_Sort" localSheetId="6" hidden="1">#REF!</definedName>
    <definedName name="_Sort" localSheetId="7" hidden="1">#REF!</definedName>
    <definedName name="_Sort" localSheetId="10" hidden="1">#REF!</definedName>
    <definedName name="_Sort" localSheetId="0" hidden="1">#REF!</definedName>
    <definedName name="_Sort" localSheetId="14" hidden="1">#REF!</definedName>
    <definedName name="_Sort" localSheetId="23" hidden="1">#REF!</definedName>
    <definedName name="_Sort" localSheetId="18" hidden="1">#REF!</definedName>
    <definedName name="_Sort" localSheetId="19" hidden="1">#REF!</definedName>
    <definedName name="_Sort" localSheetId="22" hidden="1">#REF!</definedName>
    <definedName name="_Sort" localSheetId="32" hidden="1">#REF!</definedName>
    <definedName name="_Sort" localSheetId="33" hidden="1">#REF!</definedName>
    <definedName name="_Sort" localSheetId="8" hidden="1">#REF!</definedName>
    <definedName name="_Sort" localSheetId="16" hidden="1">#REF!</definedName>
    <definedName name="_Sort" localSheetId="24" hidden="1">#REF!</definedName>
    <definedName name="_Sort" localSheetId="28" hidden="1">#REF!</definedName>
    <definedName name="_Sort" localSheetId="21" hidden="1">#REF!</definedName>
    <definedName name="_Sort" localSheetId="13" hidden="1">#REF!</definedName>
    <definedName name="_Sort" localSheetId="34" hidden="1">#REF!</definedName>
    <definedName name="_Sort" localSheetId="45" hidden="1">#REF!</definedName>
    <definedName name="_Sort" localSheetId="41" hidden="1">#REF!</definedName>
    <definedName name="_Sort" localSheetId="60" hidden="1">#REF!</definedName>
    <definedName name="_Sort" localSheetId="27" hidden="1">#REF!</definedName>
    <definedName name="_Sort" localSheetId="12" hidden="1">#REF!</definedName>
    <definedName name="_Sort" localSheetId="30" hidden="1">#REF!</definedName>
    <definedName name="_Sort" localSheetId="26" hidden="1">#REF!</definedName>
    <definedName name="_Sort" localSheetId="31" hidden="1">#REF!</definedName>
    <definedName name="_Sort" localSheetId="25" hidden="1">#REF!</definedName>
    <definedName name="_Sort" localSheetId="11" hidden="1">#REF!</definedName>
    <definedName name="_Sort" localSheetId="29" hidden="1">#REF!</definedName>
    <definedName name="_Sort" hidden="1">#REF!</definedName>
    <definedName name="A" localSheetId="9" hidden="1">#REF!</definedName>
    <definedName name="A" localSheetId="5" hidden="1">#REF!</definedName>
    <definedName name="A" localSheetId="6" hidden="1">#REF!</definedName>
    <definedName name="A" localSheetId="7" hidden="1">#REF!</definedName>
    <definedName name="A" localSheetId="10" hidden="1">#REF!</definedName>
    <definedName name="A" localSheetId="0" hidden="1">#REF!</definedName>
    <definedName name="A" localSheetId="14" hidden="1">#REF!</definedName>
    <definedName name="A" localSheetId="23" hidden="1">#REF!</definedName>
    <definedName name="A" localSheetId="18" hidden="1">#REF!</definedName>
    <definedName name="A" localSheetId="19" hidden="1">#REF!</definedName>
    <definedName name="A" localSheetId="22" hidden="1">#REF!</definedName>
    <definedName name="A" localSheetId="32" hidden="1">#REF!</definedName>
    <definedName name="A" localSheetId="33" hidden="1">#REF!</definedName>
    <definedName name="A" localSheetId="8" hidden="1">#REF!</definedName>
    <definedName name="A" localSheetId="16" hidden="1">#REF!</definedName>
    <definedName name="A" localSheetId="24" hidden="1">#REF!</definedName>
    <definedName name="A" localSheetId="28" hidden="1">#REF!</definedName>
    <definedName name="A" localSheetId="21" hidden="1">#REF!</definedName>
    <definedName name="A" localSheetId="13" hidden="1">#REF!</definedName>
    <definedName name="A" localSheetId="34" hidden="1">#REF!</definedName>
    <definedName name="A" localSheetId="45" hidden="1">#REF!</definedName>
    <definedName name="A" localSheetId="41" hidden="1">#REF!</definedName>
    <definedName name="A" localSheetId="60" hidden="1">#REF!</definedName>
    <definedName name="A" localSheetId="27" hidden="1">#REF!</definedName>
    <definedName name="A" localSheetId="12" hidden="1">#REF!</definedName>
    <definedName name="A" localSheetId="30" hidden="1">#REF!</definedName>
    <definedName name="A" localSheetId="26" hidden="1">#REF!</definedName>
    <definedName name="A" localSheetId="31" hidden="1">#REF!</definedName>
    <definedName name="A" localSheetId="25" hidden="1">#REF!</definedName>
    <definedName name="A" localSheetId="11" hidden="1">#REF!</definedName>
    <definedName name="A" localSheetId="29" hidden="1">#REF!</definedName>
    <definedName name="A" hidden="1">#REF!</definedName>
    <definedName name="d" localSheetId="9" hidden="1">'[1]Time series'!#REF!</definedName>
    <definedName name="d" localSheetId="5" hidden="1">'[1]Time series'!#REF!</definedName>
    <definedName name="d" localSheetId="6" hidden="1">'[1]Time series'!#REF!</definedName>
    <definedName name="d" localSheetId="7" hidden="1">'[1]Time series'!#REF!</definedName>
    <definedName name="d" localSheetId="10" hidden="1">'[1]Time series'!#REF!</definedName>
    <definedName name="d" localSheetId="0" hidden="1">'[1]Time series'!#REF!</definedName>
    <definedName name="d" localSheetId="14" hidden="1">'[1]Time series'!#REF!</definedName>
    <definedName name="d" localSheetId="23" hidden="1">'[1]Time series'!#REF!</definedName>
    <definedName name="d" localSheetId="18" hidden="1">'[1]Time series'!#REF!</definedName>
    <definedName name="d" localSheetId="19" hidden="1">'[1]Time series'!#REF!</definedName>
    <definedName name="d" localSheetId="22" hidden="1">'[1]Time series'!#REF!</definedName>
    <definedName name="d" localSheetId="32" hidden="1">'[1]Time series'!#REF!</definedName>
    <definedName name="d" localSheetId="33" hidden="1">'[1]Time series'!#REF!</definedName>
    <definedName name="d" localSheetId="8" hidden="1">'[1]Time series'!#REF!</definedName>
    <definedName name="d" localSheetId="16" hidden="1">'[1]Time series'!#REF!</definedName>
    <definedName name="d" localSheetId="24" hidden="1">'[1]Time series'!#REF!</definedName>
    <definedName name="d" localSheetId="28" hidden="1">'[1]Time series'!#REF!</definedName>
    <definedName name="d" localSheetId="21" hidden="1">'[1]Time series'!#REF!</definedName>
    <definedName name="d" localSheetId="13" hidden="1">'[1]Time series'!#REF!</definedName>
    <definedName name="d" localSheetId="34" hidden="1">'[1]Time series'!#REF!</definedName>
    <definedName name="d" localSheetId="45" hidden="1">'[1]Time series'!#REF!</definedName>
    <definedName name="d" localSheetId="60" hidden="1">'[1]Time series'!#REF!</definedName>
    <definedName name="d" localSheetId="27" hidden="1">'[1]Time series'!#REF!</definedName>
    <definedName name="d" localSheetId="12" hidden="1">'[1]Time series'!#REF!</definedName>
    <definedName name="d" localSheetId="30" hidden="1">'[1]Time series'!#REF!</definedName>
    <definedName name="d" localSheetId="26" hidden="1">'[1]Time series'!#REF!</definedName>
    <definedName name="d" localSheetId="31" hidden="1">'[1]Time series'!#REF!</definedName>
    <definedName name="d" localSheetId="25" hidden="1">'[1]Time series'!#REF!</definedName>
    <definedName name="d" localSheetId="11" hidden="1">'[1]Time series'!#REF!</definedName>
    <definedName name="d" localSheetId="29" hidden="1">'[1]Time series'!#REF!</definedName>
    <definedName name="d" hidden="1">'[1]Time series'!#REF!</definedName>
    <definedName name="LGBF_1">Lookups!$B$28:$B$36</definedName>
    <definedName name="LGBF_2">Lookups!$C$28:$C$36</definedName>
    <definedName name="LGBF_3">Lookups!$D$28:$D$36</definedName>
    <definedName name="LGBF_4">Lookups!$E$28:$E$36</definedName>
    <definedName name="LGBF_5">'Raw - LGBF Family Groups'!$D$2:$D$10</definedName>
    <definedName name="LGBF_6">'Raw - LGBF Family Groups'!$E$2:$E$10</definedName>
    <definedName name="LGBF_7">'Raw - LGBF Family Groups'!$F$2:$F$10</definedName>
    <definedName name="LGBF_8">'Raw - LGBF Family Groups'!$G$2:$G$10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 i="31" l="1"/>
  <c r="F40" i="31"/>
  <c r="G19" i="32" s="1"/>
  <c r="F42" i="31"/>
  <c r="F47" i="31"/>
  <c r="F41" i="31"/>
  <c r="P48" i="56" a="1"/>
  <c r="P48" i="56" s="1"/>
  <c r="P46" i="56" a="1"/>
  <c r="P46" i="56" s="1"/>
  <c r="P47" i="56" a="1"/>
  <c r="P47" i="56" s="1"/>
  <c r="L48" i="56" a="1"/>
  <c r="L48" i="56" s="1"/>
  <c r="L49" i="56" a="1"/>
  <c r="L49" i="56" s="1"/>
  <c r="L46" i="56" a="1"/>
  <c r="L46" i="56" s="1"/>
  <c r="L50" i="56" a="1"/>
  <c r="L50" i="56" s="1"/>
  <c r="H48" i="56" a="1"/>
  <c r="H48" i="56" s="1"/>
  <c r="H49" i="56" a="1"/>
  <c r="H49" i="56" s="1"/>
  <c r="H46" i="56" a="1"/>
  <c r="H46" i="56" s="1"/>
  <c r="H47" i="56" a="1"/>
  <c r="H47" i="56" s="1"/>
  <c r="P49" i="56" a="1"/>
  <c r="P49" i="56" s="1"/>
  <c r="P51" i="56" a="1"/>
  <c r="P51" i="56" s="1"/>
  <c r="P45" i="56" a="1"/>
  <c r="P45" i="56" s="1"/>
  <c r="P44" i="56" a="1"/>
  <c r="P44" i="56" s="1"/>
  <c r="L51" i="56" a="1"/>
  <c r="L51" i="56" s="1"/>
  <c r="L45" i="56" a="1"/>
  <c r="L45" i="56" s="1"/>
  <c r="L44" i="56" a="1"/>
  <c r="L44" i="56" s="1"/>
  <c r="L43" i="56" a="1"/>
  <c r="L43" i="56" s="1"/>
  <c r="H51" i="56" a="1"/>
  <c r="H51" i="56" s="1"/>
  <c r="H45" i="56" a="1"/>
  <c r="H45" i="56" s="1"/>
  <c r="H44" i="56" a="1"/>
  <c r="H44" i="56" s="1"/>
  <c r="H43" i="56" a="1"/>
  <c r="H43" i="56" s="1"/>
  <c r="D46" i="24" a="1"/>
  <c r="D46" i="24" s="1"/>
  <c r="D46" i="56" a="1"/>
  <c r="D46" i="56" s="1"/>
  <c r="P51" i="24" a="1"/>
  <c r="P51" i="24" s="1"/>
  <c r="L51" i="24" a="1"/>
  <c r="L51" i="24" s="1"/>
  <c r="H51" i="24" a="1"/>
  <c r="H51" i="24" s="1"/>
  <c r="D51" i="24" a="1"/>
  <c r="D51" i="24" s="1"/>
  <c r="P50" i="24" a="1"/>
  <c r="P50" i="24" s="1"/>
  <c r="L50" i="24" a="1"/>
  <c r="L50" i="24" s="1"/>
  <c r="H50" i="24" a="1"/>
  <c r="H50" i="24" s="1"/>
  <c r="D50" i="24" a="1"/>
  <c r="D50" i="24" s="1"/>
  <c r="P49" i="24" a="1"/>
  <c r="P49" i="24" s="1"/>
  <c r="L49" i="24" a="1"/>
  <c r="L49" i="24" s="1"/>
  <c r="H49" i="24" a="1"/>
  <c r="H49" i="24" s="1"/>
  <c r="D49" i="24" a="1"/>
  <c r="D49" i="24" s="1"/>
  <c r="P48" i="24" a="1"/>
  <c r="P48" i="24" s="1"/>
  <c r="L48" i="24" a="1"/>
  <c r="L48" i="24" s="1"/>
  <c r="H48" i="24" a="1"/>
  <c r="H48" i="24" s="1"/>
  <c r="D48" i="24" a="1"/>
  <c r="D48" i="24" s="1"/>
  <c r="P47" i="24" a="1"/>
  <c r="P47" i="24" s="1"/>
  <c r="L47" i="24" a="1"/>
  <c r="L47" i="24" s="1"/>
  <c r="H47" i="24" a="1"/>
  <c r="H47" i="24" s="1"/>
  <c r="D47" i="24" a="1"/>
  <c r="D47" i="24" s="1"/>
  <c r="P46" i="24" a="1"/>
  <c r="P46" i="24" s="1"/>
  <c r="L46" i="24" a="1"/>
  <c r="L46" i="24" s="1"/>
  <c r="H46" i="24" a="1"/>
  <c r="H46" i="24" s="1"/>
  <c r="P45" i="24" a="1"/>
  <c r="P45" i="24" s="1"/>
  <c r="L45" i="24" a="1"/>
  <c r="L45" i="24" s="1"/>
  <c r="H45" i="24" a="1"/>
  <c r="H45" i="24" s="1"/>
  <c r="D45" i="24" a="1"/>
  <c r="D45" i="24" s="1"/>
  <c r="P44" i="24" a="1"/>
  <c r="P44" i="24" s="1"/>
  <c r="L44" i="24" a="1"/>
  <c r="L44" i="24" s="1"/>
  <c r="H44" i="24" a="1"/>
  <c r="H44" i="24" s="1"/>
  <c r="D44" i="24" a="1"/>
  <c r="D44" i="24" s="1"/>
  <c r="P43" i="24" a="1"/>
  <c r="P43" i="24" s="1"/>
  <c r="L43" i="24" a="1"/>
  <c r="L43" i="24" s="1"/>
  <c r="H43" i="24" a="1"/>
  <c r="H43" i="24" s="1"/>
  <c r="D43" i="24" a="1"/>
  <c r="D43" i="24" s="1"/>
  <c r="G21" i="32"/>
  <c r="F21" i="32"/>
  <c r="E21" i="32"/>
  <c r="D21" i="32"/>
  <c r="G20" i="32"/>
  <c r="F20" i="32"/>
  <c r="E20" i="32"/>
  <c r="D20" i="32"/>
  <c r="K8" i="43"/>
  <c r="L8" i="43" s="1"/>
  <c r="K9" i="43"/>
  <c r="L9" i="43" s="1"/>
  <c r="K10" i="43"/>
  <c r="L10" i="43" s="1"/>
  <c r="K11" i="43"/>
  <c r="L11" i="43" s="1"/>
  <c r="K12" i="43"/>
  <c r="L12" i="43" s="1"/>
  <c r="K13" i="43"/>
  <c r="L13" i="43" s="1"/>
  <c r="K14" i="43"/>
  <c r="L14" i="43" s="1"/>
  <c r="L7" i="43"/>
  <c r="K7" i="43"/>
  <c r="J18" i="43"/>
  <c r="J19" i="43"/>
  <c r="J20" i="43"/>
  <c r="J21" i="43"/>
  <c r="J17" i="43"/>
  <c r="P42" i="86"/>
  <c r="N42" i="86"/>
  <c r="O42" i="86" s="1"/>
  <c r="P40" i="86"/>
  <c r="N40" i="86"/>
  <c r="O40" i="86" s="1"/>
  <c r="P39" i="86"/>
  <c r="N39" i="86"/>
  <c r="O39" i="86" s="1"/>
  <c r="P38" i="86"/>
  <c r="O38" i="86" s="1"/>
  <c r="N38" i="86"/>
  <c r="P37" i="86"/>
  <c r="O37" i="86"/>
  <c r="N37" i="86"/>
  <c r="P36" i="86"/>
  <c r="O36" i="86"/>
  <c r="N36" i="86"/>
  <c r="P35" i="86"/>
  <c r="O35" i="86" s="1"/>
  <c r="N35" i="86"/>
  <c r="P34" i="86"/>
  <c r="N34" i="86"/>
  <c r="O34" i="86" s="1"/>
  <c r="P33" i="86"/>
  <c r="O33" i="86" s="1"/>
  <c r="N33" i="86"/>
  <c r="P32" i="86"/>
  <c r="N32" i="86"/>
  <c r="O32" i="86" s="1"/>
  <c r="P30" i="86"/>
  <c r="O30" i="86" s="1"/>
  <c r="N30" i="86"/>
  <c r="P29" i="86"/>
  <c r="N29" i="86"/>
  <c r="O29" i="86" s="1"/>
  <c r="P28" i="86"/>
  <c r="N28" i="86"/>
  <c r="O28" i="86" s="1"/>
  <c r="P27" i="86"/>
  <c r="O27" i="86" s="1"/>
  <c r="N27" i="86"/>
  <c r="P26" i="86"/>
  <c r="N26" i="86"/>
  <c r="O26" i="86" s="1"/>
  <c r="P25" i="86"/>
  <c r="O25" i="86" s="1"/>
  <c r="N25" i="86"/>
  <c r="P24" i="86"/>
  <c r="N24" i="86"/>
  <c r="O24" i="86" s="1"/>
  <c r="P23" i="86"/>
  <c r="N23" i="86"/>
  <c r="O23" i="86" s="1"/>
  <c r="O41" i="86" s="1" a="1"/>
  <c r="O41" i="86" s="1"/>
  <c r="P22" i="86"/>
  <c r="O22" i="86" s="1"/>
  <c r="N22" i="86"/>
  <c r="P21" i="86"/>
  <c r="O21" i="86"/>
  <c r="N21" i="86"/>
  <c r="P20" i="86"/>
  <c r="N20" i="86"/>
  <c r="O20" i="86" s="1"/>
  <c r="P19" i="86"/>
  <c r="O19" i="86" s="1"/>
  <c r="N19" i="86"/>
  <c r="P18" i="86"/>
  <c r="N18" i="86"/>
  <c r="O18" i="86" s="1"/>
  <c r="P17" i="86"/>
  <c r="O17" i="86"/>
  <c r="N17" i="86"/>
  <c r="P16" i="86"/>
  <c r="N16" i="86"/>
  <c r="O16" i="86" s="1"/>
  <c r="P15" i="86"/>
  <c r="N15" i="86"/>
  <c r="O15" i="86" s="1"/>
  <c r="P14" i="86"/>
  <c r="O14" i="86" s="1"/>
  <c r="N14" i="86"/>
  <c r="P13" i="86"/>
  <c r="N13" i="86"/>
  <c r="O13" i="86" s="1"/>
  <c r="P12" i="86"/>
  <c r="N12" i="86"/>
  <c r="O12" i="86" s="1"/>
  <c r="P11" i="86"/>
  <c r="O11" i="86" s="1"/>
  <c r="N11" i="86"/>
  <c r="P10" i="86"/>
  <c r="N10" i="86"/>
  <c r="O10" i="86" s="1"/>
  <c r="P9" i="86"/>
  <c r="O9" i="86"/>
  <c r="N9" i="86"/>
  <c r="L42" i="86"/>
  <c r="J42" i="86"/>
  <c r="K42" i="86" s="1"/>
  <c r="L40" i="86"/>
  <c r="J40" i="86"/>
  <c r="K40" i="86" s="1"/>
  <c r="L39" i="86"/>
  <c r="J39" i="86"/>
  <c r="K39" i="86" s="1"/>
  <c r="L38" i="86"/>
  <c r="K38" i="86"/>
  <c r="J38" i="86"/>
  <c r="L37" i="86"/>
  <c r="K37" i="86"/>
  <c r="J37" i="86"/>
  <c r="L36" i="86"/>
  <c r="K36" i="86"/>
  <c r="J36" i="86"/>
  <c r="L35" i="86"/>
  <c r="K35" i="86" s="1"/>
  <c r="J35" i="86"/>
  <c r="L34" i="86"/>
  <c r="J34" i="86"/>
  <c r="K34" i="86" s="1"/>
  <c r="L33" i="86"/>
  <c r="J33" i="86"/>
  <c r="K33" i="86" s="1"/>
  <c r="L32" i="86"/>
  <c r="J32" i="86"/>
  <c r="K32" i="86" s="1"/>
  <c r="L31" i="86"/>
  <c r="J31" i="86"/>
  <c r="K31" i="86" s="1"/>
  <c r="L30" i="86"/>
  <c r="K30" i="86"/>
  <c r="J30" i="86"/>
  <c r="L29" i="86"/>
  <c r="K29" i="86"/>
  <c r="J29" i="86"/>
  <c r="L27" i="86"/>
  <c r="K27" i="86" s="1"/>
  <c r="J27" i="86"/>
  <c r="L26" i="86"/>
  <c r="J26" i="86"/>
  <c r="K26" i="86" s="1"/>
  <c r="L25" i="86"/>
  <c r="J25" i="86"/>
  <c r="K25" i="86" s="1"/>
  <c r="L24" i="86"/>
  <c r="J24" i="86"/>
  <c r="K24" i="86" s="1"/>
  <c r="L23" i="86"/>
  <c r="J23" i="86"/>
  <c r="K23" i="86" s="1"/>
  <c r="K41" i="86" s="1" a="1"/>
  <c r="K41" i="86" s="1"/>
  <c r="L22" i="86"/>
  <c r="K22" i="86"/>
  <c r="J22" i="86"/>
  <c r="L21" i="86"/>
  <c r="K21" i="86"/>
  <c r="J21" i="86"/>
  <c r="L20" i="86"/>
  <c r="K20" i="86"/>
  <c r="J20" i="86"/>
  <c r="L19" i="86"/>
  <c r="K19" i="86" s="1"/>
  <c r="J19" i="86"/>
  <c r="L18" i="86"/>
  <c r="J18" i="86"/>
  <c r="K18" i="86" s="1"/>
  <c r="L17" i="86"/>
  <c r="J17" i="86"/>
  <c r="K17" i="86" s="1"/>
  <c r="L16" i="86"/>
  <c r="J16" i="86"/>
  <c r="K16" i="86" s="1"/>
  <c r="L15" i="86"/>
  <c r="J15" i="86"/>
  <c r="K15" i="86" s="1"/>
  <c r="L14" i="86"/>
  <c r="K14" i="86"/>
  <c r="J14" i="86"/>
  <c r="L13" i="86"/>
  <c r="K13" i="86"/>
  <c r="J13" i="86"/>
  <c r="L12" i="86"/>
  <c r="K12" i="86"/>
  <c r="J12" i="86"/>
  <c r="L11" i="86"/>
  <c r="K11" i="86" s="1"/>
  <c r="J11" i="86"/>
  <c r="L10" i="86"/>
  <c r="J10" i="86"/>
  <c r="K10" i="86" s="1"/>
  <c r="L9" i="86"/>
  <c r="J9" i="86"/>
  <c r="K9" i="86" s="1"/>
  <c r="F9" i="86"/>
  <c r="H9" i="86"/>
  <c r="H42" i="86"/>
  <c r="F42" i="86"/>
  <c r="G42" i="86" s="1"/>
  <c r="H40" i="86"/>
  <c r="F40" i="86"/>
  <c r="G40" i="86" s="1"/>
  <c r="H39" i="86"/>
  <c r="F39" i="86"/>
  <c r="G39" i="86" s="1"/>
  <c r="H38" i="86"/>
  <c r="G38" i="86"/>
  <c r="F38" i="86"/>
  <c r="H37" i="86"/>
  <c r="F37" i="86"/>
  <c r="G37" i="86" s="1"/>
  <c r="H36" i="86"/>
  <c r="F36" i="86"/>
  <c r="G36" i="86" s="1"/>
  <c r="H35" i="86"/>
  <c r="G35" i="86" s="1"/>
  <c r="F35" i="86"/>
  <c r="H34" i="86"/>
  <c r="G34" i="86"/>
  <c r="F34" i="86"/>
  <c r="H33" i="86"/>
  <c r="F33" i="86"/>
  <c r="G33" i="86" s="1"/>
  <c r="H32" i="86"/>
  <c r="F32" i="86"/>
  <c r="G32" i="86" s="1"/>
  <c r="H31" i="86"/>
  <c r="F31" i="86"/>
  <c r="G31" i="86" s="1"/>
  <c r="H30" i="86"/>
  <c r="G30" i="86"/>
  <c r="F30" i="86"/>
  <c r="H29" i="86"/>
  <c r="F29" i="86"/>
  <c r="G29" i="86" s="1"/>
  <c r="H27" i="86"/>
  <c r="G27" i="86" s="1"/>
  <c r="F27" i="86"/>
  <c r="H26" i="86"/>
  <c r="G26" i="86"/>
  <c r="F26" i="86"/>
  <c r="H25" i="86"/>
  <c r="F25" i="86"/>
  <c r="G25" i="86" s="1"/>
  <c r="H24" i="86"/>
  <c r="F24" i="86"/>
  <c r="G24" i="86" s="1"/>
  <c r="H23" i="86"/>
  <c r="F23" i="86"/>
  <c r="G23" i="86" s="1"/>
  <c r="G41" i="86" s="1" a="1"/>
  <c r="G41" i="86" s="1"/>
  <c r="H22" i="86"/>
  <c r="G22" i="86"/>
  <c r="F22" i="86"/>
  <c r="H21" i="86"/>
  <c r="F21" i="86"/>
  <c r="G21" i="86" s="1"/>
  <c r="H20" i="86"/>
  <c r="F20" i="86"/>
  <c r="G20" i="86" s="1"/>
  <c r="H19" i="86"/>
  <c r="G19" i="86" s="1"/>
  <c r="F19" i="86"/>
  <c r="H18" i="86"/>
  <c r="G18" i="86"/>
  <c r="F18" i="86"/>
  <c r="H17" i="86"/>
  <c r="F17" i="86"/>
  <c r="G17" i="86" s="1"/>
  <c r="H16" i="86"/>
  <c r="F16" i="86"/>
  <c r="G16" i="86" s="1"/>
  <c r="H15" i="86"/>
  <c r="F15" i="86"/>
  <c r="G15" i="86" s="1"/>
  <c r="H14" i="86"/>
  <c r="G14" i="86"/>
  <c r="F14" i="86"/>
  <c r="H13" i="86"/>
  <c r="F13" i="86"/>
  <c r="G13" i="86" s="1"/>
  <c r="H12" i="86"/>
  <c r="F12" i="86"/>
  <c r="G12" i="86" s="1"/>
  <c r="H11" i="86"/>
  <c r="G11" i="86" s="1"/>
  <c r="F11" i="86"/>
  <c r="H10" i="86"/>
  <c r="G10" i="86"/>
  <c r="F10" i="86"/>
  <c r="D42" i="86"/>
  <c r="B42" i="86"/>
  <c r="C42" i="86" s="1"/>
  <c r="B41" i="86" a="1"/>
  <c r="B41" i="86" s="1"/>
  <c r="J18" i="46"/>
  <c r="J19" i="46"/>
  <c r="J20" i="46"/>
  <c r="J18" i="83"/>
  <c r="J19" i="83"/>
  <c r="J20" i="83"/>
  <c r="J21" i="83"/>
  <c r="I18" i="16"/>
  <c r="J18" i="16" s="1"/>
  <c r="I19" i="16"/>
  <c r="J19" i="16" s="1"/>
  <c r="I20" i="16"/>
  <c r="J20" i="16" s="1"/>
  <c r="I21" i="16"/>
  <c r="J21" i="16" s="1"/>
  <c r="I17" i="16"/>
  <c r="J17" i="16" s="1"/>
  <c r="I8" i="16"/>
  <c r="J8" i="16"/>
  <c r="I9" i="16"/>
  <c r="J9" i="16" s="1"/>
  <c r="I10" i="16"/>
  <c r="J10" i="16"/>
  <c r="I11" i="16"/>
  <c r="J11" i="16"/>
  <c r="I12" i="16"/>
  <c r="J12" i="16"/>
  <c r="I13" i="16"/>
  <c r="J13" i="16" s="1"/>
  <c r="I14" i="16"/>
  <c r="J14" i="16"/>
  <c r="J18" i="13"/>
  <c r="J19" i="13"/>
  <c r="J20" i="13"/>
  <c r="J21" i="13"/>
  <c r="J18" i="25"/>
  <c r="J19" i="25"/>
  <c r="J20" i="25"/>
  <c r="J21" i="25"/>
  <c r="I18" i="2"/>
  <c r="J18" i="2" s="1"/>
  <c r="I19" i="2"/>
  <c r="J19" i="2" s="1"/>
  <c r="I20" i="2"/>
  <c r="J20" i="2"/>
  <c r="I21" i="2"/>
  <c r="J21" i="2"/>
  <c r="I17" i="2"/>
  <c r="J17" i="2" s="1"/>
  <c r="I8" i="2"/>
  <c r="J8" i="2" s="1"/>
  <c r="I9" i="2"/>
  <c r="J9" i="2" s="1"/>
  <c r="I10" i="2"/>
  <c r="J10" i="2"/>
  <c r="I11" i="2"/>
  <c r="J11" i="2"/>
  <c r="I12" i="2"/>
  <c r="J12" i="2" s="1"/>
  <c r="I13" i="2"/>
  <c r="J13" i="2" s="1"/>
  <c r="I14" i="2"/>
  <c r="J14" i="2"/>
  <c r="J18" i="106"/>
  <c r="J19" i="106"/>
  <c r="J20" i="106"/>
  <c r="I18" i="6"/>
  <c r="J18" i="6"/>
  <c r="I19" i="6"/>
  <c r="J19" i="6"/>
  <c r="I20" i="6"/>
  <c r="J20" i="6"/>
  <c r="I21" i="6"/>
  <c r="J21" i="6"/>
  <c r="J17" i="6"/>
  <c r="I17" i="6"/>
  <c r="I8" i="6"/>
  <c r="J8" i="6"/>
  <c r="I9" i="6"/>
  <c r="J9" i="6"/>
  <c r="I10" i="6"/>
  <c r="J10" i="6"/>
  <c r="I11" i="6"/>
  <c r="J11" i="6"/>
  <c r="I12" i="6"/>
  <c r="J12" i="6"/>
  <c r="I13" i="6"/>
  <c r="J13" i="6"/>
  <c r="I14" i="6"/>
  <c r="J14" i="6"/>
  <c r="J18" i="18"/>
  <c r="J19" i="18"/>
  <c r="J20" i="18"/>
  <c r="J21" i="18"/>
  <c r="I18" i="95"/>
  <c r="J18" i="95"/>
  <c r="I19" i="95"/>
  <c r="J19" i="95"/>
  <c r="I20" i="95"/>
  <c r="J20" i="95"/>
  <c r="I21" i="95"/>
  <c r="J21" i="95"/>
  <c r="J17" i="95"/>
  <c r="I17" i="95"/>
  <c r="I8" i="95"/>
  <c r="J8" i="95"/>
  <c r="I9" i="95"/>
  <c r="J9" i="95"/>
  <c r="I10" i="95"/>
  <c r="J10" i="95"/>
  <c r="I11" i="95"/>
  <c r="J11" i="95"/>
  <c r="I12" i="95"/>
  <c r="J12" i="95"/>
  <c r="I13" i="95"/>
  <c r="J13" i="95"/>
  <c r="I14" i="95"/>
  <c r="J14" i="95"/>
  <c r="J18" i="34"/>
  <c r="J19" i="34"/>
  <c r="J20" i="34"/>
  <c r="J21" i="34"/>
  <c r="J18" i="139"/>
  <c r="J19" i="139"/>
  <c r="J20" i="139"/>
  <c r="J21" i="139"/>
  <c r="J18" i="136"/>
  <c r="J19" i="136"/>
  <c r="J20" i="136"/>
  <c r="J21" i="136"/>
  <c r="J18" i="133"/>
  <c r="J19" i="133"/>
  <c r="J20" i="133"/>
  <c r="J18" i="11"/>
  <c r="J19" i="11"/>
  <c r="J20" i="11"/>
  <c r="J21" i="11"/>
  <c r="F44" i="31" l="1"/>
  <c r="F43" i="31"/>
  <c r="F45" i="31"/>
  <c r="C17" i="32"/>
  <c r="G17" i="32" s="1"/>
  <c r="P50" i="56" a="1"/>
  <c r="P50" i="56" s="1"/>
  <c r="L47" i="56" a="1"/>
  <c r="L47" i="56" s="1"/>
  <c r="H50" i="56" a="1"/>
  <c r="H50" i="56" s="1"/>
  <c r="P43" i="56" a="1"/>
  <c r="P43" i="56" s="1"/>
  <c r="N41" i="86" a="1"/>
  <c r="N41" i="86" s="1"/>
  <c r="P41" i="86" s="1"/>
  <c r="J41" i="86" a="1"/>
  <c r="J41" i="86" s="1"/>
  <c r="L41" i="86" s="1"/>
  <c r="G9" i="86"/>
  <c r="F41" i="86" a="1"/>
  <c r="F41" i="86" s="1"/>
  <c r="H41" i="86" s="1"/>
  <c r="I21" i="133"/>
  <c r="I21" i="43"/>
  <c r="I20" i="43"/>
  <c r="I19" i="43"/>
  <c r="I18" i="43"/>
  <c r="I17" i="43"/>
  <c r="C17" i="6"/>
  <c r="G38" i="143" a="1"/>
  <c r="G38" i="143" s="1"/>
  <c r="P10" i="142"/>
  <c r="P11" i="142"/>
  <c r="P12" i="142"/>
  <c r="P13" i="142"/>
  <c r="P14" i="142"/>
  <c r="P15" i="142"/>
  <c r="P16" i="142"/>
  <c r="P17" i="142"/>
  <c r="P18" i="142"/>
  <c r="P19" i="142"/>
  <c r="P20" i="142"/>
  <c r="P21" i="142"/>
  <c r="P22" i="142"/>
  <c r="P23" i="142"/>
  <c r="P24" i="142"/>
  <c r="P25" i="142"/>
  <c r="P26" i="142"/>
  <c r="P27" i="142"/>
  <c r="P28" i="142"/>
  <c r="P29" i="142"/>
  <c r="P30" i="142"/>
  <c r="P31" i="142"/>
  <c r="P32" i="142"/>
  <c r="P33" i="142"/>
  <c r="P34" i="142"/>
  <c r="P35" i="142"/>
  <c r="P36" i="142"/>
  <c r="P37" i="142"/>
  <c r="P38" i="142"/>
  <c r="P39" i="142"/>
  <c r="P40" i="142"/>
  <c r="P42" i="142"/>
  <c r="P43" i="142"/>
  <c r="P44" i="142"/>
  <c r="P45" i="142"/>
  <c r="P46" i="142"/>
  <c r="P47" i="142"/>
  <c r="P48" i="142"/>
  <c r="P49" i="142"/>
  <c r="P50" i="142"/>
  <c r="P51" i="142"/>
  <c r="P52" i="142"/>
  <c r="P9" i="142"/>
  <c r="K10" i="132"/>
  <c r="L10" i="132"/>
  <c r="J10" i="132" s="1"/>
  <c r="O10" i="132"/>
  <c r="P10" i="132"/>
  <c r="N10" i="132" s="1"/>
  <c r="K11" i="132"/>
  <c r="L11" i="132"/>
  <c r="J11" i="132" s="1"/>
  <c r="O11" i="132"/>
  <c r="N11" i="132" s="1"/>
  <c r="P11" i="132"/>
  <c r="K12" i="132"/>
  <c r="J12" i="132" s="1"/>
  <c r="L12" i="132"/>
  <c r="O12" i="132"/>
  <c r="P12" i="132"/>
  <c r="N12" i="132" s="1"/>
  <c r="K13" i="132"/>
  <c r="L13" i="132"/>
  <c r="J13" i="132" s="1"/>
  <c r="N13" i="132"/>
  <c r="O13" i="132"/>
  <c r="P13" i="132"/>
  <c r="K14" i="132"/>
  <c r="L14" i="132"/>
  <c r="J14" i="132" s="1"/>
  <c r="O14" i="132"/>
  <c r="P14" i="132"/>
  <c r="N14" i="132" s="1"/>
  <c r="K15" i="132"/>
  <c r="L15" i="132"/>
  <c r="J15" i="132" s="1"/>
  <c r="O15" i="132"/>
  <c r="N15" i="132" s="1"/>
  <c r="P15" i="132"/>
  <c r="K16" i="132"/>
  <c r="J16" i="132" s="1"/>
  <c r="L16" i="132"/>
  <c r="O16" i="132"/>
  <c r="P16" i="132"/>
  <c r="N16" i="132" s="1"/>
  <c r="K17" i="132"/>
  <c r="L17" i="132"/>
  <c r="J17" i="132" s="1"/>
  <c r="N17" i="132"/>
  <c r="O17" i="132"/>
  <c r="P17" i="132"/>
  <c r="K18" i="132"/>
  <c r="L18" i="132"/>
  <c r="J18" i="132" s="1"/>
  <c r="O18" i="132"/>
  <c r="P18" i="132"/>
  <c r="N18" i="132" s="1"/>
  <c r="K19" i="132"/>
  <c r="L19" i="132"/>
  <c r="J19" i="132" s="1"/>
  <c r="O19" i="132"/>
  <c r="N19" i="132" s="1"/>
  <c r="P19" i="132"/>
  <c r="K20" i="132"/>
  <c r="J20" i="132" s="1"/>
  <c r="L20" i="132"/>
  <c r="O20" i="132"/>
  <c r="P20" i="132"/>
  <c r="N20" i="132" s="1"/>
  <c r="K21" i="132"/>
  <c r="L21" i="132"/>
  <c r="J21" i="132" s="1"/>
  <c r="N21" i="132"/>
  <c r="O21" i="132"/>
  <c r="P21" i="132"/>
  <c r="K22" i="132"/>
  <c r="L22" i="132"/>
  <c r="J22" i="132" s="1"/>
  <c r="O22" i="132"/>
  <c r="P22" i="132"/>
  <c r="N22" i="132" s="1"/>
  <c r="K23" i="132"/>
  <c r="L23" i="132"/>
  <c r="J23" i="132" s="1"/>
  <c r="O23" i="132"/>
  <c r="N23" i="132" s="1"/>
  <c r="P23" i="132"/>
  <c r="K24" i="132"/>
  <c r="J24" i="132" s="1"/>
  <c r="L24" i="132"/>
  <c r="O24" i="132"/>
  <c r="P24" i="132"/>
  <c r="N24" i="132" s="1"/>
  <c r="K25" i="132"/>
  <c r="L25" i="132"/>
  <c r="J25" i="132" s="1"/>
  <c r="N25" i="132"/>
  <c r="O25" i="132"/>
  <c r="P25" i="132"/>
  <c r="K26" i="132"/>
  <c r="L26" i="132"/>
  <c r="J26" i="132" s="1"/>
  <c r="O26" i="132"/>
  <c r="P26" i="132"/>
  <c r="N26" i="132" s="1"/>
  <c r="K27" i="132"/>
  <c r="L27" i="132"/>
  <c r="J27" i="132" s="1"/>
  <c r="O27" i="132"/>
  <c r="N27" i="132" s="1"/>
  <c r="P27" i="132"/>
  <c r="K28" i="132"/>
  <c r="J28" i="132" s="1"/>
  <c r="L28" i="132"/>
  <c r="O28" i="132"/>
  <c r="P28" i="132"/>
  <c r="N28" i="132" s="1"/>
  <c r="K29" i="132"/>
  <c r="L29" i="132"/>
  <c r="J29" i="132" s="1"/>
  <c r="N29" i="132"/>
  <c r="O29" i="132"/>
  <c r="P29" i="132"/>
  <c r="K30" i="132"/>
  <c r="L30" i="132"/>
  <c r="J30" i="132" s="1"/>
  <c r="O30" i="132"/>
  <c r="P30" i="132"/>
  <c r="N30" i="132" s="1"/>
  <c r="K31" i="132"/>
  <c r="L31" i="132"/>
  <c r="J31" i="132" s="1"/>
  <c r="O31" i="132"/>
  <c r="N31" i="132" s="1"/>
  <c r="P31" i="132"/>
  <c r="K32" i="132"/>
  <c r="J32" i="132" s="1"/>
  <c r="L32" i="132"/>
  <c r="O32" i="132"/>
  <c r="P32" i="132"/>
  <c r="N32" i="132" s="1"/>
  <c r="K33" i="132"/>
  <c r="L33" i="132"/>
  <c r="J33" i="132" s="1"/>
  <c r="N33" i="132"/>
  <c r="O33" i="132"/>
  <c r="P33" i="132"/>
  <c r="K34" i="132"/>
  <c r="L34" i="132"/>
  <c r="J34" i="132" s="1"/>
  <c r="O34" i="132"/>
  <c r="P34" i="132"/>
  <c r="N34" i="132" s="1"/>
  <c r="K35" i="132"/>
  <c r="L35" i="132"/>
  <c r="J35" i="132" s="1"/>
  <c r="O35" i="132"/>
  <c r="N35" i="132" s="1"/>
  <c r="P35" i="132"/>
  <c r="K36" i="132"/>
  <c r="J36" i="132" s="1"/>
  <c r="L36" i="132"/>
  <c r="O36" i="132"/>
  <c r="P36" i="132"/>
  <c r="N36" i="132" s="1"/>
  <c r="K37" i="132"/>
  <c r="L37" i="132"/>
  <c r="J37" i="132" s="1"/>
  <c r="N37" i="132"/>
  <c r="O37" i="132"/>
  <c r="P37" i="132"/>
  <c r="K38" i="132"/>
  <c r="L38" i="132"/>
  <c r="J38" i="132" s="1"/>
  <c r="O38" i="132"/>
  <c r="P38" i="132"/>
  <c r="N38" i="132" s="1"/>
  <c r="K39" i="132"/>
  <c r="L39" i="132"/>
  <c r="J39" i="132" s="1"/>
  <c r="O39" i="132"/>
  <c r="N39" i="132" s="1"/>
  <c r="P39" i="132"/>
  <c r="K40" i="132"/>
  <c r="J40" i="132" s="1"/>
  <c r="L40" i="132"/>
  <c r="O40" i="132"/>
  <c r="P40" i="132"/>
  <c r="N40" i="132" s="1"/>
  <c r="K42" i="132"/>
  <c r="L42" i="132"/>
  <c r="J42" i="132" s="1"/>
  <c r="O42" i="132"/>
  <c r="P42" i="132"/>
  <c r="N42" i="132" s="1"/>
  <c r="P9" i="132"/>
  <c r="O9" i="132"/>
  <c r="L9" i="132"/>
  <c r="K9" i="132"/>
  <c r="G10" i="132"/>
  <c r="H10" i="132"/>
  <c r="F10" i="132" s="1"/>
  <c r="G11" i="132"/>
  <c r="H11" i="132"/>
  <c r="F11" i="132" s="1"/>
  <c r="G12" i="132"/>
  <c r="H12" i="132"/>
  <c r="F12" i="132" s="1"/>
  <c r="G13" i="132"/>
  <c r="H13" i="132"/>
  <c r="F13" i="132" s="1"/>
  <c r="H16" i="132"/>
  <c r="G17" i="132"/>
  <c r="H20" i="132"/>
  <c r="G21" i="132"/>
  <c r="G24" i="132"/>
  <c r="H24" i="132"/>
  <c r="F24" i="132" s="1"/>
  <c r="G28" i="132"/>
  <c r="H28" i="132"/>
  <c r="F28" i="132" s="1"/>
  <c r="H31" i="132"/>
  <c r="G32" i="132"/>
  <c r="H35" i="132"/>
  <c r="G36" i="132"/>
  <c r="G39" i="132"/>
  <c r="H39" i="132"/>
  <c r="F39" i="132" s="1"/>
  <c r="H9" i="132"/>
  <c r="F9" i="132" s="1"/>
  <c r="G9" i="132"/>
  <c r="A58" i="132"/>
  <c r="A59" i="132"/>
  <c r="A60" i="132"/>
  <c r="A61" i="132"/>
  <c r="G14" i="132" s="1"/>
  <c r="A62" i="132"/>
  <c r="A63" i="132"/>
  <c r="A64" i="132"/>
  <c r="A65" i="132"/>
  <c r="A66" i="132"/>
  <c r="A67" i="132"/>
  <c r="A68" i="132"/>
  <c r="A69" i="132"/>
  <c r="A70" i="132"/>
  <c r="A71" i="132"/>
  <c r="A72" i="132"/>
  <c r="A73" i="132"/>
  <c r="A74" i="132"/>
  <c r="A75" i="132"/>
  <c r="A76" i="132"/>
  <c r="A77" i="132"/>
  <c r="A78" i="132"/>
  <c r="A79" i="132"/>
  <c r="A80" i="132"/>
  <c r="A81" i="132"/>
  <c r="A82" i="132"/>
  <c r="A83" i="132"/>
  <c r="A84" i="132"/>
  <c r="A85" i="132"/>
  <c r="A86" i="132"/>
  <c r="A87" i="132"/>
  <c r="A88" i="132"/>
  <c r="A89" i="132"/>
  <c r="A90" i="132"/>
  <c r="A91" i="132"/>
  <c r="A92" i="132"/>
  <c r="A93" i="132"/>
  <c r="A94" i="132"/>
  <c r="A95" i="132"/>
  <c r="A96" i="132"/>
  <c r="A97" i="132"/>
  <c r="A98" i="132"/>
  <c r="A99" i="132"/>
  <c r="A100" i="132"/>
  <c r="A101" i="132"/>
  <c r="A102" i="132"/>
  <c r="A103" i="132"/>
  <c r="A104" i="132"/>
  <c r="A105" i="132"/>
  <c r="A106" i="132"/>
  <c r="A107" i="132"/>
  <c r="A108" i="132"/>
  <c r="A109" i="132"/>
  <c r="A110" i="132"/>
  <c r="A111" i="132"/>
  <c r="A112" i="132"/>
  <c r="A113" i="132"/>
  <c r="A114" i="132"/>
  <c r="A115" i="132"/>
  <c r="A116" i="132"/>
  <c r="A117" i="132"/>
  <c r="A118" i="132"/>
  <c r="A119" i="132"/>
  <c r="A120" i="132"/>
  <c r="A121" i="132"/>
  <c r="A122" i="132"/>
  <c r="A123" i="132"/>
  <c r="A124" i="132"/>
  <c r="A125" i="132"/>
  <c r="A126" i="132"/>
  <c r="A127" i="132"/>
  <c r="A128" i="132"/>
  <c r="A129" i="132"/>
  <c r="A130" i="132"/>
  <c r="A131" i="132"/>
  <c r="A132" i="132"/>
  <c r="A133" i="132"/>
  <c r="A134" i="132"/>
  <c r="A135" i="132"/>
  <c r="A136" i="132"/>
  <c r="A137" i="132"/>
  <c r="A138" i="132"/>
  <c r="A139" i="132"/>
  <c r="A140" i="132"/>
  <c r="A141" i="132"/>
  <c r="A142" i="132"/>
  <c r="A143" i="132"/>
  <c r="A144" i="132"/>
  <c r="A145" i="132"/>
  <c r="A146" i="132"/>
  <c r="A147" i="132"/>
  <c r="A148" i="132"/>
  <c r="A149" i="132"/>
  <c r="A150" i="132"/>
  <c r="A151" i="132"/>
  <c r="A152" i="132"/>
  <c r="A153" i="132"/>
  <c r="A154" i="132"/>
  <c r="A155" i="132"/>
  <c r="A156" i="132"/>
  <c r="A157" i="132"/>
  <c r="A158" i="132"/>
  <c r="A57" i="132"/>
  <c r="B59" i="132"/>
  <c r="B60" i="132" s="1"/>
  <c r="B61" i="132" s="1"/>
  <c r="B62" i="132" s="1"/>
  <c r="B63" i="132" s="1"/>
  <c r="B64" i="132" s="1"/>
  <c r="B65" i="132" s="1"/>
  <c r="B66" i="132" s="1"/>
  <c r="B67" i="132" s="1"/>
  <c r="B68" i="132" s="1"/>
  <c r="B69" i="132" s="1"/>
  <c r="B70" i="132" s="1"/>
  <c r="B71" i="132" s="1"/>
  <c r="B72" i="132" s="1"/>
  <c r="B73" i="132" s="1"/>
  <c r="B74" i="132" s="1"/>
  <c r="B75" i="132" s="1"/>
  <c r="B76" i="132" s="1"/>
  <c r="B77" i="132" s="1"/>
  <c r="B78" i="132" s="1"/>
  <c r="B79" i="132" s="1"/>
  <c r="B80" i="132" s="1"/>
  <c r="B81" i="132" s="1"/>
  <c r="B82" i="132" s="1"/>
  <c r="B83" i="132" s="1"/>
  <c r="B84" i="132" s="1"/>
  <c r="B85" i="132" s="1"/>
  <c r="B86" i="132" s="1"/>
  <c r="B87" i="132" s="1"/>
  <c r="B88" i="132" s="1"/>
  <c r="B89" i="132" s="1"/>
  <c r="B90" i="132" s="1"/>
  <c r="B58" i="132"/>
  <c r="C52" i="132" a="1"/>
  <c r="C52" i="132" s="1"/>
  <c r="C51" i="132" a="1"/>
  <c r="C51" i="132" s="1"/>
  <c r="C50" i="132" a="1"/>
  <c r="C50" i="132" s="1"/>
  <c r="B50" i="132" a="1"/>
  <c r="B50" i="132" s="1"/>
  <c r="D50" i="132" s="1"/>
  <c r="C49" i="132" a="1"/>
  <c r="C49" i="132" s="1"/>
  <c r="C48" i="132" a="1"/>
  <c r="C48" i="132" s="1"/>
  <c r="C47" i="132" a="1"/>
  <c r="C47" i="132" s="1"/>
  <c r="C46" i="132"/>
  <c r="C46" i="132" a="1"/>
  <c r="C45" i="132" a="1"/>
  <c r="C45" i="132" s="1"/>
  <c r="B45" i="132" a="1"/>
  <c r="B45" i="132" s="1"/>
  <c r="D45" i="132" s="1"/>
  <c r="C44" i="132" a="1"/>
  <c r="C44" i="132" s="1"/>
  <c r="B42" i="132"/>
  <c r="B40" i="132"/>
  <c r="B39" i="132"/>
  <c r="B38" i="132"/>
  <c r="B37" i="132"/>
  <c r="B36" i="132"/>
  <c r="B35" i="132"/>
  <c r="B34" i="132"/>
  <c r="B33" i="132"/>
  <c r="B32" i="132"/>
  <c r="B31" i="132"/>
  <c r="B30" i="132"/>
  <c r="B29" i="132"/>
  <c r="B28" i="132"/>
  <c r="B47" i="132" s="1" a="1"/>
  <c r="B47" i="132" s="1"/>
  <c r="D47" i="132" s="1"/>
  <c r="B27" i="132"/>
  <c r="B26" i="132"/>
  <c r="B25" i="132"/>
  <c r="B24" i="132"/>
  <c r="B23" i="132"/>
  <c r="B22" i="132"/>
  <c r="B21" i="132"/>
  <c r="B49" i="132" s="1" a="1"/>
  <c r="B49" i="132" s="1"/>
  <c r="B20" i="132"/>
  <c r="B44" i="132" s="1" a="1"/>
  <c r="B44" i="132" s="1"/>
  <c r="D44" i="132" s="1"/>
  <c r="B19" i="132"/>
  <c r="B18" i="132"/>
  <c r="B52" i="132" s="1" a="1"/>
  <c r="B52" i="132" s="1"/>
  <c r="D52" i="132" s="1"/>
  <c r="B17" i="132"/>
  <c r="B16" i="132"/>
  <c r="B15" i="132"/>
  <c r="B46" i="132" s="1" a="1"/>
  <c r="B46" i="132" s="1"/>
  <c r="D46" i="132" s="1"/>
  <c r="B14" i="132"/>
  <c r="B13" i="132"/>
  <c r="B12" i="132"/>
  <c r="B11" i="132"/>
  <c r="B51" i="132" s="1" a="1"/>
  <c r="B51" i="132" s="1"/>
  <c r="D51" i="132" s="1"/>
  <c r="B10" i="132"/>
  <c r="B9" i="132"/>
  <c r="B48" i="132" s="1" a="1"/>
  <c r="B48" i="132" s="1"/>
  <c r="D48" i="132" s="1"/>
  <c r="I158" i="132"/>
  <c r="I157" i="132"/>
  <c r="I156" i="132"/>
  <c r="I155" i="132"/>
  <c r="I154" i="132"/>
  <c r="I153" i="132"/>
  <c r="I152" i="132"/>
  <c r="I151" i="132"/>
  <c r="I150" i="132"/>
  <c r="I149" i="132"/>
  <c r="I147" i="132"/>
  <c r="I146" i="132"/>
  <c r="I145" i="132"/>
  <c r="I144" i="132"/>
  <c r="I143" i="132"/>
  <c r="I142" i="132"/>
  <c r="I141" i="132"/>
  <c r="I140" i="132"/>
  <c r="I139" i="132"/>
  <c r="I138" i="132"/>
  <c r="I137" i="132"/>
  <c r="I136" i="132"/>
  <c r="I135" i="132"/>
  <c r="I134" i="132"/>
  <c r="I133" i="132"/>
  <c r="I132" i="132"/>
  <c r="I131" i="132"/>
  <c r="I130" i="132"/>
  <c r="I129" i="132"/>
  <c r="I128" i="132"/>
  <c r="I127" i="132"/>
  <c r="I126" i="132"/>
  <c r="I125" i="132"/>
  <c r="I124" i="132"/>
  <c r="I123" i="132"/>
  <c r="I122" i="132"/>
  <c r="I121" i="132"/>
  <c r="I120" i="132"/>
  <c r="I119" i="132"/>
  <c r="I118" i="132"/>
  <c r="I117" i="132"/>
  <c r="I116" i="132"/>
  <c r="I115" i="132"/>
  <c r="I113" i="132"/>
  <c r="I112" i="132"/>
  <c r="I111" i="132"/>
  <c r="I110" i="132"/>
  <c r="I109" i="132"/>
  <c r="I108" i="132"/>
  <c r="I107" i="132"/>
  <c r="I106" i="132"/>
  <c r="I105" i="132"/>
  <c r="I104" i="132"/>
  <c r="I103" i="132"/>
  <c r="I102" i="132"/>
  <c r="I101" i="132"/>
  <c r="I100" i="132"/>
  <c r="I99" i="132"/>
  <c r="I98" i="132"/>
  <c r="I97" i="132"/>
  <c r="I96" i="132"/>
  <c r="I95" i="132"/>
  <c r="I94" i="132"/>
  <c r="I93" i="132"/>
  <c r="I92" i="132"/>
  <c r="I91" i="132"/>
  <c r="I90" i="132"/>
  <c r="I89" i="132"/>
  <c r="I88" i="132"/>
  <c r="I87" i="132"/>
  <c r="I86" i="132"/>
  <c r="I85" i="132"/>
  <c r="I84" i="132"/>
  <c r="I83" i="132"/>
  <c r="I82" i="132"/>
  <c r="I81" i="132"/>
  <c r="I79" i="132"/>
  <c r="I78" i="132"/>
  <c r="I77" i="132"/>
  <c r="I76" i="132"/>
  <c r="I75" i="132"/>
  <c r="I74" i="132"/>
  <c r="I73" i="132"/>
  <c r="I72" i="132"/>
  <c r="I71" i="132"/>
  <c r="I70" i="132"/>
  <c r="I69" i="132"/>
  <c r="I68" i="132"/>
  <c r="I67" i="132"/>
  <c r="I66" i="132"/>
  <c r="I65" i="132"/>
  <c r="I64" i="132"/>
  <c r="I63" i="132"/>
  <c r="I62" i="132"/>
  <c r="I61" i="132"/>
  <c r="I60" i="132"/>
  <c r="I59" i="132"/>
  <c r="I58" i="132"/>
  <c r="I57" i="132"/>
  <c r="E17" i="32" l="1"/>
  <c r="F17" i="32"/>
  <c r="D17" i="32"/>
  <c r="N9" i="132"/>
  <c r="J9" i="132"/>
  <c r="G35" i="132"/>
  <c r="F35" i="132" s="1"/>
  <c r="G31" i="132"/>
  <c r="F31" i="132" s="1"/>
  <c r="H27" i="132"/>
  <c r="F27" i="132" s="1"/>
  <c r="H23" i="132"/>
  <c r="F23" i="132" s="1"/>
  <c r="G20" i="132"/>
  <c r="F20" i="132" s="1"/>
  <c r="G16" i="132"/>
  <c r="H38" i="132"/>
  <c r="H34" i="132"/>
  <c r="G27" i="132"/>
  <c r="G23" i="132"/>
  <c r="H19" i="132"/>
  <c r="F19" i="132" s="1"/>
  <c r="H15" i="132"/>
  <c r="F15" i="132" s="1"/>
  <c r="F16" i="132"/>
  <c r="H42" i="132"/>
  <c r="F42" i="132" s="1"/>
  <c r="G38" i="132"/>
  <c r="F38" i="132" s="1"/>
  <c r="G34" i="132"/>
  <c r="H30" i="132"/>
  <c r="H26" i="132"/>
  <c r="F26" i="132" s="1"/>
  <c r="G19" i="132"/>
  <c r="G15" i="132"/>
  <c r="G42" i="132"/>
  <c r="H37" i="132"/>
  <c r="F37" i="132" s="1"/>
  <c r="H33" i="132"/>
  <c r="G30" i="132"/>
  <c r="G26" i="132"/>
  <c r="H22" i="132"/>
  <c r="H18" i="132"/>
  <c r="F18" i="132" s="1"/>
  <c r="H40" i="132"/>
  <c r="G37" i="132"/>
  <c r="G33" i="132"/>
  <c r="H29" i="132"/>
  <c r="H25" i="132"/>
  <c r="G22" i="132"/>
  <c r="G18" i="132"/>
  <c r="H14" i="132"/>
  <c r="F14" i="132" s="1"/>
  <c r="G40" i="132"/>
  <c r="H36" i="132"/>
  <c r="F36" i="132" s="1"/>
  <c r="H32" i="132"/>
  <c r="F32" i="132" s="1"/>
  <c r="G29" i="132"/>
  <c r="G25" i="132"/>
  <c r="H21" i="132"/>
  <c r="F21" i="132" s="1"/>
  <c r="H17" i="132"/>
  <c r="F17" i="132" s="1"/>
  <c r="D49" i="132"/>
  <c r="F25" i="132" l="1"/>
  <c r="F30" i="132"/>
  <c r="F34" i="132"/>
  <c r="F29" i="132"/>
  <c r="F33" i="132"/>
  <c r="F40" i="132"/>
  <c r="F22" i="132"/>
  <c r="N48" i="10" l="1"/>
  <c r="O41" i="94" l="1"/>
  <c r="N41" i="94"/>
  <c r="D16" i="119"/>
  <c r="D14" i="119"/>
  <c r="D25" i="119"/>
  <c r="D19" i="119"/>
  <c r="D10" i="119"/>
  <c r="F23" i="119"/>
  <c r="O38" i="82" l="1"/>
  <c r="N38" i="82"/>
  <c r="P38" i="82" s="1"/>
  <c r="K38" i="82"/>
  <c r="J38" i="82"/>
  <c r="L38" i="82" s="1"/>
  <c r="H38" i="82"/>
  <c r="G38" i="82"/>
  <c r="F38" i="82"/>
  <c r="D38" i="82"/>
  <c r="C38" i="82"/>
  <c r="O46" i="82" a="1"/>
  <c r="O46" i="82" s="1"/>
  <c r="J45" i="82" a="1"/>
  <c r="J45" i="82" s="1"/>
  <c r="K45" i="82" a="1"/>
  <c r="K45" i="82" s="1"/>
  <c r="O45" i="82" a="1"/>
  <c r="O45" i="82" s="1"/>
  <c r="C48" i="82" a="1"/>
  <c r="C48" i="82" s="1"/>
  <c r="F48" i="82" a="1"/>
  <c r="F48" i="82" s="1"/>
  <c r="G48" i="82" a="1"/>
  <c r="G48" i="82" s="1"/>
  <c r="J48" i="82" a="1"/>
  <c r="J48" i="82" s="1"/>
  <c r="N48" i="82" a="1"/>
  <c r="N48" i="82" s="1"/>
  <c r="O48" i="82" a="1"/>
  <c r="O48" i="82" s="1"/>
  <c r="B38" i="82"/>
  <c r="B46" i="82" a="1"/>
  <c r="B46" i="82" s="1"/>
  <c r="B45" i="82" a="1"/>
  <c r="B45" i="82" s="1"/>
  <c r="C45" i="82" a="1"/>
  <c r="C45" i="82" s="1"/>
  <c r="F45" i="82" a="1"/>
  <c r="F45" i="82" s="1"/>
  <c r="G45" i="82" a="1"/>
  <c r="G45" i="82" s="1"/>
  <c r="N45" i="82" a="1"/>
  <c r="N45" i="82" s="1"/>
  <c r="K48" i="82" a="1"/>
  <c r="K48" i="82" s="1"/>
  <c r="O46" i="141"/>
  <c r="O10" i="141"/>
  <c r="O11" i="141"/>
  <c r="O12" i="141"/>
  <c r="O13" i="141"/>
  <c r="O14" i="141"/>
  <c r="O15" i="141"/>
  <c r="O16" i="141"/>
  <c r="O17" i="141"/>
  <c r="O18" i="141"/>
  <c r="O19" i="141"/>
  <c r="O20" i="141"/>
  <c r="O21" i="141"/>
  <c r="O22" i="141"/>
  <c r="O23" i="141"/>
  <c r="O24" i="141"/>
  <c r="O25" i="141"/>
  <c r="O26" i="141"/>
  <c r="O27" i="141"/>
  <c r="O28" i="141"/>
  <c r="O29" i="141"/>
  <c r="O30" i="141"/>
  <c r="O31" i="141"/>
  <c r="O32" i="141"/>
  <c r="O33" i="141"/>
  <c r="O41" i="141" s="1"/>
  <c r="O34" i="141"/>
  <c r="O35" i="141"/>
  <c r="O36" i="141"/>
  <c r="O37" i="141"/>
  <c r="O38" i="141"/>
  <c r="O39" i="141"/>
  <c r="O40" i="141"/>
  <c r="O47" i="141" a="1"/>
  <c r="O47" i="141" s="1"/>
  <c r="O42" i="141" a="1"/>
  <c r="O42" i="141" s="1"/>
  <c r="O43" i="141" a="1"/>
  <c r="O43" i="141" s="1"/>
  <c r="O44" i="141" a="1"/>
  <c r="O44" i="141" s="1"/>
  <c r="O45" i="141" a="1"/>
  <c r="O45" i="141" s="1"/>
  <c r="O48" i="141" a="1"/>
  <c r="O48" i="141" s="1"/>
  <c r="O49" i="141" a="1"/>
  <c r="O49" i="141" s="1"/>
  <c r="O50" i="141" a="1"/>
  <c r="O50" i="141" s="1"/>
  <c r="O9" i="141"/>
  <c r="K47" i="141" a="1"/>
  <c r="K47" i="141" s="1"/>
  <c r="K46" i="141"/>
  <c r="K40" i="141"/>
  <c r="K39" i="141"/>
  <c r="K38" i="141"/>
  <c r="K37" i="141"/>
  <c r="K36" i="141"/>
  <c r="K35" i="141"/>
  <c r="K34" i="141"/>
  <c r="K33" i="141"/>
  <c r="K32" i="141"/>
  <c r="K41" i="141" s="1"/>
  <c r="K31" i="141"/>
  <c r="K30" i="141"/>
  <c r="K29" i="141"/>
  <c r="K28" i="141"/>
  <c r="K27" i="141"/>
  <c r="K26" i="141"/>
  <c r="K25" i="141"/>
  <c r="K24" i="141"/>
  <c r="K50" i="141" s="1" a="1"/>
  <c r="K50" i="141" s="1"/>
  <c r="K23" i="141"/>
  <c r="K48" i="141" s="1" a="1"/>
  <c r="K48" i="141" s="1"/>
  <c r="K22" i="141"/>
  <c r="K21" i="141"/>
  <c r="K20" i="141"/>
  <c r="K19" i="141"/>
  <c r="K49" i="141" s="1" a="1"/>
  <c r="K49" i="141" s="1"/>
  <c r="K18" i="141"/>
  <c r="K44" i="141" s="1" a="1"/>
  <c r="K44" i="141" s="1"/>
  <c r="K17" i="141"/>
  <c r="K16" i="141"/>
  <c r="K15" i="141"/>
  <c r="K14" i="141"/>
  <c r="K13" i="141"/>
  <c r="K12" i="141"/>
  <c r="K11" i="141"/>
  <c r="K45" i="141" s="1" a="1"/>
  <c r="K45" i="141" s="1"/>
  <c r="K10" i="141"/>
  <c r="K9" i="141"/>
  <c r="K42" i="141" s="1" a="1"/>
  <c r="K42" i="141" s="1"/>
  <c r="G46" i="141"/>
  <c r="G40" i="141"/>
  <c r="G39" i="141"/>
  <c r="G38" i="141"/>
  <c r="G37" i="141"/>
  <c r="G36" i="141"/>
  <c r="G35" i="141"/>
  <c r="G34" i="141"/>
  <c r="G33" i="141"/>
  <c r="G41" i="141" s="1"/>
  <c r="G32" i="141"/>
  <c r="G31" i="141"/>
  <c r="G30" i="141"/>
  <c r="G29" i="141"/>
  <c r="G28" i="141"/>
  <c r="G27" i="141"/>
  <c r="G26" i="141"/>
  <c r="G25" i="141"/>
  <c r="G24" i="141"/>
  <c r="G50" i="141" s="1" a="1"/>
  <c r="G50" i="141" s="1"/>
  <c r="G23" i="141"/>
  <c r="G48" i="141" s="1" a="1"/>
  <c r="G48" i="141" s="1"/>
  <c r="G22" i="141"/>
  <c r="G21" i="141"/>
  <c r="G20" i="141"/>
  <c r="G19" i="141"/>
  <c r="G49" i="141" s="1" a="1"/>
  <c r="G49" i="141" s="1"/>
  <c r="G18" i="141"/>
  <c r="G44" i="141" s="1" a="1"/>
  <c r="G44" i="141" s="1"/>
  <c r="G17" i="141"/>
  <c r="G16" i="141"/>
  <c r="G15" i="141"/>
  <c r="G14" i="141"/>
  <c r="G13" i="141"/>
  <c r="G12" i="141"/>
  <c r="G11" i="141"/>
  <c r="G45" i="141" s="1" a="1"/>
  <c r="G45" i="141" s="1"/>
  <c r="G10" i="141"/>
  <c r="G9" i="141"/>
  <c r="G42" i="141" s="1" a="1"/>
  <c r="G42" i="141" s="1"/>
  <c r="C46" i="141"/>
  <c r="C10" i="141"/>
  <c r="C11" i="141"/>
  <c r="C12" i="141"/>
  <c r="C13" i="141"/>
  <c r="C14" i="141"/>
  <c r="C15" i="141"/>
  <c r="C16" i="141"/>
  <c r="C17" i="141"/>
  <c r="C50" i="141" s="1" a="1"/>
  <c r="C50" i="141" s="1"/>
  <c r="C18" i="141"/>
  <c r="C19" i="141"/>
  <c r="C20" i="141"/>
  <c r="C21" i="141"/>
  <c r="C22" i="141"/>
  <c r="C23" i="141"/>
  <c r="C48" i="141" s="1" a="1"/>
  <c r="C48" i="141" s="1"/>
  <c r="C24" i="141"/>
  <c r="C25" i="141"/>
  <c r="C26" i="141"/>
  <c r="C27" i="141"/>
  <c r="C28" i="141"/>
  <c r="C29" i="141"/>
  <c r="C30" i="141"/>
  <c r="C31" i="141"/>
  <c r="C43" i="141" s="1" a="1"/>
  <c r="C43" i="141" s="1"/>
  <c r="C32" i="141"/>
  <c r="C33" i="141"/>
  <c r="C41" i="141" s="1"/>
  <c r="C34" i="141"/>
  <c r="C35" i="141"/>
  <c r="C36" i="141"/>
  <c r="C37" i="141"/>
  <c r="C38" i="141"/>
  <c r="C39" i="141"/>
  <c r="C40" i="141"/>
  <c r="C42" i="141" a="1"/>
  <c r="C42" i="141" s="1"/>
  <c r="C44" i="141" a="1"/>
  <c r="C44" i="141" s="1"/>
  <c r="C45" i="141" a="1"/>
  <c r="C45" i="141" s="1"/>
  <c r="C49" i="141" a="1"/>
  <c r="C49" i="141" s="1"/>
  <c r="C9" i="141"/>
  <c r="C46" i="82" l="1" a="1"/>
  <c r="C46" i="82" s="1"/>
  <c r="D46" i="82" s="1"/>
  <c r="O47" i="82" a="1"/>
  <c r="O47" i="82" s="1"/>
  <c r="N47" i="82" a="1"/>
  <c r="N47" i="82" s="1"/>
  <c r="G47" i="82" a="1"/>
  <c r="G47" i="82" s="1"/>
  <c r="J46" i="82" a="1"/>
  <c r="J46" i="82" s="1"/>
  <c r="N46" i="82" a="1"/>
  <c r="N46" i="82" s="1"/>
  <c r="P46" i="82" s="1"/>
  <c r="G46" i="82" a="1"/>
  <c r="G46" i="82" s="1"/>
  <c r="F46" i="82" a="1"/>
  <c r="F46" i="82" s="1"/>
  <c r="H46" i="82" s="1"/>
  <c r="K46" i="82" a="1"/>
  <c r="K46" i="82" s="1"/>
  <c r="L46" i="82" s="1"/>
  <c r="L48" i="82"/>
  <c r="F47" i="82" a="1"/>
  <c r="F47" i="82" s="1"/>
  <c r="H47" i="82" s="1"/>
  <c r="K47" i="82" a="1"/>
  <c r="K47" i="82" s="1"/>
  <c r="J47" i="82" a="1"/>
  <c r="J47" i="82" s="1"/>
  <c r="C47" i="82" a="1"/>
  <c r="C47" i="82" s="1"/>
  <c r="L45" i="82"/>
  <c r="H48" i="82"/>
  <c r="P45" i="82"/>
  <c r="P48" i="82"/>
  <c r="B49" i="82" a="1"/>
  <c r="B49" i="82" s="1"/>
  <c r="B47" i="82" a="1"/>
  <c r="B47" i="82" s="1"/>
  <c r="B50" i="82"/>
  <c r="B52" i="82"/>
  <c r="B48" i="82" a="1"/>
  <c r="B48" i="82" s="1"/>
  <c r="D48" i="82" s="1"/>
  <c r="B51" i="82"/>
  <c r="H45" i="82"/>
  <c r="D45" i="82"/>
  <c r="K43" i="141" a="1"/>
  <c r="K43" i="141" s="1"/>
  <c r="G47" i="141" a="1"/>
  <c r="G47" i="141" s="1"/>
  <c r="G43" i="141" a="1"/>
  <c r="G43" i="141" s="1"/>
  <c r="C47" i="141" a="1"/>
  <c r="C47" i="141" s="1"/>
  <c r="L47" i="82" l="1"/>
  <c r="P47" i="82"/>
  <c r="D47" i="82"/>
  <c r="O8" i="141"/>
  <c r="K8" i="141"/>
  <c r="G8" i="141"/>
  <c r="C8" i="141"/>
  <c r="B8" i="141"/>
  <c r="F8" i="141"/>
  <c r="J8" i="141"/>
  <c r="N8" i="141"/>
  <c r="M31" i="152"/>
  <c r="L31" i="152"/>
  <c r="K31" i="152"/>
  <c r="J31" i="152"/>
  <c r="M30" i="152"/>
  <c r="L30" i="152"/>
  <c r="K30" i="152"/>
  <c r="J30" i="152"/>
  <c r="M29" i="152"/>
  <c r="L29" i="152"/>
  <c r="K29" i="152"/>
  <c r="J29" i="152"/>
  <c r="M28" i="152"/>
  <c r="L28" i="152"/>
  <c r="C27" i="152"/>
  <c r="C26" i="152"/>
  <c r="C25" i="152"/>
  <c r="M24" i="152"/>
  <c r="L24" i="152"/>
  <c r="K24" i="152"/>
  <c r="J24" i="152"/>
  <c r="M23" i="152"/>
  <c r="L23" i="152"/>
  <c r="K23" i="152"/>
  <c r="J23" i="152"/>
  <c r="M22" i="152"/>
  <c r="L22" i="152"/>
  <c r="K22" i="152"/>
  <c r="J22" i="152"/>
  <c r="M21" i="152"/>
  <c r="L21" i="152"/>
  <c r="K21" i="152"/>
  <c r="J21" i="152"/>
  <c r="M20" i="152"/>
  <c r="L20" i="152"/>
  <c r="K20" i="152"/>
  <c r="M19" i="152"/>
  <c r="L19" i="152"/>
  <c r="K19" i="152"/>
  <c r="M18" i="152"/>
  <c r="L18" i="152"/>
  <c r="J18" i="152"/>
  <c r="K18" i="152"/>
  <c r="M17" i="152"/>
  <c r="L17" i="152"/>
  <c r="J17" i="152"/>
  <c r="K17" i="152"/>
  <c r="M16" i="152"/>
  <c r="L16" i="152"/>
  <c r="M15" i="152"/>
  <c r="L15" i="152"/>
  <c r="J15" i="152"/>
  <c r="M14" i="152"/>
  <c r="L14" i="152"/>
  <c r="K14" i="152"/>
  <c r="J14" i="152"/>
  <c r="M13" i="152"/>
  <c r="L13" i="152"/>
  <c r="K13" i="152"/>
  <c r="J13" i="152"/>
  <c r="M12" i="152"/>
  <c r="L12" i="152"/>
  <c r="K12" i="152"/>
  <c r="J12" i="152"/>
  <c r="M11" i="152"/>
  <c r="L11" i="152"/>
  <c r="M10" i="152"/>
  <c r="J10" i="152"/>
  <c r="M9" i="152"/>
  <c r="L9" i="152"/>
  <c r="K9" i="152"/>
  <c r="J9" i="152"/>
  <c r="M8" i="152"/>
  <c r="L8" i="152"/>
  <c r="K8" i="152"/>
  <c r="J8" i="152"/>
  <c r="M7" i="152"/>
  <c r="L7" i="152"/>
  <c r="M6" i="152"/>
  <c r="L6" i="152"/>
  <c r="J6" i="152"/>
  <c r="M5" i="152"/>
  <c r="L5" i="152"/>
  <c r="K5" i="152"/>
  <c r="J5" i="152"/>
  <c r="M4" i="152"/>
  <c r="L4" i="152"/>
  <c r="K4" i="152"/>
  <c r="J4" i="152"/>
  <c r="M3" i="152"/>
  <c r="L3" i="152"/>
  <c r="J3" i="152"/>
  <c r="K3" i="152"/>
  <c r="N41" i="105" a="1"/>
  <c r="N41" i="105" s="1"/>
  <c r="N43" i="105"/>
  <c r="N10" i="105"/>
  <c r="N11" i="105"/>
  <c r="N12" i="105"/>
  <c r="N13" i="105"/>
  <c r="N14" i="105"/>
  <c r="N15" i="105"/>
  <c r="N16" i="105"/>
  <c r="N17" i="105"/>
  <c r="N51" i="105" s="1"/>
  <c r="N18" i="105"/>
  <c r="N19" i="105"/>
  <c r="N20" i="105"/>
  <c r="N21" i="105"/>
  <c r="N22" i="105"/>
  <c r="N23" i="105"/>
  <c r="N24" i="105"/>
  <c r="N25" i="105"/>
  <c r="N48" i="105" s="1" a="1"/>
  <c r="N48" i="105" s="1"/>
  <c r="N26" i="105"/>
  <c r="N27" i="105"/>
  <c r="N28" i="105"/>
  <c r="N29" i="105"/>
  <c r="N30" i="105"/>
  <c r="N31" i="105"/>
  <c r="N32" i="105"/>
  <c r="N33" i="105"/>
  <c r="N50" i="105" s="1"/>
  <c r="N34" i="105"/>
  <c r="N35" i="105"/>
  <c r="N36" i="105"/>
  <c r="N37" i="105"/>
  <c r="N38" i="105"/>
  <c r="N39" i="105"/>
  <c r="N40" i="105"/>
  <c r="N44" i="105" a="1"/>
  <c r="N44" i="105" s="1"/>
  <c r="N45" i="105" a="1"/>
  <c r="N45" i="105" s="1"/>
  <c r="N46" i="105" a="1"/>
  <c r="N46" i="105" s="1"/>
  <c r="N47" i="105" a="1"/>
  <c r="N47" i="105" s="1"/>
  <c r="N49" i="105"/>
  <c r="N9" i="105"/>
  <c r="G45" i="105" a="1"/>
  <c r="G45" i="105" s="1"/>
  <c r="K44" i="105" a="1"/>
  <c r="K44" i="105" s="1"/>
  <c r="K43" i="105"/>
  <c r="J43" i="105"/>
  <c r="L43" i="105" s="1"/>
  <c r="G43" i="105"/>
  <c r="F43" i="105"/>
  <c r="H43" i="105" s="1"/>
  <c r="C43" i="105"/>
  <c r="B43" i="105"/>
  <c r="D43" i="105" s="1"/>
  <c r="K41" i="105"/>
  <c r="G41" i="105"/>
  <c r="C41" i="105"/>
  <c r="K40" i="105"/>
  <c r="J40" i="105"/>
  <c r="L40" i="105" s="1"/>
  <c r="G40" i="105"/>
  <c r="F40" i="105"/>
  <c r="H40" i="105" s="1"/>
  <c r="C40" i="105"/>
  <c r="B40" i="105"/>
  <c r="D40" i="105" s="1"/>
  <c r="K39" i="105"/>
  <c r="J39" i="105"/>
  <c r="L39" i="105" s="1"/>
  <c r="G39" i="105"/>
  <c r="H39" i="105" s="1"/>
  <c r="F39" i="105"/>
  <c r="C39" i="105"/>
  <c r="B39" i="105"/>
  <c r="D39" i="105" s="1"/>
  <c r="K38" i="105"/>
  <c r="J38" i="105"/>
  <c r="L38" i="105" s="1"/>
  <c r="G38" i="105"/>
  <c r="F38" i="105"/>
  <c r="H38" i="105" s="1"/>
  <c r="C38" i="105"/>
  <c r="B38" i="105"/>
  <c r="D38" i="105" s="1"/>
  <c r="K37" i="105"/>
  <c r="J37" i="105"/>
  <c r="L37" i="105" s="1"/>
  <c r="G37" i="105"/>
  <c r="F37" i="105"/>
  <c r="H37" i="105" s="1"/>
  <c r="C37" i="105"/>
  <c r="B37" i="105"/>
  <c r="D37" i="105" s="1"/>
  <c r="K36" i="105"/>
  <c r="J36" i="105"/>
  <c r="G36" i="105"/>
  <c r="F36" i="105"/>
  <c r="H36" i="105" s="1"/>
  <c r="C36" i="105"/>
  <c r="B36" i="105"/>
  <c r="D36" i="105" s="1"/>
  <c r="K35" i="105"/>
  <c r="J35" i="105"/>
  <c r="L35" i="105" s="1"/>
  <c r="G35" i="105"/>
  <c r="F35" i="105"/>
  <c r="H35" i="105" s="1"/>
  <c r="C35" i="105"/>
  <c r="B35" i="105"/>
  <c r="D35" i="105" s="1"/>
  <c r="K34" i="105"/>
  <c r="J34" i="105"/>
  <c r="L34" i="105" s="1"/>
  <c r="G34" i="105"/>
  <c r="F34" i="105"/>
  <c r="H34" i="105" s="1"/>
  <c r="C34" i="105"/>
  <c r="B34" i="105"/>
  <c r="L33" i="105"/>
  <c r="K33" i="105"/>
  <c r="J33" i="105"/>
  <c r="G33" i="105"/>
  <c r="F33" i="105"/>
  <c r="H33" i="105" s="1"/>
  <c r="C33" i="105"/>
  <c r="B33" i="105"/>
  <c r="D33" i="105" s="1"/>
  <c r="K32" i="105"/>
  <c r="K49" i="105" s="1"/>
  <c r="J32" i="105"/>
  <c r="J49" i="105" s="1"/>
  <c r="G32" i="105"/>
  <c r="G49" i="105" s="1"/>
  <c r="F32" i="105"/>
  <c r="H32" i="105" s="1"/>
  <c r="C32" i="105"/>
  <c r="B32" i="105"/>
  <c r="K31" i="105"/>
  <c r="J31" i="105"/>
  <c r="L31" i="105" s="1"/>
  <c r="G31" i="105"/>
  <c r="F31" i="105"/>
  <c r="C31" i="105"/>
  <c r="B31" i="105"/>
  <c r="D31" i="105" s="1"/>
  <c r="K30" i="105"/>
  <c r="J30" i="105"/>
  <c r="G30" i="105"/>
  <c r="G51" i="105" s="1"/>
  <c r="F30" i="105"/>
  <c r="H30" i="105" s="1"/>
  <c r="C30" i="105"/>
  <c r="B30" i="105"/>
  <c r="D30" i="105" s="1"/>
  <c r="K29" i="105"/>
  <c r="J29" i="105"/>
  <c r="L29" i="105" s="1"/>
  <c r="G29" i="105"/>
  <c r="F29" i="105"/>
  <c r="H29" i="105" s="1"/>
  <c r="C29" i="105"/>
  <c r="B29" i="105"/>
  <c r="D29" i="105" s="1"/>
  <c r="K28" i="105"/>
  <c r="L28" i="105" s="1"/>
  <c r="J28" i="105"/>
  <c r="G28" i="105"/>
  <c r="F28" i="105"/>
  <c r="H28" i="105" s="1"/>
  <c r="C28" i="105"/>
  <c r="B28" i="105"/>
  <c r="D28" i="105" s="1"/>
  <c r="K27" i="105"/>
  <c r="J27" i="105"/>
  <c r="L27" i="105" s="1"/>
  <c r="G27" i="105"/>
  <c r="F27" i="105"/>
  <c r="H27" i="105" s="1"/>
  <c r="C27" i="105"/>
  <c r="B27" i="105"/>
  <c r="D27" i="105" s="1"/>
  <c r="L26" i="105"/>
  <c r="K26" i="105"/>
  <c r="J26" i="105"/>
  <c r="G26" i="105"/>
  <c r="F26" i="105"/>
  <c r="H26" i="105" s="1"/>
  <c r="C26" i="105"/>
  <c r="B26" i="105"/>
  <c r="K25" i="105"/>
  <c r="J25" i="105"/>
  <c r="L25" i="105" s="1"/>
  <c r="G25" i="105"/>
  <c r="F25" i="105"/>
  <c r="H25" i="105" s="1"/>
  <c r="C25" i="105"/>
  <c r="B25" i="105"/>
  <c r="D25" i="105" s="1"/>
  <c r="K24" i="105"/>
  <c r="J24" i="105"/>
  <c r="L24" i="105" s="1"/>
  <c r="G24" i="105"/>
  <c r="F24" i="105"/>
  <c r="H24" i="105" s="1"/>
  <c r="C24" i="105"/>
  <c r="B24" i="105"/>
  <c r="D24" i="105" s="1"/>
  <c r="K23" i="105"/>
  <c r="J23" i="105"/>
  <c r="L23" i="105" s="1"/>
  <c r="G23" i="105"/>
  <c r="H23" i="105" s="1"/>
  <c r="F23" i="105"/>
  <c r="C23" i="105"/>
  <c r="B23" i="105"/>
  <c r="D23" i="105" s="1"/>
  <c r="K22" i="105"/>
  <c r="K45" i="105" s="1" a="1"/>
  <c r="K45" i="105" s="1"/>
  <c r="J22" i="105"/>
  <c r="J45" i="105" s="1" a="1"/>
  <c r="J45" i="105" s="1"/>
  <c r="L45" i="105" s="1"/>
  <c r="G22" i="105"/>
  <c r="F22" i="105"/>
  <c r="F45" i="105" s="1" a="1"/>
  <c r="F45" i="105" s="1"/>
  <c r="H45" i="105" s="1"/>
  <c r="C22" i="105"/>
  <c r="C45" i="105" s="1" a="1"/>
  <c r="C45" i="105" s="1"/>
  <c r="B22" i="105"/>
  <c r="D22" i="105" s="1"/>
  <c r="K21" i="105"/>
  <c r="K48" i="105" s="1" a="1"/>
  <c r="K48" i="105" s="1"/>
  <c r="J21" i="105"/>
  <c r="L21" i="105" s="1"/>
  <c r="H21" i="105"/>
  <c r="G21" i="105"/>
  <c r="G48" i="105" s="1" a="1"/>
  <c r="G48" i="105" s="1"/>
  <c r="F21" i="105"/>
  <c r="C21" i="105"/>
  <c r="B21" i="105"/>
  <c r="D21" i="105" s="1"/>
  <c r="K20" i="105"/>
  <c r="K51" i="105" s="1"/>
  <c r="J20" i="105"/>
  <c r="G20" i="105"/>
  <c r="F20" i="105"/>
  <c r="H20" i="105" s="1"/>
  <c r="C20" i="105"/>
  <c r="B20" i="105"/>
  <c r="K19" i="105"/>
  <c r="J19" i="105"/>
  <c r="L19" i="105" s="1"/>
  <c r="G19" i="105"/>
  <c r="F19" i="105"/>
  <c r="H19" i="105" s="1"/>
  <c r="C19" i="105"/>
  <c r="B19" i="105"/>
  <c r="D19" i="105" s="1"/>
  <c r="K18" i="105"/>
  <c r="K46" i="105" s="1" a="1"/>
  <c r="K46" i="105" s="1"/>
  <c r="J18" i="105"/>
  <c r="L18" i="105" s="1"/>
  <c r="G18" i="105"/>
  <c r="F18" i="105"/>
  <c r="C18" i="105"/>
  <c r="B18" i="105"/>
  <c r="L17" i="105"/>
  <c r="K17" i="105"/>
  <c r="J17" i="105"/>
  <c r="G17" i="105"/>
  <c r="F17" i="105"/>
  <c r="H17" i="105" s="1"/>
  <c r="C17" i="105"/>
  <c r="C51" i="105" s="1"/>
  <c r="B17" i="105"/>
  <c r="D17" i="105" s="1"/>
  <c r="K16" i="105"/>
  <c r="J16" i="105"/>
  <c r="L16" i="105" s="1"/>
  <c r="G16" i="105"/>
  <c r="F16" i="105"/>
  <c r="H16" i="105" s="1"/>
  <c r="C16" i="105"/>
  <c r="B16" i="105"/>
  <c r="D16" i="105" s="1"/>
  <c r="K15" i="105"/>
  <c r="J15" i="105"/>
  <c r="L15" i="105" s="1"/>
  <c r="G15" i="105"/>
  <c r="F15" i="105"/>
  <c r="C15" i="105"/>
  <c r="B15" i="105"/>
  <c r="D15" i="105" s="1"/>
  <c r="K14" i="105"/>
  <c r="J14" i="105"/>
  <c r="L14" i="105" s="1"/>
  <c r="G14" i="105"/>
  <c r="F14" i="105"/>
  <c r="H14" i="105" s="1"/>
  <c r="C14" i="105"/>
  <c r="B14" i="105"/>
  <c r="D14" i="105" s="1"/>
  <c r="K13" i="105"/>
  <c r="J13" i="105"/>
  <c r="L13" i="105" s="1"/>
  <c r="G13" i="105"/>
  <c r="F13" i="105"/>
  <c r="H13" i="105" s="1"/>
  <c r="C13" i="105"/>
  <c r="B13" i="105"/>
  <c r="D13" i="105" s="1"/>
  <c r="K12" i="105"/>
  <c r="J12" i="105"/>
  <c r="H12" i="105"/>
  <c r="G12" i="105"/>
  <c r="F12" i="105"/>
  <c r="C12" i="105"/>
  <c r="C48" i="105" s="1" a="1"/>
  <c r="C48" i="105" s="1"/>
  <c r="B12" i="105"/>
  <c r="D12" i="105" s="1"/>
  <c r="K11" i="105"/>
  <c r="K50" i="105" s="1"/>
  <c r="J11" i="105"/>
  <c r="G11" i="105"/>
  <c r="G50" i="105" s="1"/>
  <c r="F11" i="105"/>
  <c r="F47" i="105" s="1" a="1"/>
  <c r="F47" i="105" s="1"/>
  <c r="C11" i="105"/>
  <c r="C50" i="105" s="1"/>
  <c r="B11" i="105"/>
  <c r="K10" i="105"/>
  <c r="J10" i="105"/>
  <c r="L10" i="105" s="1"/>
  <c r="G10" i="105"/>
  <c r="F10" i="105"/>
  <c r="H10" i="105" s="1"/>
  <c r="C10" i="105"/>
  <c r="B10" i="105"/>
  <c r="K9" i="105"/>
  <c r="J9" i="105"/>
  <c r="L9" i="105" s="1"/>
  <c r="G9" i="105"/>
  <c r="G44" i="105" s="1" a="1"/>
  <c r="G44" i="105" s="1"/>
  <c r="F9" i="105"/>
  <c r="C9" i="105"/>
  <c r="C44" i="105" s="1" a="1"/>
  <c r="C44" i="105" s="1"/>
  <c r="B9" i="105"/>
  <c r="B44" i="105" s="1" a="1"/>
  <c r="B44" i="105" s="1"/>
  <c r="D44" i="105" s="1"/>
  <c r="E47" i="31"/>
  <c r="D47" i="31"/>
  <c r="C47" i="31"/>
  <c r="B47" i="31"/>
  <c r="E46" i="31"/>
  <c r="D46" i="31"/>
  <c r="C46" i="31"/>
  <c r="B46" i="31"/>
  <c r="E45" i="31"/>
  <c r="D45" i="31"/>
  <c r="C45" i="31"/>
  <c r="B45" i="31"/>
  <c r="E44" i="31"/>
  <c r="F18" i="32" s="1"/>
  <c r="D44" i="31"/>
  <c r="E18" i="32" s="1"/>
  <c r="C44" i="31"/>
  <c r="D18" i="32" s="1"/>
  <c r="B44" i="31"/>
  <c r="E43" i="31"/>
  <c r="D43" i="31"/>
  <c r="C43" i="31"/>
  <c r="B43" i="31"/>
  <c r="E42" i="31"/>
  <c r="D42" i="31"/>
  <c r="C42" i="31"/>
  <c r="B42" i="31"/>
  <c r="E41" i="31"/>
  <c r="D41" i="31"/>
  <c r="C41" i="31"/>
  <c r="B41" i="31"/>
  <c r="E40" i="31"/>
  <c r="F19" i="32" s="1"/>
  <c r="D40" i="31"/>
  <c r="E19" i="32" s="1"/>
  <c r="C40" i="31"/>
  <c r="D19" i="32" s="1"/>
  <c r="B40" i="31"/>
  <c r="C32" i="28"/>
  <c r="D32" i="28"/>
  <c r="E32" i="28"/>
  <c r="B32" i="28"/>
  <c r="D47" i="56" a="1"/>
  <c r="D47" i="56" s="1"/>
  <c r="D45" i="56" a="1"/>
  <c r="D45" i="56" s="1"/>
  <c r="D44" i="56" a="1"/>
  <c r="D44" i="56" s="1"/>
  <c r="D43" i="56" a="1"/>
  <c r="D43" i="56" s="1"/>
  <c r="O42" i="143" a="1"/>
  <c r="O42" i="143" s="1"/>
  <c r="N42" i="143" a="1"/>
  <c r="N42" i="143" s="1"/>
  <c r="O40" i="143" a="1"/>
  <c r="O40" i="143" s="1"/>
  <c r="N40" i="143" a="1"/>
  <c r="N40" i="143" s="1"/>
  <c r="O39" i="143" a="1"/>
  <c r="O39" i="143" s="1"/>
  <c r="N39" i="143" a="1"/>
  <c r="N39" i="143" s="1"/>
  <c r="O38" i="143" a="1"/>
  <c r="O38" i="143" s="1"/>
  <c r="N38" i="143" a="1"/>
  <c r="N38" i="143" s="1"/>
  <c r="O37" i="143" a="1"/>
  <c r="O37" i="143" s="1"/>
  <c r="N37" i="143" a="1"/>
  <c r="N37" i="143" s="1"/>
  <c r="O36" i="143" a="1"/>
  <c r="O36" i="143" s="1"/>
  <c r="N36" i="143" a="1"/>
  <c r="N36" i="143" s="1"/>
  <c r="O35" i="143" a="1"/>
  <c r="O35" i="143" s="1"/>
  <c r="N35" i="143" a="1"/>
  <c r="N35" i="143" s="1"/>
  <c r="O34" i="143" a="1"/>
  <c r="O34" i="143" s="1"/>
  <c r="N34" i="143" a="1"/>
  <c r="N34" i="143" s="1"/>
  <c r="O33" i="143" a="1"/>
  <c r="O33" i="143" s="1"/>
  <c r="N33" i="143" a="1"/>
  <c r="N33" i="143" s="1"/>
  <c r="O32" i="143" a="1"/>
  <c r="O32" i="143" s="1"/>
  <c r="N32" i="143" a="1"/>
  <c r="N32" i="143" s="1"/>
  <c r="O31" i="143" a="1"/>
  <c r="O31" i="143" s="1"/>
  <c r="N31" i="143" a="1"/>
  <c r="N31" i="143" s="1"/>
  <c r="O30" i="143" a="1"/>
  <c r="O30" i="143" s="1"/>
  <c r="N30" i="143" a="1"/>
  <c r="N30" i="143" s="1"/>
  <c r="O29" i="143" a="1"/>
  <c r="O29" i="143" s="1"/>
  <c r="N29" i="143" a="1"/>
  <c r="N29" i="143" s="1"/>
  <c r="O28" i="143" a="1"/>
  <c r="O28" i="143" s="1"/>
  <c r="N28" i="143" a="1"/>
  <c r="N28" i="143" s="1"/>
  <c r="O27" i="143" a="1"/>
  <c r="O27" i="143" s="1"/>
  <c r="N27" i="143" a="1"/>
  <c r="N27" i="143" s="1"/>
  <c r="O26" i="143" a="1"/>
  <c r="O26" i="143" s="1"/>
  <c r="N26" i="143" a="1"/>
  <c r="N26" i="143" s="1"/>
  <c r="O25" i="143" a="1"/>
  <c r="O25" i="143" s="1"/>
  <c r="N25" i="143" a="1"/>
  <c r="N25" i="143" s="1"/>
  <c r="O24" i="143" a="1"/>
  <c r="O24" i="143" s="1"/>
  <c r="N24" i="143" a="1"/>
  <c r="N24" i="143" s="1"/>
  <c r="O23" i="143" a="1"/>
  <c r="O23" i="143" s="1"/>
  <c r="N23" i="143" a="1"/>
  <c r="N23" i="143" s="1"/>
  <c r="O22" i="143" a="1"/>
  <c r="O22" i="143" s="1"/>
  <c r="N22" i="143" a="1"/>
  <c r="N22" i="143" s="1"/>
  <c r="O21" i="143" a="1"/>
  <c r="O21" i="143" s="1"/>
  <c r="N21" i="143" a="1"/>
  <c r="N21" i="143" s="1"/>
  <c r="O20" i="143" a="1"/>
  <c r="O20" i="143" s="1"/>
  <c r="N20" i="143" a="1"/>
  <c r="N20" i="143" s="1"/>
  <c r="O19" i="143" a="1"/>
  <c r="O19" i="143" s="1"/>
  <c r="N19" i="143" a="1"/>
  <c r="N19" i="143" s="1"/>
  <c r="O18" i="143" a="1"/>
  <c r="O18" i="143" s="1"/>
  <c r="N18" i="143" a="1"/>
  <c r="N18" i="143" s="1"/>
  <c r="O17" i="143" a="1"/>
  <c r="O17" i="143" s="1"/>
  <c r="N17" i="143" a="1"/>
  <c r="N17" i="143" s="1"/>
  <c r="O16" i="143" a="1"/>
  <c r="O16" i="143" s="1"/>
  <c r="N16" i="143" a="1"/>
  <c r="N16" i="143" s="1"/>
  <c r="O15" i="143" a="1"/>
  <c r="O15" i="143" s="1"/>
  <c r="N15" i="143" a="1"/>
  <c r="N15" i="143" s="1"/>
  <c r="O14" i="143" a="1"/>
  <c r="O14" i="143" s="1"/>
  <c r="N14" i="143" a="1"/>
  <c r="N14" i="143" s="1"/>
  <c r="O13" i="143" a="1"/>
  <c r="O13" i="143" s="1"/>
  <c r="N13" i="143" a="1"/>
  <c r="N13" i="143" s="1"/>
  <c r="O12" i="143" a="1"/>
  <c r="O12" i="143" s="1"/>
  <c r="N12" i="143" a="1"/>
  <c r="N12" i="143" s="1"/>
  <c r="O11" i="143" a="1"/>
  <c r="O11" i="143" s="1"/>
  <c r="N11" i="143" a="1"/>
  <c r="N11" i="143" s="1"/>
  <c r="O10" i="143" a="1"/>
  <c r="O10" i="143" s="1"/>
  <c r="N10" i="143" a="1"/>
  <c r="N10" i="143" s="1"/>
  <c r="O9" i="143" a="1"/>
  <c r="O9" i="143" s="1"/>
  <c r="N9" i="143" a="1"/>
  <c r="N9" i="143" s="1"/>
  <c r="K42" i="143" a="1"/>
  <c r="K42" i="143" s="1"/>
  <c r="J42" i="143" a="1"/>
  <c r="J42" i="143" s="1"/>
  <c r="K40" i="143" a="1"/>
  <c r="K40" i="143" s="1"/>
  <c r="J40" i="143" a="1"/>
  <c r="J40" i="143" s="1"/>
  <c r="K39" i="143" a="1"/>
  <c r="K39" i="143" s="1"/>
  <c r="J39" i="143" a="1"/>
  <c r="J39" i="143" s="1"/>
  <c r="K38" i="143" a="1"/>
  <c r="K38" i="143" s="1"/>
  <c r="J38" i="143" a="1"/>
  <c r="J38" i="143" s="1"/>
  <c r="K37" i="143" a="1"/>
  <c r="K37" i="143" s="1"/>
  <c r="J37" i="143" a="1"/>
  <c r="J37" i="143" s="1"/>
  <c r="K36" i="143" a="1"/>
  <c r="K36" i="143" s="1"/>
  <c r="J36" i="143" a="1"/>
  <c r="J36" i="143" s="1"/>
  <c r="K35" i="143" a="1"/>
  <c r="K35" i="143" s="1"/>
  <c r="J35" i="143" a="1"/>
  <c r="J35" i="143" s="1"/>
  <c r="K34" i="143" a="1"/>
  <c r="K34" i="143" s="1"/>
  <c r="J34" i="143" a="1"/>
  <c r="J34" i="143" s="1"/>
  <c r="K33" i="143" a="1"/>
  <c r="K33" i="143" s="1"/>
  <c r="J33" i="143" a="1"/>
  <c r="J33" i="143" s="1"/>
  <c r="K32" i="143" a="1"/>
  <c r="K32" i="143" s="1"/>
  <c r="J32" i="143" a="1"/>
  <c r="J32" i="143" s="1"/>
  <c r="K31" i="143" a="1"/>
  <c r="K31" i="143" s="1"/>
  <c r="J31" i="143" a="1"/>
  <c r="J31" i="143" s="1"/>
  <c r="K30" i="143" a="1"/>
  <c r="K30" i="143" s="1"/>
  <c r="J30" i="143" a="1"/>
  <c r="J30" i="143" s="1"/>
  <c r="K29" i="143" a="1"/>
  <c r="K29" i="143" s="1"/>
  <c r="J29" i="143" a="1"/>
  <c r="J29" i="143" s="1"/>
  <c r="K28" i="143" a="1"/>
  <c r="K28" i="143" s="1"/>
  <c r="J28" i="143" a="1"/>
  <c r="J28" i="143" s="1"/>
  <c r="K27" i="143" a="1"/>
  <c r="K27" i="143" s="1"/>
  <c r="J27" i="143" a="1"/>
  <c r="J27" i="143" s="1"/>
  <c r="K26" i="143" a="1"/>
  <c r="K26" i="143" s="1"/>
  <c r="J26" i="143" a="1"/>
  <c r="J26" i="143" s="1"/>
  <c r="K25" i="143" a="1"/>
  <c r="K25" i="143" s="1"/>
  <c r="J25" i="143" a="1"/>
  <c r="J25" i="143" s="1"/>
  <c r="K24" i="143" a="1"/>
  <c r="K24" i="143" s="1"/>
  <c r="J24" i="143" a="1"/>
  <c r="J24" i="143" s="1"/>
  <c r="K23" i="143" a="1"/>
  <c r="K23" i="143" s="1"/>
  <c r="J23" i="143" a="1"/>
  <c r="J23" i="143" s="1"/>
  <c r="K22" i="143" a="1"/>
  <c r="K22" i="143" s="1"/>
  <c r="J22" i="143" a="1"/>
  <c r="J22" i="143" s="1"/>
  <c r="K21" i="143" a="1"/>
  <c r="K21" i="143" s="1"/>
  <c r="J21" i="143" a="1"/>
  <c r="J21" i="143" s="1"/>
  <c r="K20" i="143" a="1"/>
  <c r="K20" i="143" s="1"/>
  <c r="J20" i="143" a="1"/>
  <c r="J20" i="143" s="1"/>
  <c r="K19" i="143" a="1"/>
  <c r="K19" i="143" s="1"/>
  <c r="J19" i="143" a="1"/>
  <c r="J19" i="143" s="1"/>
  <c r="K18" i="143" a="1"/>
  <c r="K18" i="143" s="1"/>
  <c r="J18" i="143" a="1"/>
  <c r="J18" i="143" s="1"/>
  <c r="K17" i="143" a="1"/>
  <c r="K17" i="143" s="1"/>
  <c r="J17" i="143" a="1"/>
  <c r="J17" i="143" s="1"/>
  <c r="K16" i="143" a="1"/>
  <c r="K16" i="143" s="1"/>
  <c r="J16" i="143" a="1"/>
  <c r="J16" i="143" s="1"/>
  <c r="K15" i="143" a="1"/>
  <c r="K15" i="143" s="1"/>
  <c r="J15" i="143" a="1"/>
  <c r="J15" i="143" s="1"/>
  <c r="K14" i="143" a="1"/>
  <c r="K14" i="143" s="1"/>
  <c r="J14" i="143" a="1"/>
  <c r="J14" i="143" s="1"/>
  <c r="K13" i="143" a="1"/>
  <c r="K13" i="143" s="1"/>
  <c r="J13" i="143" a="1"/>
  <c r="J13" i="143" s="1"/>
  <c r="K12" i="143" a="1"/>
  <c r="K12" i="143" s="1"/>
  <c r="J12" i="143" a="1"/>
  <c r="J12" i="143" s="1"/>
  <c r="K11" i="143" a="1"/>
  <c r="K11" i="143" s="1"/>
  <c r="J11" i="143" a="1"/>
  <c r="J11" i="143" s="1"/>
  <c r="K10" i="143" a="1"/>
  <c r="K10" i="143" s="1"/>
  <c r="J10" i="143" a="1"/>
  <c r="J10" i="143" s="1"/>
  <c r="K9" i="143" a="1"/>
  <c r="K9" i="143" s="1"/>
  <c r="J9" i="143" a="1"/>
  <c r="J9" i="143" s="1"/>
  <c r="G42" i="143" a="1"/>
  <c r="G42" i="143" s="1"/>
  <c r="F42" i="143" a="1"/>
  <c r="F42" i="143" s="1"/>
  <c r="G40" i="143" a="1"/>
  <c r="G40" i="143" s="1"/>
  <c r="F40" i="143" a="1"/>
  <c r="F40" i="143" s="1"/>
  <c r="G39" i="143" a="1"/>
  <c r="G39" i="143" s="1"/>
  <c r="F39" i="143" a="1"/>
  <c r="F39" i="143" s="1"/>
  <c r="F38" i="143" a="1"/>
  <c r="F38" i="143" s="1"/>
  <c r="G37" i="143" a="1"/>
  <c r="G37" i="143" s="1"/>
  <c r="F37" i="143" a="1"/>
  <c r="F37" i="143" s="1"/>
  <c r="G36" i="143" a="1"/>
  <c r="G36" i="143" s="1"/>
  <c r="F36" i="143" a="1"/>
  <c r="F36" i="143" s="1"/>
  <c r="G35" i="143" a="1"/>
  <c r="G35" i="143" s="1"/>
  <c r="F35" i="143" a="1"/>
  <c r="F35" i="143" s="1"/>
  <c r="G34" i="143" a="1"/>
  <c r="G34" i="143" s="1"/>
  <c r="F34" i="143" a="1"/>
  <c r="F34" i="143" s="1"/>
  <c r="G33" i="143" a="1"/>
  <c r="G33" i="143" s="1"/>
  <c r="F33" i="143" a="1"/>
  <c r="F33" i="143" s="1"/>
  <c r="G32" i="143" a="1"/>
  <c r="G32" i="143" s="1"/>
  <c r="F32" i="143" a="1"/>
  <c r="F32" i="143" s="1"/>
  <c r="G31" i="143" a="1"/>
  <c r="G31" i="143" s="1"/>
  <c r="F31" i="143" a="1"/>
  <c r="F31" i="143" s="1"/>
  <c r="G30" i="143" a="1"/>
  <c r="G30" i="143" s="1"/>
  <c r="F30" i="143" a="1"/>
  <c r="F30" i="143" s="1"/>
  <c r="G29" i="143" a="1"/>
  <c r="G29" i="143" s="1"/>
  <c r="F29" i="143" a="1"/>
  <c r="F29" i="143" s="1"/>
  <c r="G28" i="143" a="1"/>
  <c r="G28" i="143" s="1"/>
  <c r="F28" i="143" a="1"/>
  <c r="F28" i="143" s="1"/>
  <c r="G27" i="143" a="1"/>
  <c r="G27" i="143" s="1"/>
  <c r="F27" i="143" a="1"/>
  <c r="F27" i="143" s="1"/>
  <c r="G26" i="143" a="1"/>
  <c r="G26" i="143" s="1"/>
  <c r="F26" i="143" a="1"/>
  <c r="F26" i="143" s="1"/>
  <c r="G25" i="143" a="1"/>
  <c r="G25" i="143" s="1"/>
  <c r="F25" i="143" a="1"/>
  <c r="F25" i="143" s="1"/>
  <c r="G24" i="143" a="1"/>
  <c r="G24" i="143" s="1"/>
  <c r="F24" i="143" a="1"/>
  <c r="F24" i="143" s="1"/>
  <c r="G23" i="143" a="1"/>
  <c r="G23" i="143" s="1"/>
  <c r="F23" i="143" a="1"/>
  <c r="F23" i="143" s="1"/>
  <c r="G22" i="143" a="1"/>
  <c r="G22" i="143" s="1"/>
  <c r="F22" i="143" a="1"/>
  <c r="F22" i="143" s="1"/>
  <c r="G21" i="143" a="1"/>
  <c r="G21" i="143" s="1"/>
  <c r="F21" i="143" a="1"/>
  <c r="F21" i="143" s="1"/>
  <c r="G20" i="143" a="1"/>
  <c r="G20" i="143" s="1"/>
  <c r="F20" i="143" a="1"/>
  <c r="F20" i="143" s="1"/>
  <c r="G19" i="143" a="1"/>
  <c r="G19" i="143" s="1"/>
  <c r="F19" i="143" a="1"/>
  <c r="F19" i="143" s="1"/>
  <c r="G18" i="143" a="1"/>
  <c r="G18" i="143" s="1"/>
  <c r="F18" i="143" a="1"/>
  <c r="F18" i="143" s="1"/>
  <c r="G17" i="143" a="1"/>
  <c r="G17" i="143" s="1"/>
  <c r="F17" i="143" a="1"/>
  <c r="F17" i="143" s="1"/>
  <c r="G16" i="143" a="1"/>
  <c r="G16" i="143" s="1"/>
  <c r="F16" i="143" a="1"/>
  <c r="F16" i="143" s="1"/>
  <c r="G15" i="143" a="1"/>
  <c r="G15" i="143" s="1"/>
  <c r="F15" i="143" a="1"/>
  <c r="F15" i="143" s="1"/>
  <c r="G14" i="143" a="1"/>
  <c r="G14" i="143" s="1"/>
  <c r="F14" i="143" a="1"/>
  <c r="F14" i="143" s="1"/>
  <c r="G13" i="143" a="1"/>
  <c r="G13" i="143" s="1"/>
  <c r="F13" i="143" a="1"/>
  <c r="F13" i="143" s="1"/>
  <c r="G12" i="143" a="1"/>
  <c r="G12" i="143" s="1"/>
  <c r="F12" i="143" a="1"/>
  <c r="F12" i="143" s="1"/>
  <c r="G11" i="143" a="1"/>
  <c r="G11" i="143" s="1"/>
  <c r="F11" i="143" a="1"/>
  <c r="F11" i="143" s="1"/>
  <c r="G10" i="143" a="1"/>
  <c r="G10" i="143" s="1"/>
  <c r="F10" i="143" a="1"/>
  <c r="F10" i="143" s="1"/>
  <c r="G9" i="143" a="1"/>
  <c r="G9" i="143" s="1"/>
  <c r="F9" i="143" a="1"/>
  <c r="F9" i="143" s="1"/>
  <c r="C42" i="143" a="1"/>
  <c r="C42" i="143" s="1"/>
  <c r="C10" i="143" a="1"/>
  <c r="C10" i="143" s="1"/>
  <c r="C11" i="143" a="1"/>
  <c r="C11" i="143" s="1"/>
  <c r="C12" i="143" a="1"/>
  <c r="C12" i="143" s="1"/>
  <c r="C13" i="143" a="1"/>
  <c r="C13" i="143" s="1"/>
  <c r="C14" i="143" a="1"/>
  <c r="C14" i="143" s="1"/>
  <c r="C15" i="143" a="1"/>
  <c r="C15" i="143" s="1"/>
  <c r="C16" i="143" a="1"/>
  <c r="C16" i="143" s="1"/>
  <c r="C17" i="143" a="1"/>
  <c r="C17" i="143" s="1"/>
  <c r="C18" i="143" a="1"/>
  <c r="C18" i="143" s="1"/>
  <c r="C19" i="143" a="1"/>
  <c r="C19" i="143" s="1"/>
  <c r="C20" i="143" a="1"/>
  <c r="C20" i="143" s="1"/>
  <c r="C21" i="143" a="1"/>
  <c r="C21" i="143" s="1"/>
  <c r="C22" i="143" a="1"/>
  <c r="C22" i="143" s="1"/>
  <c r="C23" i="143" a="1"/>
  <c r="C23" i="143" s="1"/>
  <c r="C24" i="143" a="1"/>
  <c r="C24" i="143" s="1"/>
  <c r="C25" i="143" a="1"/>
  <c r="C25" i="143" s="1"/>
  <c r="C26" i="143" a="1"/>
  <c r="C26" i="143" s="1"/>
  <c r="C27" i="143" a="1"/>
  <c r="C27" i="143" s="1"/>
  <c r="C28" i="143" a="1"/>
  <c r="C28" i="143" s="1"/>
  <c r="C29" i="143" a="1"/>
  <c r="C29" i="143" s="1"/>
  <c r="C30" i="143" a="1"/>
  <c r="C30" i="143" s="1"/>
  <c r="C31" i="143" a="1"/>
  <c r="C31" i="143" s="1"/>
  <c r="C32" i="143" a="1"/>
  <c r="C32" i="143" s="1"/>
  <c r="C33" i="143" a="1"/>
  <c r="C33" i="143" s="1"/>
  <c r="C34" i="143" a="1"/>
  <c r="C34" i="143" s="1"/>
  <c r="C35" i="143" a="1"/>
  <c r="C35" i="143" s="1"/>
  <c r="C36" i="143" a="1"/>
  <c r="C36" i="143" s="1"/>
  <c r="C37" i="143" a="1"/>
  <c r="C37" i="143" s="1"/>
  <c r="C38" i="143" a="1"/>
  <c r="C38" i="143" s="1"/>
  <c r="C39" i="143" a="1"/>
  <c r="C39" i="143" s="1"/>
  <c r="C40" i="143" a="1"/>
  <c r="C40" i="143" s="1"/>
  <c r="C9" i="143" a="1"/>
  <c r="C9" i="143" s="1"/>
  <c r="B42" i="143" a="1"/>
  <c r="B42" i="143" s="1"/>
  <c r="B10" i="143" a="1"/>
  <c r="B10" i="143" s="1"/>
  <c r="B11" i="143" a="1"/>
  <c r="B11" i="143" s="1"/>
  <c r="B12" i="143" a="1"/>
  <c r="B12" i="143" s="1"/>
  <c r="B13" i="143" a="1"/>
  <c r="B13" i="143" s="1"/>
  <c r="B14" i="143" a="1"/>
  <c r="B14" i="143" s="1"/>
  <c r="B15" i="143" a="1"/>
  <c r="B15" i="143" s="1"/>
  <c r="B16" i="143" a="1"/>
  <c r="B16" i="143" s="1"/>
  <c r="B17" i="143" a="1"/>
  <c r="B17" i="143" s="1"/>
  <c r="B18" i="143" a="1"/>
  <c r="B18" i="143" s="1"/>
  <c r="B19" i="143" a="1"/>
  <c r="B19" i="143" s="1"/>
  <c r="B20" i="143" a="1"/>
  <c r="B20" i="143" s="1"/>
  <c r="B21" i="143" a="1"/>
  <c r="B21" i="143" s="1"/>
  <c r="B22" i="143" a="1"/>
  <c r="B22" i="143" s="1"/>
  <c r="B23" i="143" a="1"/>
  <c r="B23" i="143" s="1"/>
  <c r="B24" i="143" a="1"/>
  <c r="B24" i="143" s="1"/>
  <c r="B25" i="143" a="1"/>
  <c r="B25" i="143" s="1"/>
  <c r="B26" i="143" a="1"/>
  <c r="B26" i="143" s="1"/>
  <c r="B27" i="143" a="1"/>
  <c r="B27" i="143" s="1"/>
  <c r="B28" i="143" a="1"/>
  <c r="B28" i="143" s="1"/>
  <c r="B29" i="143" a="1"/>
  <c r="B29" i="143" s="1"/>
  <c r="B30" i="143" a="1"/>
  <c r="B30" i="143" s="1"/>
  <c r="B31" i="143" a="1"/>
  <c r="B31" i="143" s="1"/>
  <c r="B32" i="143" a="1"/>
  <c r="B32" i="143" s="1"/>
  <c r="B33" i="143" a="1"/>
  <c r="B33" i="143" s="1"/>
  <c r="B34" i="143" a="1"/>
  <c r="B34" i="143" s="1"/>
  <c r="B35" i="143" a="1"/>
  <c r="B35" i="143" s="1"/>
  <c r="B36" i="143" a="1"/>
  <c r="B36" i="143" s="1"/>
  <c r="B37" i="143" a="1"/>
  <c r="B37" i="143" s="1"/>
  <c r="B38" i="143" a="1"/>
  <c r="B38" i="143" s="1"/>
  <c r="B39" i="143" a="1"/>
  <c r="B39" i="143" s="1"/>
  <c r="B40" i="143" a="1"/>
  <c r="B40" i="143" s="1"/>
  <c r="B9" i="143" a="1"/>
  <c r="B9" i="143" s="1"/>
  <c r="A486" i="86"/>
  <c r="A487" i="86"/>
  <c r="A488" i="86"/>
  <c r="A489" i="86"/>
  <c r="A490" i="86"/>
  <c r="A491" i="86"/>
  <c r="A492" i="86"/>
  <c r="A493" i="86"/>
  <c r="A494" i="86"/>
  <c r="A495" i="86"/>
  <c r="A496" i="86"/>
  <c r="A497" i="86"/>
  <c r="A498" i="86"/>
  <c r="A499" i="86"/>
  <c r="A500" i="86"/>
  <c r="A501" i="86"/>
  <c r="A502" i="86"/>
  <c r="A503" i="86"/>
  <c r="A504" i="86"/>
  <c r="A505" i="86"/>
  <c r="A506" i="86"/>
  <c r="A507" i="86"/>
  <c r="A508" i="86"/>
  <c r="A509" i="86"/>
  <c r="A510" i="86"/>
  <c r="A511" i="86"/>
  <c r="A512" i="86"/>
  <c r="A513" i="86"/>
  <c r="A514" i="86"/>
  <c r="A515" i="86"/>
  <c r="A516" i="86"/>
  <c r="A517" i="86"/>
  <c r="A518" i="86"/>
  <c r="O37" i="42"/>
  <c r="N37" i="42"/>
  <c r="P37" i="42" s="1"/>
  <c r="K37" i="42"/>
  <c r="J37" i="42"/>
  <c r="L37" i="42" s="1"/>
  <c r="H37" i="42"/>
  <c r="G37" i="42"/>
  <c r="F37" i="42"/>
  <c r="G52" i="42"/>
  <c r="F52" i="42"/>
  <c r="G51" i="42"/>
  <c r="F51" i="42"/>
  <c r="G50" i="42"/>
  <c r="F50" i="42"/>
  <c r="G49" i="42"/>
  <c r="F49" i="42"/>
  <c r="G48" i="42" a="1"/>
  <c r="G48" i="42" s="1"/>
  <c r="F48" i="42" a="1"/>
  <c r="F48" i="42" s="1"/>
  <c r="G47" i="42" a="1"/>
  <c r="G47" i="42" s="1"/>
  <c r="F47" i="42" a="1"/>
  <c r="F47" i="42" s="1"/>
  <c r="G46" i="42" a="1"/>
  <c r="G46" i="42" s="1"/>
  <c r="F46" i="42" a="1"/>
  <c r="F46" i="42" s="1"/>
  <c r="G45" i="42" a="1"/>
  <c r="G45" i="42" s="1"/>
  <c r="F45" i="42" a="1"/>
  <c r="F45" i="42" s="1"/>
  <c r="O94" i="39"/>
  <c r="N94" i="39"/>
  <c r="P94" i="39" s="1"/>
  <c r="K94" i="39"/>
  <c r="J94" i="39"/>
  <c r="G94" i="39"/>
  <c r="F94" i="39"/>
  <c r="C94" i="39"/>
  <c r="B94" i="39"/>
  <c r="D94" i="39" s="1"/>
  <c r="O150" i="39"/>
  <c r="K150" i="39"/>
  <c r="G150" i="39"/>
  <c r="C150" i="39"/>
  <c r="N150" i="39"/>
  <c r="P150" i="39" s="1"/>
  <c r="J150" i="39"/>
  <c r="L150" i="39" s="1"/>
  <c r="F150" i="39"/>
  <c r="H150" i="39" s="1"/>
  <c r="B150" i="39"/>
  <c r="D150" i="39" s="1"/>
  <c r="K38" i="1"/>
  <c r="C38" i="1"/>
  <c r="F38" i="1"/>
  <c r="H38" i="1" s="1"/>
  <c r="G38" i="1"/>
  <c r="J38" i="1"/>
  <c r="L38" i="1" s="1"/>
  <c r="N38" i="1"/>
  <c r="O38" i="1"/>
  <c r="B38" i="1"/>
  <c r="K6" i="152" l="1"/>
  <c r="K10" i="152"/>
  <c r="J11" i="152"/>
  <c r="K15" i="152"/>
  <c r="J20" i="152"/>
  <c r="J28" i="152"/>
  <c r="J7" i="152"/>
  <c r="K11" i="152"/>
  <c r="J16" i="152"/>
  <c r="K28" i="152"/>
  <c r="K7" i="152"/>
  <c r="K16" i="152"/>
  <c r="J19" i="152"/>
  <c r="H31" i="105"/>
  <c r="D34" i="105"/>
  <c r="D10" i="105"/>
  <c r="D9" i="105"/>
  <c r="L12" i="105"/>
  <c r="H22" i="105"/>
  <c r="F44" i="105" a="1"/>
  <c r="F44" i="105" s="1"/>
  <c r="H44" i="105" s="1"/>
  <c r="J50" i="105"/>
  <c r="L50" i="105" s="1"/>
  <c r="F46" i="105" a="1"/>
  <c r="F46" i="105" s="1"/>
  <c r="D26" i="105"/>
  <c r="J51" i="105"/>
  <c r="L51" i="105" s="1"/>
  <c r="D18" i="105"/>
  <c r="J44" i="105" a="1"/>
  <c r="J44" i="105" s="1"/>
  <c r="L44" i="105" s="1"/>
  <c r="L11" i="105"/>
  <c r="J46" i="105" a="1"/>
  <c r="J46" i="105" s="1"/>
  <c r="L46" i="105" s="1"/>
  <c r="B49" i="105"/>
  <c r="J41" i="105" a="1"/>
  <c r="J41" i="105" s="1"/>
  <c r="L41" i="105" s="1"/>
  <c r="D32" i="105"/>
  <c r="B47" i="105" a="1"/>
  <c r="B47" i="105" s="1"/>
  <c r="D47" i="105" s="1"/>
  <c r="H15" i="105"/>
  <c r="B46" i="105" a="1"/>
  <c r="B46" i="105" s="1"/>
  <c r="D46" i="105" s="1"/>
  <c r="L36" i="105"/>
  <c r="B41" i="105" a="1"/>
  <c r="B41" i="105" s="1"/>
  <c r="D41" i="105" s="1"/>
  <c r="F48" i="105" a="1"/>
  <c r="F48" i="105" s="1"/>
  <c r="H48" i="105" s="1"/>
  <c r="F51" i="105"/>
  <c r="H51" i="105" s="1"/>
  <c r="L49" i="105"/>
  <c r="B48" i="105" a="1"/>
  <c r="B48" i="105" s="1"/>
  <c r="D48" i="105" s="1"/>
  <c r="B51" i="105"/>
  <c r="D51" i="105" s="1"/>
  <c r="D11" i="105"/>
  <c r="H9" i="105"/>
  <c r="D20" i="105"/>
  <c r="L22" i="105"/>
  <c r="L30" i="105"/>
  <c r="B45" i="105" a="1"/>
  <c r="B45" i="105" s="1"/>
  <c r="D45" i="105" s="1"/>
  <c r="C47" i="105" a="1"/>
  <c r="C47" i="105" s="1"/>
  <c r="J47" i="105" a="1"/>
  <c r="J47" i="105" s="1"/>
  <c r="L47" i="105" s="1"/>
  <c r="F50" i="105"/>
  <c r="H50" i="105" s="1"/>
  <c r="G47" i="105" a="1"/>
  <c r="G47" i="105" s="1"/>
  <c r="H47" i="105" s="1"/>
  <c r="G46" i="105" a="1"/>
  <c r="G46" i="105" s="1"/>
  <c r="F41" i="105" a="1"/>
  <c r="F41" i="105" s="1"/>
  <c r="H41" i="105" s="1"/>
  <c r="F49" i="105"/>
  <c r="H49" i="105" s="1"/>
  <c r="H18" i="105"/>
  <c r="C46" i="105" a="1"/>
  <c r="C46" i="105" s="1"/>
  <c r="C49" i="105"/>
  <c r="D49" i="105" s="1"/>
  <c r="J48" i="105" a="1"/>
  <c r="J48" i="105" s="1"/>
  <c r="L48" i="105" s="1"/>
  <c r="H11" i="105"/>
  <c r="L32" i="105"/>
  <c r="K47" i="105" a="1"/>
  <c r="K47" i="105" s="1"/>
  <c r="B50" i="105"/>
  <c r="D50" i="105" s="1"/>
  <c r="L20" i="105"/>
  <c r="H51" i="42"/>
  <c r="H46" i="42"/>
  <c r="H50" i="42"/>
  <c r="H48" i="42"/>
  <c r="H52" i="42"/>
  <c r="H47" i="42"/>
  <c r="H49" i="42"/>
  <c r="H45" i="42"/>
  <c r="H94" i="39"/>
  <c r="L94" i="39"/>
  <c r="P38" i="1"/>
  <c r="D38" i="1"/>
  <c r="H46" i="105" l="1"/>
  <c r="O17" i="140"/>
  <c r="O43" i="140"/>
  <c r="O16" i="140"/>
  <c r="O24" i="140"/>
  <c r="O32" i="140"/>
  <c r="O34" i="140"/>
  <c r="O39" i="140"/>
  <c r="O40" i="140"/>
  <c r="O36" i="140"/>
  <c r="O31" i="140"/>
  <c r="O30" i="140"/>
  <c r="O29" i="140"/>
  <c r="O28" i="140"/>
  <c r="O27" i="140"/>
  <c r="O26" i="140"/>
  <c r="O23" i="140"/>
  <c r="O22" i="140"/>
  <c r="O21" i="140"/>
  <c r="O20" i="140"/>
  <c r="O19" i="140"/>
  <c r="O18" i="140"/>
  <c r="O15" i="140"/>
  <c r="O14" i="140"/>
  <c r="O13" i="140"/>
  <c r="O12" i="140"/>
  <c r="O11" i="140"/>
  <c r="O10" i="140"/>
  <c r="K40" i="140"/>
  <c r="K39" i="140"/>
  <c r="K38" i="140"/>
  <c r="K37" i="140"/>
  <c r="K36" i="140"/>
  <c r="K35" i="140"/>
  <c r="K34" i="140"/>
  <c r="K33" i="140"/>
  <c r="K32" i="140"/>
  <c r="K31" i="140"/>
  <c r="K30" i="140"/>
  <c r="K29" i="140"/>
  <c r="K28" i="140"/>
  <c r="K27" i="140"/>
  <c r="K26" i="140"/>
  <c r="K25" i="140"/>
  <c r="K24" i="140"/>
  <c r="K23" i="140"/>
  <c r="K22" i="140"/>
  <c r="K21" i="140"/>
  <c r="K20" i="140"/>
  <c r="K19" i="140"/>
  <c r="K18" i="140"/>
  <c r="K17" i="140"/>
  <c r="K16" i="140"/>
  <c r="K15" i="140"/>
  <c r="K14" i="140"/>
  <c r="K13" i="140"/>
  <c r="K12" i="140"/>
  <c r="K11" i="140"/>
  <c r="K10" i="140"/>
  <c r="K9" i="140"/>
  <c r="G40" i="140"/>
  <c r="G39" i="140"/>
  <c r="G38" i="140"/>
  <c r="G37" i="140"/>
  <c r="G36" i="140"/>
  <c r="G35" i="140"/>
  <c r="G34" i="140"/>
  <c r="G33" i="140"/>
  <c r="G32" i="140"/>
  <c r="G31" i="140"/>
  <c r="G30" i="140"/>
  <c r="G29" i="140"/>
  <c r="G28" i="140"/>
  <c r="G27" i="140"/>
  <c r="G26" i="140"/>
  <c r="G25" i="140"/>
  <c r="G24" i="140"/>
  <c r="G23" i="140"/>
  <c r="G22" i="140"/>
  <c r="G21" i="140"/>
  <c r="G20" i="140"/>
  <c r="G19" i="140"/>
  <c r="G18" i="140"/>
  <c r="G17" i="140"/>
  <c r="G16" i="140"/>
  <c r="G15" i="140"/>
  <c r="G14" i="140"/>
  <c r="G13" i="140"/>
  <c r="G12" i="140"/>
  <c r="G11" i="140"/>
  <c r="G10" i="140"/>
  <c r="G9" i="140"/>
  <c r="K43" i="140"/>
  <c r="G43" i="140"/>
  <c r="J42" i="140"/>
  <c r="F42" i="140"/>
  <c r="C43" i="140"/>
  <c r="C10" i="140"/>
  <c r="C11" i="140"/>
  <c r="C12" i="140"/>
  <c r="C13" i="140"/>
  <c r="C14" i="140"/>
  <c r="C15" i="140"/>
  <c r="C16" i="140"/>
  <c r="C17" i="140"/>
  <c r="C18" i="140"/>
  <c r="C19" i="140"/>
  <c r="C20" i="140"/>
  <c r="C21" i="140"/>
  <c r="C22" i="140"/>
  <c r="C23" i="140"/>
  <c r="C24" i="140"/>
  <c r="C25" i="140"/>
  <c r="C26" i="140"/>
  <c r="C27" i="140"/>
  <c r="C28" i="140"/>
  <c r="C29" i="140"/>
  <c r="C30" i="140"/>
  <c r="C31" i="140"/>
  <c r="C32" i="140"/>
  <c r="C33" i="140"/>
  <c r="C34" i="140"/>
  <c r="C35" i="140"/>
  <c r="C36" i="140"/>
  <c r="C37" i="140"/>
  <c r="C38" i="140"/>
  <c r="C39" i="140"/>
  <c r="C40" i="140"/>
  <c r="C9" i="140"/>
  <c r="O38" i="140" l="1"/>
  <c r="O37" i="140"/>
  <c r="O35" i="140"/>
  <c r="O33" i="140"/>
  <c r="O25" i="140"/>
  <c r="N42" i="140"/>
  <c r="O9" i="140"/>
  <c r="K42" i="140"/>
  <c r="L42" i="140" s="1"/>
  <c r="G42" i="140"/>
  <c r="H42" i="140" s="1"/>
  <c r="C42" i="140"/>
  <c r="B42" i="140"/>
  <c r="O42" i="140" l="1"/>
  <c r="P42" i="140" s="1"/>
  <c r="D42" i="140"/>
  <c r="D6" i="34" l="1"/>
  <c r="D21" i="34" s="1" a="1"/>
  <c r="D21" i="34" s="1"/>
  <c r="E6" i="34"/>
  <c r="F6" i="34"/>
  <c r="F20" i="34" s="1" a="1"/>
  <c r="F20" i="34" s="1"/>
  <c r="G6" i="34"/>
  <c r="H21" i="34" s="1" a="1"/>
  <c r="H21" i="34" s="1"/>
  <c r="B43" i="33" a="1"/>
  <c r="B43" i="33" s="1"/>
  <c r="B44" i="33" a="1"/>
  <c r="B44" i="33" s="1"/>
  <c r="O43" i="105"/>
  <c r="P43" i="105"/>
  <c r="O41" i="105"/>
  <c r="O40" i="105"/>
  <c r="P40" i="105"/>
  <c r="O39" i="105"/>
  <c r="P39" i="105"/>
  <c r="O38" i="105"/>
  <c r="P38" i="105"/>
  <c r="O37" i="105"/>
  <c r="P37" i="105"/>
  <c r="O36" i="105"/>
  <c r="P35" i="105"/>
  <c r="O35" i="105"/>
  <c r="O34" i="105"/>
  <c r="P34" i="105"/>
  <c r="O33" i="105"/>
  <c r="P33" i="105"/>
  <c r="O32" i="105"/>
  <c r="P32" i="105"/>
  <c r="O31" i="105"/>
  <c r="P31" i="105"/>
  <c r="O30" i="105"/>
  <c r="P30" i="105"/>
  <c r="O29" i="105"/>
  <c r="P29" i="105"/>
  <c r="O28" i="105"/>
  <c r="O27" i="105"/>
  <c r="P27" i="105"/>
  <c r="O26" i="105"/>
  <c r="P26" i="105"/>
  <c r="O25" i="105"/>
  <c r="P25" i="105"/>
  <c r="O24" i="105"/>
  <c r="P24" i="105"/>
  <c r="O23" i="105"/>
  <c r="P23" i="105"/>
  <c r="O22" i="105"/>
  <c r="O45" i="105" s="1" a="1"/>
  <c r="O45" i="105" s="1"/>
  <c r="P22" i="105"/>
  <c r="O21" i="105"/>
  <c r="O48" i="105" s="1" a="1"/>
  <c r="O48" i="105" s="1"/>
  <c r="P21" i="105"/>
  <c r="O20" i="105"/>
  <c r="O19" i="105"/>
  <c r="P19" i="105"/>
  <c r="O18" i="105"/>
  <c r="O46" i="105" s="1" a="1"/>
  <c r="O46" i="105" s="1"/>
  <c r="P18" i="105"/>
  <c r="O17" i="105"/>
  <c r="P17" i="105"/>
  <c r="O16" i="105"/>
  <c r="P16" i="105"/>
  <c r="O15" i="105"/>
  <c r="O47" i="105" s="1" a="1"/>
  <c r="O47" i="105" s="1"/>
  <c r="P15" i="105"/>
  <c r="O14" i="105"/>
  <c r="P14" i="105"/>
  <c r="O13" i="105"/>
  <c r="P13" i="105"/>
  <c r="O12" i="105"/>
  <c r="O11" i="105"/>
  <c r="P11" i="105"/>
  <c r="O10" i="105"/>
  <c r="P10" i="105"/>
  <c r="O9" i="105"/>
  <c r="P44" i="105"/>
  <c r="O44" i="105" a="1"/>
  <c r="O44" i="105" s="1"/>
  <c r="O51" i="105"/>
  <c r="E20" i="34" l="1" a="1"/>
  <c r="E20" i="34" s="1"/>
  <c r="H20" i="34" a="1"/>
  <c r="H20" i="34" s="1"/>
  <c r="E21" i="34" a="1"/>
  <c r="E21" i="34" s="1"/>
  <c r="G20" i="34" a="1"/>
  <c r="G20" i="34" s="1"/>
  <c r="I20" i="34" s="1"/>
  <c r="F21" i="34" a="1"/>
  <c r="F21" i="34" s="1"/>
  <c r="G21" i="34" a="1"/>
  <c r="G21" i="34" s="1"/>
  <c r="I21" i="34" s="1"/>
  <c r="D20" i="34" a="1"/>
  <c r="D20" i="34" s="1"/>
  <c r="P41" i="105"/>
  <c r="P28" i="105"/>
  <c r="P9" i="105"/>
  <c r="P51" i="105"/>
  <c r="P20" i="105"/>
  <c r="P12" i="105"/>
  <c r="P36" i="105"/>
  <c r="B49" i="33"/>
  <c r="B45" i="33" a="1"/>
  <c r="B45" i="33" s="1"/>
  <c r="B47" i="33" a="1"/>
  <c r="B47" i="33" s="1"/>
  <c r="B51" i="33"/>
  <c r="B48" i="33" a="1"/>
  <c r="B48" i="33" s="1"/>
  <c r="B50" i="33"/>
  <c r="B46" i="33" a="1"/>
  <c r="B46" i="33" s="1"/>
  <c r="P48" i="105"/>
  <c r="P46" i="105"/>
  <c r="O49" i="105"/>
  <c r="P49" i="105" s="1"/>
  <c r="P50" i="105"/>
  <c r="P45" i="105"/>
  <c r="O50" i="105"/>
  <c r="P47" i="105"/>
  <c r="B9" i="141" l="1"/>
  <c r="D9" i="141" s="1"/>
  <c r="O47" i="33" l="1" a="1"/>
  <c r="O47" i="33" s="1"/>
  <c r="N47" i="33" a="1"/>
  <c r="N47" i="33" s="1"/>
  <c r="K47" i="33" a="1"/>
  <c r="K47" i="33" s="1"/>
  <c r="J47" i="33" a="1"/>
  <c r="J47" i="33" s="1"/>
  <c r="G47" i="33" a="1"/>
  <c r="G47" i="33" s="1"/>
  <c r="F47" i="33" a="1"/>
  <c r="F47" i="33" s="1"/>
  <c r="C47" i="33" a="1"/>
  <c r="C47" i="33" s="1"/>
  <c r="G18" i="32"/>
  <c r="C43" i="33" a="1"/>
  <c r="C43" i="33" s="1"/>
  <c r="O46" i="33" a="1"/>
  <c r="O46" i="33" s="1"/>
  <c r="N46" i="33" a="1"/>
  <c r="N46" i="33" s="1"/>
  <c r="K46" i="33" a="1"/>
  <c r="K46" i="33" s="1"/>
  <c r="J46" i="33" a="1"/>
  <c r="J46" i="33" s="1"/>
  <c r="G46" i="33" a="1"/>
  <c r="G46" i="33" s="1"/>
  <c r="F46" i="33" a="1"/>
  <c r="F46" i="33" s="1"/>
  <c r="C46" i="33" a="1"/>
  <c r="C46" i="33" s="1"/>
  <c r="O45" i="33" a="1"/>
  <c r="O45" i="33" s="1"/>
  <c r="N45" i="33" a="1"/>
  <c r="N45" i="33" s="1"/>
  <c r="H19" i="34" s="1" a="1"/>
  <c r="H19" i="34" s="1"/>
  <c r="K45" i="33" a="1"/>
  <c r="K45" i="33" s="1"/>
  <c r="J45" i="33" a="1"/>
  <c r="J45" i="33" s="1"/>
  <c r="G45" i="33" a="1"/>
  <c r="G45" i="33" s="1"/>
  <c r="F45" i="33" a="1"/>
  <c r="F45" i="33" s="1"/>
  <c r="C45" i="33" a="1"/>
  <c r="C45" i="33" s="1"/>
  <c r="O44" i="33" a="1"/>
  <c r="O44" i="33" s="1"/>
  <c r="N44" i="33" a="1"/>
  <c r="N44" i="33" s="1"/>
  <c r="K44" i="33" a="1"/>
  <c r="K44" i="33" s="1"/>
  <c r="J44" i="33" a="1"/>
  <c r="J44" i="33" s="1"/>
  <c r="G44" i="33" a="1"/>
  <c r="G44" i="33" s="1"/>
  <c r="F44" i="33" a="1"/>
  <c r="F44" i="33" s="1"/>
  <c r="C44" i="33" a="1"/>
  <c r="C44" i="33" s="1"/>
  <c r="O43" i="33" a="1"/>
  <c r="O43" i="33" s="1"/>
  <c r="N43" i="33" a="1"/>
  <c r="N43" i="33" s="1"/>
  <c r="K43" i="33" a="1"/>
  <c r="K43" i="33" s="1"/>
  <c r="J43" i="33" a="1"/>
  <c r="J43" i="33" s="1"/>
  <c r="G43" i="33" a="1"/>
  <c r="G43" i="33" s="1"/>
  <c r="F43" i="33" a="1"/>
  <c r="F43" i="33" s="1"/>
  <c r="P46" i="33" l="1"/>
  <c r="L46" i="33"/>
  <c r="H47" i="33"/>
  <c r="L43" i="33"/>
  <c r="P44" i="33"/>
  <c r="L47" i="33"/>
  <c r="D45" i="33"/>
  <c r="D19" i="34" s="1" a="1"/>
  <c r="D19" i="34" s="1"/>
  <c r="D46" i="33"/>
  <c r="H43" i="33"/>
  <c r="P43" i="33"/>
  <c r="H45" i="33"/>
  <c r="E19" i="34" s="1" a="1"/>
  <c r="E19" i="34" s="1"/>
  <c r="D47" i="33"/>
  <c r="H46" i="33"/>
  <c r="D44" i="33"/>
  <c r="P47" i="33"/>
  <c r="D43" i="33"/>
  <c r="H44" i="33"/>
  <c r="L44" i="33"/>
  <c r="P45" i="33"/>
  <c r="G19" i="34" s="1" a="1"/>
  <c r="G19" i="34" s="1"/>
  <c r="I19" i="34" s="1"/>
  <c r="L45" i="33"/>
  <c r="F19" i="34" s="1" a="1"/>
  <c r="F19" i="34" s="1"/>
  <c r="C17" i="81" l="1"/>
  <c r="C17" i="136"/>
  <c r="J17" i="136" s="1"/>
  <c r="O44" i="140" a="1"/>
  <c r="O44" i="140" s="1"/>
  <c r="D47" i="80"/>
  <c r="C47" i="80"/>
  <c r="E47" i="80"/>
  <c r="B47" i="80"/>
  <c r="C46" i="80"/>
  <c r="D46" i="80"/>
  <c r="E46" i="80"/>
  <c r="B46" i="80"/>
  <c r="C45" i="80"/>
  <c r="D45" i="80"/>
  <c r="E45" i="80"/>
  <c r="B45" i="80"/>
  <c r="C44" i="80"/>
  <c r="D44" i="80"/>
  <c r="E44" i="80"/>
  <c r="B44" i="80"/>
  <c r="C43" i="80"/>
  <c r="D43" i="80"/>
  <c r="E43" i="80"/>
  <c r="B43" i="80"/>
  <c r="C53" i="80" a="1"/>
  <c r="C53" i="80" s="1"/>
  <c r="D53" i="80" a="1"/>
  <c r="D53" i="80" s="1"/>
  <c r="E53" i="80" a="1"/>
  <c r="E53" i="80" s="1"/>
  <c r="B53" i="80" a="1"/>
  <c r="B53" i="80" s="1"/>
  <c r="C52" i="80" a="1"/>
  <c r="C52" i="80" s="1"/>
  <c r="D52" i="80" a="1"/>
  <c r="D52" i="80" s="1"/>
  <c r="E52" i="80" a="1"/>
  <c r="E52" i="80" s="1"/>
  <c r="B52" i="80" a="1"/>
  <c r="B52" i="80" s="1"/>
  <c r="C51" i="80" a="1"/>
  <c r="C51" i="80" s="1"/>
  <c r="D51" i="80" a="1"/>
  <c r="D51" i="80" s="1"/>
  <c r="E51" i="80" a="1"/>
  <c r="E51" i="80" s="1"/>
  <c r="B51" i="80" a="1"/>
  <c r="B51" i="80" s="1"/>
  <c r="C50" i="80" a="1"/>
  <c r="C50" i="80" s="1"/>
  <c r="D50" i="80" a="1"/>
  <c r="D50" i="80" s="1"/>
  <c r="E50" i="80" a="1"/>
  <c r="E50" i="80" s="1"/>
  <c r="B50" i="80" a="1"/>
  <c r="B50" i="80" s="1"/>
  <c r="D18" i="81" s="1"/>
  <c r="G44" i="140" l="1" a="1"/>
  <c r="G44" i="140" s="1"/>
  <c r="G45" i="140" a="1"/>
  <c r="G45" i="140" s="1"/>
  <c r="G46" i="140" a="1"/>
  <c r="G46" i="140" s="1"/>
  <c r="G47" i="140" a="1"/>
  <c r="G47" i="140" s="1"/>
  <c r="G48" i="140" a="1"/>
  <c r="G48" i="140" s="1"/>
  <c r="G49" i="140" a="1"/>
  <c r="G49" i="140" s="1"/>
  <c r="G50" i="140" a="1"/>
  <c r="G50" i="140" s="1"/>
  <c r="G51" i="140" a="1"/>
  <c r="G51" i="140" s="1"/>
  <c r="G52" i="140" a="1"/>
  <c r="G52" i="140" s="1"/>
  <c r="O50" i="140" a="1"/>
  <c r="O50" i="140" s="1"/>
  <c r="O51" i="140" a="1"/>
  <c r="O51" i="140" s="1"/>
  <c r="O46" i="140" a="1"/>
  <c r="O46" i="140" s="1"/>
  <c r="O45" i="140" a="1"/>
  <c r="O45" i="140" s="1"/>
  <c r="O48" i="140" a="1"/>
  <c r="O48" i="140" s="1"/>
  <c r="O49" i="140" a="1"/>
  <c r="O49" i="140" s="1"/>
  <c r="O52" i="140" a="1"/>
  <c r="O52" i="140" s="1"/>
  <c r="O52" i="142" a="1"/>
  <c r="O52" i="142" s="1"/>
  <c r="N52" i="142" a="1"/>
  <c r="N52" i="142" s="1"/>
  <c r="N51" i="142" a="1"/>
  <c r="N51" i="142" s="1"/>
  <c r="O47" i="142" a="1"/>
  <c r="O47" i="142" s="1"/>
  <c r="N47" i="142" a="1"/>
  <c r="N47" i="142" s="1"/>
  <c r="B47" i="19" a="1"/>
  <c r="B47" i="19" s="1"/>
  <c r="O46" i="142" a="1"/>
  <c r="O46" i="142" s="1"/>
  <c r="N46" i="142" a="1"/>
  <c r="N46" i="142" s="1"/>
  <c r="B46" i="19" a="1"/>
  <c r="B46" i="19" s="1"/>
  <c r="O44" i="142" a="1"/>
  <c r="O44" i="142" s="1"/>
  <c r="N44" i="142" a="1"/>
  <c r="N44" i="142" s="1"/>
  <c r="B45" i="19" a="1"/>
  <c r="B45" i="19" s="1"/>
  <c r="O47" i="140" l="1" a="1"/>
  <c r="O47" i="140" s="1"/>
  <c r="O52" i="1" l="1"/>
  <c r="N52" i="1"/>
  <c r="K52" i="1"/>
  <c r="J52" i="1"/>
  <c r="L52" i="1" s="1"/>
  <c r="G52" i="1"/>
  <c r="F52" i="1"/>
  <c r="C52" i="1"/>
  <c r="B52" i="1"/>
  <c r="O51" i="1"/>
  <c r="N51" i="1"/>
  <c r="K51" i="1"/>
  <c r="J51" i="1"/>
  <c r="G51" i="1"/>
  <c r="F51" i="1"/>
  <c r="C51" i="1"/>
  <c r="B51" i="1"/>
  <c r="O50" i="1"/>
  <c r="N50" i="1"/>
  <c r="K50" i="1"/>
  <c r="J50" i="1"/>
  <c r="G50" i="1"/>
  <c r="F50" i="1"/>
  <c r="C50" i="1"/>
  <c r="B50" i="1"/>
  <c r="O49" i="1"/>
  <c r="N49" i="1"/>
  <c r="K49" i="1"/>
  <c r="J49" i="1"/>
  <c r="G49" i="1"/>
  <c r="F49" i="1"/>
  <c r="C49" i="1"/>
  <c r="B49" i="1" a="1"/>
  <c r="B49" i="1" s="1"/>
  <c r="O48" i="1" a="1"/>
  <c r="O48" i="1" s="1"/>
  <c r="N48" i="1" a="1"/>
  <c r="N48" i="1" s="1"/>
  <c r="K48" i="1" a="1"/>
  <c r="K48" i="1" s="1"/>
  <c r="J48" i="1" a="1"/>
  <c r="J48" i="1" s="1"/>
  <c r="G48" i="1" a="1"/>
  <c r="G48" i="1" s="1"/>
  <c r="F48" i="1" a="1"/>
  <c r="F48" i="1" s="1"/>
  <c r="C48" i="1" a="1"/>
  <c r="C48" i="1" s="1"/>
  <c r="B48" i="1" a="1"/>
  <c r="B48" i="1" s="1"/>
  <c r="O47" i="1" a="1"/>
  <c r="O47" i="1" s="1"/>
  <c r="N47" i="1" a="1"/>
  <c r="N47" i="1" s="1"/>
  <c r="K47" i="1" a="1"/>
  <c r="K47" i="1" s="1"/>
  <c r="J47" i="1" a="1"/>
  <c r="J47" i="1" s="1"/>
  <c r="G47" i="1" a="1"/>
  <c r="G47" i="1" s="1"/>
  <c r="F47" i="1" a="1"/>
  <c r="F47" i="1" s="1"/>
  <c r="C47" i="1" a="1"/>
  <c r="C47" i="1" s="1"/>
  <c r="B47" i="1" a="1"/>
  <c r="B47" i="1" s="1"/>
  <c r="O46" i="1" a="1"/>
  <c r="O46" i="1" s="1"/>
  <c r="N46" i="1" a="1"/>
  <c r="N46" i="1" s="1"/>
  <c r="K46" i="1" a="1"/>
  <c r="K46" i="1" s="1"/>
  <c r="J46" i="1" a="1"/>
  <c r="J46" i="1" s="1"/>
  <c r="G46" i="1" a="1"/>
  <c r="G46" i="1" s="1"/>
  <c r="F46" i="1" a="1"/>
  <c r="F46" i="1" s="1"/>
  <c r="C46" i="1" a="1"/>
  <c r="C46" i="1" s="1"/>
  <c r="B46" i="1" a="1"/>
  <c r="B46" i="1" s="1"/>
  <c r="O45" i="1" a="1"/>
  <c r="O45" i="1" s="1"/>
  <c r="N45" i="1" a="1"/>
  <c r="N45" i="1" s="1"/>
  <c r="K45" i="1" a="1"/>
  <c r="K45" i="1" s="1"/>
  <c r="J45" i="1" a="1"/>
  <c r="J45" i="1" s="1"/>
  <c r="G45" i="1" a="1"/>
  <c r="G45" i="1" s="1"/>
  <c r="F45" i="1" a="1"/>
  <c r="F45" i="1" s="1"/>
  <c r="C45" i="1" a="1"/>
  <c r="C45" i="1" s="1"/>
  <c r="B45" i="1" a="1"/>
  <c r="B45" i="1" s="1"/>
  <c r="B44" i="26" a="1"/>
  <c r="B44" i="26" s="1"/>
  <c r="C44" i="26" a="1"/>
  <c r="C44" i="26" s="1"/>
  <c r="F44" i="26" a="1"/>
  <c r="F44" i="26" s="1"/>
  <c r="G44" i="26" a="1"/>
  <c r="G44" i="26" s="1"/>
  <c r="J44" i="26" a="1"/>
  <c r="J44" i="26" s="1"/>
  <c r="K44" i="26" a="1"/>
  <c r="K44" i="26" s="1"/>
  <c r="N44" i="26" a="1"/>
  <c r="N44" i="26" s="1"/>
  <c r="O44" i="26" a="1"/>
  <c r="O44" i="26" s="1"/>
  <c r="B45" i="26" a="1"/>
  <c r="B45" i="26" s="1"/>
  <c r="C45" i="26" a="1"/>
  <c r="C45" i="26" s="1"/>
  <c r="F45" i="26" a="1"/>
  <c r="F45" i="26" s="1"/>
  <c r="G45" i="26" a="1"/>
  <c r="G45" i="26" s="1"/>
  <c r="J45" i="26" a="1"/>
  <c r="J45" i="26" s="1"/>
  <c r="L45" i="26" s="1"/>
  <c r="K45" i="26" a="1"/>
  <c r="K45" i="26" s="1"/>
  <c r="N45" i="26" a="1"/>
  <c r="N45" i="26" s="1"/>
  <c r="P45" i="26" s="1"/>
  <c r="O45" i="26" a="1"/>
  <c r="O45" i="26"/>
  <c r="B46" i="26" a="1"/>
  <c r="B46" i="26" s="1"/>
  <c r="C46" i="26" a="1"/>
  <c r="C46" i="26" s="1"/>
  <c r="F46" i="26" a="1"/>
  <c r="F46" i="26" s="1"/>
  <c r="G46" i="26" a="1"/>
  <c r="G46" i="26" s="1"/>
  <c r="J46" i="26" a="1"/>
  <c r="J46" i="26" s="1"/>
  <c r="K46" i="26" a="1"/>
  <c r="K46" i="26" s="1"/>
  <c r="N46" i="26" a="1"/>
  <c r="N46" i="26" s="1"/>
  <c r="O46" i="26" a="1"/>
  <c r="O46" i="26" s="1"/>
  <c r="B47" i="26" a="1"/>
  <c r="B47" i="26" s="1"/>
  <c r="C47" i="26" a="1"/>
  <c r="C47" i="26"/>
  <c r="F47" i="26" a="1"/>
  <c r="F47" i="26" s="1"/>
  <c r="G47" i="26" a="1"/>
  <c r="G47" i="26" s="1"/>
  <c r="J47" i="26" a="1"/>
  <c r="J47" i="26" s="1"/>
  <c r="K47" i="26" a="1"/>
  <c r="K47" i="26" s="1"/>
  <c r="N47" i="26" a="1"/>
  <c r="N47" i="26" s="1"/>
  <c r="O47" i="26" a="1"/>
  <c r="O47" i="26" s="1"/>
  <c r="B48" i="26" a="1"/>
  <c r="B48" i="26" s="1"/>
  <c r="C48" i="26"/>
  <c r="F48" i="26"/>
  <c r="G48" i="26"/>
  <c r="J48" i="26"/>
  <c r="K48" i="26"/>
  <c r="N48" i="26"/>
  <c r="P48" i="26" s="1"/>
  <c r="O48" i="26"/>
  <c r="B49" i="26"/>
  <c r="C49" i="26"/>
  <c r="F49" i="26"/>
  <c r="H49" i="26" s="1"/>
  <c r="G49" i="26"/>
  <c r="J49" i="26"/>
  <c r="K49" i="26"/>
  <c r="N49" i="26"/>
  <c r="O49" i="26"/>
  <c r="B50" i="26"/>
  <c r="C50" i="26"/>
  <c r="F50" i="26"/>
  <c r="G50" i="26"/>
  <c r="J50" i="26"/>
  <c r="K50" i="26"/>
  <c r="N50" i="26"/>
  <c r="O50" i="26"/>
  <c r="B51" i="26"/>
  <c r="D51" i="26" s="1"/>
  <c r="C51" i="26"/>
  <c r="F51" i="26"/>
  <c r="H51" i="26" s="1"/>
  <c r="G51" i="26"/>
  <c r="J51" i="26"/>
  <c r="K51" i="26"/>
  <c r="L51" i="26"/>
  <c r="N51" i="26"/>
  <c r="O51" i="26"/>
  <c r="G47" i="28"/>
  <c r="G46" i="28"/>
  <c r="E45" i="28"/>
  <c r="D45" i="28"/>
  <c r="C45" i="28"/>
  <c r="B45" i="28"/>
  <c r="E44" i="28"/>
  <c r="D44" i="28"/>
  <c r="C44" i="28"/>
  <c r="B44" i="28"/>
  <c r="E43" i="28"/>
  <c r="D43" i="28"/>
  <c r="C43" i="28"/>
  <c r="B43" i="28"/>
  <c r="E42" i="28"/>
  <c r="D42" i="28"/>
  <c r="C42" i="28"/>
  <c r="B42" i="28"/>
  <c r="E41" i="28" a="1"/>
  <c r="E41" i="28" s="1"/>
  <c r="D41" i="28" a="1"/>
  <c r="D41" i="28" s="1"/>
  <c r="C41" i="28" a="1"/>
  <c r="C41" i="28" s="1"/>
  <c r="B41" i="28" a="1"/>
  <c r="B41" i="28" s="1"/>
  <c r="E40" i="28" a="1"/>
  <c r="E40" i="28" s="1"/>
  <c r="D40" i="28" a="1"/>
  <c r="D40" i="28" s="1"/>
  <c r="C40" i="28" a="1"/>
  <c r="C40" i="28" s="1"/>
  <c r="B40" i="28" a="1"/>
  <c r="B40" i="28" s="1"/>
  <c r="E39" i="28" a="1"/>
  <c r="E39" i="28" s="1"/>
  <c r="D39" i="28" a="1"/>
  <c r="D39" i="28" s="1"/>
  <c r="C39" i="28" a="1"/>
  <c r="C39" i="28" s="1"/>
  <c r="B39" i="28" a="1"/>
  <c r="B39" i="28" s="1"/>
  <c r="E38" i="28" a="1"/>
  <c r="E38" i="28" s="1"/>
  <c r="D38" i="28" a="1"/>
  <c r="D38" i="28" s="1"/>
  <c r="C38" i="28" a="1"/>
  <c r="C38" i="28" s="1"/>
  <c r="B38" i="28" a="1"/>
  <c r="B38" i="28" s="1"/>
  <c r="G37"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G3" i="28"/>
  <c r="O52" i="42"/>
  <c r="N52" i="42"/>
  <c r="K52" i="42"/>
  <c r="J52" i="42"/>
  <c r="O51" i="42"/>
  <c r="N51" i="42"/>
  <c r="K51" i="42"/>
  <c r="J51" i="42"/>
  <c r="O50" i="42"/>
  <c r="N50" i="42"/>
  <c r="K50" i="42"/>
  <c r="J50" i="42"/>
  <c r="O49" i="42"/>
  <c r="N49" i="42"/>
  <c r="K49" i="42"/>
  <c r="J49" i="42"/>
  <c r="O48" i="42" a="1"/>
  <c r="O48" i="42" s="1"/>
  <c r="N48" i="42" a="1"/>
  <c r="N48" i="42" s="1"/>
  <c r="K48" i="42" a="1"/>
  <c r="K48" i="42" s="1"/>
  <c r="J48" i="42" a="1"/>
  <c r="J48" i="42" s="1"/>
  <c r="O47" i="42" a="1"/>
  <c r="O47" i="42" s="1"/>
  <c r="N47" i="42" a="1"/>
  <c r="N47" i="42" s="1"/>
  <c r="K47" i="42" a="1"/>
  <c r="K47" i="42" s="1"/>
  <c r="J47" i="42" a="1"/>
  <c r="J47" i="42" s="1"/>
  <c r="O46" i="42" a="1"/>
  <c r="O46" i="42" s="1"/>
  <c r="N46" i="42" a="1"/>
  <c r="N46" i="42" s="1"/>
  <c r="K46" i="42" a="1"/>
  <c r="K46" i="42" s="1"/>
  <c r="J46" i="42" a="1"/>
  <c r="J46" i="42" s="1"/>
  <c r="O45" i="42" a="1"/>
  <c r="O45" i="42" s="1"/>
  <c r="N45" i="42" a="1"/>
  <c r="N45" i="42" s="1"/>
  <c r="K45" i="42" a="1"/>
  <c r="K45" i="42" s="1"/>
  <c r="J45" i="42" a="1"/>
  <c r="J45" i="42" s="1"/>
  <c r="O165" i="39" a="1"/>
  <c r="O165" i="39" s="1"/>
  <c r="N165" i="39" a="1"/>
  <c r="N165" i="39" s="1"/>
  <c r="K165" i="39" a="1"/>
  <c r="K165" i="39" s="1"/>
  <c r="J165" i="39" a="1"/>
  <c r="J165" i="39" s="1"/>
  <c r="L165" i="39" s="1"/>
  <c r="G165" i="39" a="1"/>
  <c r="G165" i="39" s="1"/>
  <c r="F165" i="39" a="1"/>
  <c r="F165" i="39" s="1"/>
  <c r="C165" i="39" a="1"/>
  <c r="C165" i="39" s="1"/>
  <c r="B165" i="39" a="1"/>
  <c r="B165" i="39" s="1"/>
  <c r="O164" i="39" a="1"/>
  <c r="O164" i="39" s="1"/>
  <c r="N164" i="39" a="1"/>
  <c r="N164" i="39" s="1"/>
  <c r="K164" i="39" a="1"/>
  <c r="K164" i="39" s="1"/>
  <c r="J164" i="39" a="1"/>
  <c r="J164" i="39" s="1"/>
  <c r="G164" i="39" a="1"/>
  <c r="G164" i="39" s="1"/>
  <c r="F164" i="39" a="1"/>
  <c r="F164" i="39" s="1"/>
  <c r="C164" i="39" a="1"/>
  <c r="C164" i="39" s="1"/>
  <c r="B164" i="39" a="1"/>
  <c r="B164" i="39" s="1"/>
  <c r="O163" i="39" a="1"/>
  <c r="O163" i="39" s="1"/>
  <c r="N163" i="39" a="1"/>
  <c r="N163" i="39" s="1"/>
  <c r="K163" i="39" a="1"/>
  <c r="K163" i="39" s="1"/>
  <c r="J163" i="39" a="1"/>
  <c r="J163" i="39" s="1"/>
  <c r="G163" i="39" a="1"/>
  <c r="G163" i="39" s="1"/>
  <c r="F163" i="39" a="1"/>
  <c r="F163" i="39" s="1"/>
  <c r="C163" i="39" a="1"/>
  <c r="C163" i="39" s="1"/>
  <c r="B163" i="39" a="1"/>
  <c r="B163" i="39" s="1"/>
  <c r="O162" i="39" a="1"/>
  <c r="O162" i="39" s="1"/>
  <c r="N162" i="39" a="1"/>
  <c r="N162" i="39" s="1"/>
  <c r="K162" i="39" a="1"/>
  <c r="K162" i="39" s="1"/>
  <c r="J162" i="39" a="1"/>
  <c r="J162" i="39" s="1"/>
  <c r="G162" i="39" a="1"/>
  <c r="G162" i="39" s="1"/>
  <c r="F162" i="39" a="1"/>
  <c r="F162" i="39" s="1"/>
  <c r="C162" i="39" a="1"/>
  <c r="C162" i="39" s="1"/>
  <c r="B162" i="39" a="1"/>
  <c r="B162" i="39" s="1"/>
  <c r="O160" i="39"/>
  <c r="N160" i="39"/>
  <c r="K160" i="39"/>
  <c r="J160" i="39"/>
  <c r="G160" i="39"/>
  <c r="F160" i="39"/>
  <c r="C160" i="39"/>
  <c r="B160" i="39"/>
  <c r="O159" i="39"/>
  <c r="N159" i="39"/>
  <c r="K159" i="39"/>
  <c r="J159" i="39"/>
  <c r="G159" i="39"/>
  <c r="H159" i="39" s="1"/>
  <c r="F159" i="39"/>
  <c r="C159" i="39"/>
  <c r="B159" i="39"/>
  <c r="O158" i="39"/>
  <c r="N158" i="39"/>
  <c r="K158" i="39"/>
  <c r="J158" i="39"/>
  <c r="G158" i="39"/>
  <c r="F158" i="39"/>
  <c r="C158" i="39"/>
  <c r="B158" i="39" a="1"/>
  <c r="B158" i="39" s="1"/>
  <c r="O157" i="39"/>
  <c r="P157" i="39" s="1"/>
  <c r="N157" i="39"/>
  <c r="K157" i="39"/>
  <c r="J157" i="39"/>
  <c r="G157" i="39"/>
  <c r="F157" i="39"/>
  <c r="C157" i="39"/>
  <c r="B157" i="39"/>
  <c r="O109" i="39" a="1"/>
  <c r="O109" i="39" s="1"/>
  <c r="N109" i="39" a="1"/>
  <c r="N109" i="39" s="1"/>
  <c r="K109" i="39" a="1"/>
  <c r="K109" i="39" s="1"/>
  <c r="J109" i="39" a="1"/>
  <c r="J109" i="39" s="1"/>
  <c r="G109" i="39" a="1"/>
  <c r="G109" i="39" s="1"/>
  <c r="F109" i="39" a="1"/>
  <c r="F109" i="39" s="1"/>
  <c r="C109" i="39" a="1"/>
  <c r="C109" i="39" s="1"/>
  <c r="B109" i="39" a="1"/>
  <c r="B109" i="39" s="1"/>
  <c r="O108" i="39" a="1"/>
  <c r="O108" i="39" s="1"/>
  <c r="N108" i="39" a="1"/>
  <c r="N108" i="39" s="1"/>
  <c r="K108" i="39" a="1"/>
  <c r="K108" i="39" s="1"/>
  <c r="J108" i="39" a="1"/>
  <c r="J108" i="39" s="1"/>
  <c r="G108" i="39" a="1"/>
  <c r="G108" i="39" s="1"/>
  <c r="F108" i="39" a="1"/>
  <c r="F108" i="39" s="1"/>
  <c r="C108" i="39" a="1"/>
  <c r="C108" i="39" s="1"/>
  <c r="B108" i="39" a="1"/>
  <c r="B108" i="39" s="1"/>
  <c r="O107" i="39" a="1"/>
  <c r="O107" i="39" s="1"/>
  <c r="N107" i="39" a="1"/>
  <c r="N107" i="39" s="1"/>
  <c r="K107" i="39" a="1"/>
  <c r="K107" i="39" s="1"/>
  <c r="J107" i="39" a="1"/>
  <c r="J107" i="39" s="1"/>
  <c r="G107" i="39" a="1"/>
  <c r="G107" i="39" s="1"/>
  <c r="F107" i="39" a="1"/>
  <c r="F107" i="39" s="1"/>
  <c r="C107" i="39" a="1"/>
  <c r="C107" i="39" s="1"/>
  <c r="B107" i="39" a="1"/>
  <c r="B107" i="39" s="1"/>
  <c r="O106" i="39" a="1"/>
  <c r="O106" i="39" s="1"/>
  <c r="N106" i="39" a="1"/>
  <c r="N106" i="39" s="1"/>
  <c r="K106" i="39" a="1"/>
  <c r="K106" i="39" s="1"/>
  <c r="J106" i="39" a="1"/>
  <c r="J106" i="39" s="1"/>
  <c r="G106" i="39" a="1"/>
  <c r="G106" i="39" s="1"/>
  <c r="F106" i="39" a="1"/>
  <c r="F106" i="39" s="1"/>
  <c r="C106" i="39" a="1"/>
  <c r="C106" i="39" s="1"/>
  <c r="B106" i="39" a="1"/>
  <c r="B106" i="39" s="1"/>
  <c r="O104" i="39"/>
  <c r="N104" i="39"/>
  <c r="K104" i="39"/>
  <c r="J104" i="39"/>
  <c r="G104" i="39"/>
  <c r="F104" i="39"/>
  <c r="C104" i="39"/>
  <c r="B104" i="39"/>
  <c r="O103" i="39"/>
  <c r="N103" i="39"/>
  <c r="K103" i="39"/>
  <c r="J103" i="39"/>
  <c r="G103" i="39"/>
  <c r="F103" i="39"/>
  <c r="C103" i="39"/>
  <c r="B103" i="39" a="1"/>
  <c r="B103" i="39" s="1"/>
  <c r="O102" i="39"/>
  <c r="N102" i="39"/>
  <c r="K102" i="39"/>
  <c r="J102" i="39"/>
  <c r="L102" i="39" s="1"/>
  <c r="G102" i="39"/>
  <c r="F102" i="39"/>
  <c r="C102" i="39"/>
  <c r="B102" i="39"/>
  <c r="O101" i="39"/>
  <c r="N101" i="39"/>
  <c r="K101" i="39"/>
  <c r="J101" i="39"/>
  <c r="G101" i="39"/>
  <c r="F101" i="39"/>
  <c r="C101" i="39"/>
  <c r="B101" i="39"/>
  <c r="P49" i="39"/>
  <c r="L49" i="39"/>
  <c r="H49" i="39"/>
  <c r="D49" i="39"/>
  <c r="P44" i="39"/>
  <c r="L44" i="39"/>
  <c r="H44" i="39"/>
  <c r="D44" i="39"/>
  <c r="P43" i="39"/>
  <c r="L43" i="39"/>
  <c r="H43" i="39"/>
  <c r="D43" i="39"/>
  <c r="P41" i="39"/>
  <c r="L41" i="39"/>
  <c r="H41" i="39"/>
  <c r="D41" i="39"/>
  <c r="P40" i="39"/>
  <c r="L40" i="39"/>
  <c r="H40" i="39"/>
  <c r="D40" i="39"/>
  <c r="P39" i="39"/>
  <c r="L39" i="39"/>
  <c r="H39" i="39"/>
  <c r="D39" i="39"/>
  <c r="P38" i="39"/>
  <c r="L38" i="39"/>
  <c r="H38" i="39"/>
  <c r="D38" i="39"/>
  <c r="P37" i="39"/>
  <c r="L37" i="39"/>
  <c r="H37" i="39"/>
  <c r="D37" i="39"/>
  <c r="P36" i="39"/>
  <c r="L36" i="39"/>
  <c r="H36" i="39"/>
  <c r="D36" i="39"/>
  <c r="P35" i="39"/>
  <c r="L35" i="39"/>
  <c r="H35" i="39"/>
  <c r="D35" i="39"/>
  <c r="P34" i="39"/>
  <c r="L34" i="39"/>
  <c r="H34" i="39"/>
  <c r="D34" i="39"/>
  <c r="P33" i="39"/>
  <c r="L33" i="39"/>
  <c r="H33" i="39"/>
  <c r="D33" i="39"/>
  <c r="P32" i="39"/>
  <c r="L32" i="39"/>
  <c r="H32" i="39"/>
  <c r="D32" i="39"/>
  <c r="P31" i="39"/>
  <c r="L31" i="39"/>
  <c r="H31" i="39"/>
  <c r="D31" i="39"/>
  <c r="P30" i="39"/>
  <c r="L30" i="39"/>
  <c r="H30" i="39"/>
  <c r="D30" i="39"/>
  <c r="P29" i="39"/>
  <c r="L29" i="39"/>
  <c r="H29" i="39"/>
  <c r="D29" i="39"/>
  <c r="P28" i="39"/>
  <c r="L28" i="39"/>
  <c r="H28" i="39"/>
  <c r="D28" i="39"/>
  <c r="P27" i="39"/>
  <c r="L27" i="39"/>
  <c r="H27" i="39"/>
  <c r="D27" i="39"/>
  <c r="P26" i="39"/>
  <c r="L26" i="39"/>
  <c r="H26" i="39"/>
  <c r="D26" i="39"/>
  <c r="P25" i="39"/>
  <c r="L25" i="39"/>
  <c r="H25" i="39"/>
  <c r="D25" i="39"/>
  <c r="P24" i="39"/>
  <c r="L24" i="39"/>
  <c r="H24" i="39"/>
  <c r="D24" i="39"/>
  <c r="P23" i="39"/>
  <c r="L23" i="39"/>
  <c r="H23" i="39"/>
  <c r="D23" i="39"/>
  <c r="P22" i="39"/>
  <c r="L22" i="39"/>
  <c r="H22" i="39"/>
  <c r="D22" i="39"/>
  <c r="P21" i="39"/>
  <c r="L21" i="39"/>
  <c r="H21" i="39"/>
  <c r="D21" i="39"/>
  <c r="P20" i="39"/>
  <c r="L20" i="39"/>
  <c r="H20" i="39"/>
  <c r="D20" i="39"/>
  <c r="P19" i="39"/>
  <c r="L19" i="39"/>
  <c r="H19" i="39"/>
  <c r="D19" i="39"/>
  <c r="P18" i="39"/>
  <c r="L18" i="39"/>
  <c r="H18" i="39"/>
  <c r="D18" i="39"/>
  <c r="P17" i="39"/>
  <c r="L17" i="39"/>
  <c r="H17" i="39"/>
  <c r="D17" i="39"/>
  <c r="P16" i="39"/>
  <c r="L16" i="39"/>
  <c r="H16" i="39"/>
  <c r="D16" i="39"/>
  <c r="P15" i="39"/>
  <c r="L15" i="39"/>
  <c r="H15" i="39"/>
  <c r="D15" i="39"/>
  <c r="P14" i="39"/>
  <c r="L14" i="39"/>
  <c r="H14" i="39"/>
  <c r="D14" i="39"/>
  <c r="P13" i="39"/>
  <c r="L13" i="39"/>
  <c r="H13" i="39"/>
  <c r="D13" i="39"/>
  <c r="P12" i="39"/>
  <c r="L12" i="39"/>
  <c r="H12" i="39"/>
  <c r="D12" i="39"/>
  <c r="P11" i="39"/>
  <c r="L11" i="39"/>
  <c r="H11" i="39"/>
  <c r="D11" i="39"/>
  <c r="P10" i="39"/>
  <c r="L10" i="39"/>
  <c r="H10" i="39"/>
  <c r="D10" i="39"/>
  <c r="P9" i="39"/>
  <c r="L9" i="39"/>
  <c r="H9" i="39"/>
  <c r="D9" i="39"/>
  <c r="O51" i="21"/>
  <c r="N51" i="21"/>
  <c r="P51" i="21" s="1"/>
  <c r="K51" i="21"/>
  <c r="J51" i="21"/>
  <c r="O50" i="21"/>
  <c r="N50" i="21"/>
  <c r="K50" i="21"/>
  <c r="J50" i="21"/>
  <c r="O49" i="21"/>
  <c r="N49" i="21"/>
  <c r="K49" i="21"/>
  <c r="J49" i="21"/>
  <c r="O48" i="21"/>
  <c r="N48" i="21"/>
  <c r="K48" i="21"/>
  <c r="J48" i="21"/>
  <c r="O47" i="21" a="1"/>
  <c r="O47" i="21" s="1"/>
  <c r="N47" i="21" a="1"/>
  <c r="N47" i="21" s="1"/>
  <c r="P47" i="21" s="1"/>
  <c r="K47" i="21" a="1"/>
  <c r="K47" i="21" s="1"/>
  <c r="J47" i="21" a="1"/>
  <c r="J47" i="21" s="1"/>
  <c r="O46" i="21" a="1"/>
  <c r="O46" i="21" s="1"/>
  <c r="N46" i="21" a="1"/>
  <c r="N46" i="21" s="1"/>
  <c r="K46" i="21" a="1"/>
  <c r="K46" i="21" s="1"/>
  <c r="J46" i="21" a="1"/>
  <c r="J46" i="21" s="1"/>
  <c r="O45" i="21" a="1"/>
  <c r="O45" i="21" s="1"/>
  <c r="N45" i="21" a="1"/>
  <c r="N45" i="21" s="1"/>
  <c r="K45" i="21" a="1"/>
  <c r="K45" i="21" s="1"/>
  <c r="J45" i="21" a="1"/>
  <c r="J45" i="21" s="1"/>
  <c r="O44" i="21" a="1"/>
  <c r="O44" i="21" s="1"/>
  <c r="N44" i="21" a="1"/>
  <c r="N44" i="21" s="1"/>
  <c r="K44" i="21" a="1"/>
  <c r="K44" i="21" s="1"/>
  <c r="J44" i="21" a="1"/>
  <c r="J44" i="21" s="1"/>
  <c r="O51" i="3"/>
  <c r="N51" i="3"/>
  <c r="P51" i="3" s="1"/>
  <c r="K51" i="3"/>
  <c r="J51" i="3"/>
  <c r="O50" i="3"/>
  <c r="N50" i="3"/>
  <c r="P50" i="3" s="1"/>
  <c r="K50" i="3"/>
  <c r="J50" i="3"/>
  <c r="O49" i="3"/>
  <c r="N49" i="3"/>
  <c r="P49" i="3" s="1"/>
  <c r="K49" i="3"/>
  <c r="J49" i="3"/>
  <c r="O48" i="3"/>
  <c r="N48" i="3"/>
  <c r="K48" i="3"/>
  <c r="J48" i="3"/>
  <c r="O47" i="3" a="1"/>
  <c r="O47" i="3" s="1"/>
  <c r="N47" i="3" a="1"/>
  <c r="N47" i="3" s="1"/>
  <c r="P47" i="3" s="1"/>
  <c r="K47" i="3" a="1"/>
  <c r="K47" i="3" s="1"/>
  <c r="J47" i="3" a="1"/>
  <c r="J47" i="3" s="1"/>
  <c r="O46" i="3" a="1"/>
  <c r="O46" i="3" s="1"/>
  <c r="N46" i="3" a="1"/>
  <c r="N46" i="3" s="1"/>
  <c r="P46" i="3" s="1"/>
  <c r="K46" i="3" a="1"/>
  <c r="K46" i="3" s="1"/>
  <c r="J46" i="3" a="1"/>
  <c r="J46" i="3" s="1"/>
  <c r="O45" i="3" a="1"/>
  <c r="O45" i="3" s="1"/>
  <c r="N45" i="3" a="1"/>
  <c r="N45" i="3" s="1"/>
  <c r="K45" i="3" a="1"/>
  <c r="K45" i="3" s="1"/>
  <c r="J45" i="3" a="1"/>
  <c r="J45" i="3" s="1"/>
  <c r="O44" i="3" a="1"/>
  <c r="O44" i="3" s="1"/>
  <c r="N44" i="3" a="1"/>
  <c r="N44" i="3" s="1"/>
  <c r="K44" i="3" a="1"/>
  <c r="K44" i="3" s="1"/>
  <c r="J44" i="3" a="1"/>
  <c r="J44" i="3" s="1"/>
  <c r="O51" i="33"/>
  <c r="N51" i="33"/>
  <c r="K51" i="33"/>
  <c r="J51" i="33"/>
  <c r="G51" i="33"/>
  <c r="F51" i="33"/>
  <c r="C51" i="33"/>
  <c r="O50" i="33"/>
  <c r="N50" i="33"/>
  <c r="K50" i="33"/>
  <c r="J50" i="33"/>
  <c r="G50" i="33"/>
  <c r="F50" i="33"/>
  <c r="C50" i="33"/>
  <c r="O49" i="33"/>
  <c r="N49" i="33"/>
  <c r="K49" i="33"/>
  <c r="J49" i="33"/>
  <c r="G49" i="33"/>
  <c r="F49" i="33"/>
  <c r="C49" i="33"/>
  <c r="O48" i="33"/>
  <c r="N48" i="33"/>
  <c r="H18" i="34" s="1" a="1"/>
  <c r="H18" i="34" s="1"/>
  <c r="K48" i="33"/>
  <c r="J48" i="33"/>
  <c r="G48" i="33"/>
  <c r="F48" i="33"/>
  <c r="C48" i="33"/>
  <c r="O51" i="20"/>
  <c r="N51" i="20"/>
  <c r="K51" i="20"/>
  <c r="J51" i="20"/>
  <c r="G51" i="20"/>
  <c r="H51" i="20" s="1"/>
  <c r="F51" i="20"/>
  <c r="C51" i="20"/>
  <c r="B51" i="20"/>
  <c r="O50" i="20"/>
  <c r="N50" i="20"/>
  <c r="K50" i="20"/>
  <c r="J50" i="20"/>
  <c r="G50" i="20"/>
  <c r="F50" i="20"/>
  <c r="C50" i="20"/>
  <c r="B50" i="20"/>
  <c r="O49" i="20"/>
  <c r="N49" i="20"/>
  <c r="K49" i="20"/>
  <c r="J49" i="20"/>
  <c r="G49" i="20"/>
  <c r="F49" i="20"/>
  <c r="C49" i="20"/>
  <c r="B49" i="20"/>
  <c r="O48" i="20"/>
  <c r="N48" i="20"/>
  <c r="K48" i="20"/>
  <c r="J48" i="20"/>
  <c r="G48" i="20"/>
  <c r="F48" i="20"/>
  <c r="C48" i="20"/>
  <c r="B48" i="20" a="1"/>
  <c r="B48" i="20" s="1"/>
  <c r="O47" i="20" a="1"/>
  <c r="O47" i="20" s="1"/>
  <c r="N47" i="20" a="1"/>
  <c r="N47" i="20" s="1"/>
  <c r="K47" i="20" a="1"/>
  <c r="K47" i="20" s="1"/>
  <c r="J47" i="20" a="1"/>
  <c r="J47" i="20" s="1"/>
  <c r="G47" i="20" a="1"/>
  <c r="G47" i="20" s="1"/>
  <c r="F47" i="20" a="1"/>
  <c r="F47" i="20" s="1"/>
  <c r="C47" i="20" a="1"/>
  <c r="C47" i="20" s="1"/>
  <c r="B47" i="20" a="1"/>
  <c r="B47" i="20" s="1"/>
  <c r="O46" i="20" a="1"/>
  <c r="O46" i="20" s="1"/>
  <c r="N46" i="20" a="1"/>
  <c r="N46" i="20" s="1"/>
  <c r="K46" i="20" a="1"/>
  <c r="K46" i="20" s="1"/>
  <c r="J46" i="20" a="1"/>
  <c r="J46" i="20" s="1"/>
  <c r="G46" i="20" a="1"/>
  <c r="G46" i="20" s="1"/>
  <c r="F46" i="20" a="1"/>
  <c r="F46" i="20" s="1"/>
  <c r="C46" i="20" a="1"/>
  <c r="C46" i="20" s="1"/>
  <c r="B46" i="20" a="1"/>
  <c r="B46" i="20" s="1"/>
  <c r="O45" i="20" a="1"/>
  <c r="O45" i="20" s="1"/>
  <c r="N45" i="20" a="1"/>
  <c r="N45" i="20" s="1"/>
  <c r="K45" i="20" a="1"/>
  <c r="K45" i="20" s="1"/>
  <c r="J45" i="20" a="1"/>
  <c r="J45" i="20" s="1"/>
  <c r="G45" i="20" a="1"/>
  <c r="G45" i="20" s="1"/>
  <c r="F45" i="20" a="1"/>
  <c r="F45" i="20" s="1"/>
  <c r="C45" i="20" a="1"/>
  <c r="C45" i="20" s="1"/>
  <c r="B45" i="20" a="1"/>
  <c r="B45" i="20" s="1"/>
  <c r="O44" i="20" a="1"/>
  <c r="O44" i="20" s="1"/>
  <c r="N44" i="20" a="1"/>
  <c r="N44" i="20" s="1"/>
  <c r="K44" i="20" a="1"/>
  <c r="K44" i="20" s="1"/>
  <c r="J44" i="20" a="1"/>
  <c r="J44" i="20" s="1"/>
  <c r="G44" i="20" a="1"/>
  <c r="G44" i="20" s="1"/>
  <c r="F44" i="20" a="1"/>
  <c r="F44" i="20" s="1"/>
  <c r="C44" i="20" a="1"/>
  <c r="C44" i="20" s="1"/>
  <c r="B44" i="20" a="1"/>
  <c r="B44" i="20" s="1"/>
  <c r="O51" i="19"/>
  <c r="N51" i="19"/>
  <c r="K51" i="19"/>
  <c r="J51" i="19"/>
  <c r="L51" i="19" s="1"/>
  <c r="G51" i="19"/>
  <c r="F51" i="19"/>
  <c r="H51" i="19" s="1"/>
  <c r="C51" i="19"/>
  <c r="B51" i="19"/>
  <c r="O50" i="19"/>
  <c r="N50" i="19"/>
  <c r="K50" i="19"/>
  <c r="L50" i="19" s="1"/>
  <c r="J50" i="19"/>
  <c r="G50" i="19"/>
  <c r="F50" i="19"/>
  <c r="H50" i="19" s="1"/>
  <c r="C50" i="19"/>
  <c r="B50" i="19"/>
  <c r="O49" i="19"/>
  <c r="N49" i="19"/>
  <c r="K49" i="19"/>
  <c r="J49" i="19"/>
  <c r="L49" i="19" s="1"/>
  <c r="G49" i="19"/>
  <c r="F49" i="19"/>
  <c r="C49" i="19"/>
  <c r="B49" i="19"/>
  <c r="O48" i="19"/>
  <c r="N48" i="19"/>
  <c r="K48" i="19"/>
  <c r="L48" i="19" s="1"/>
  <c r="J48" i="19"/>
  <c r="G48" i="19"/>
  <c r="F48" i="19"/>
  <c r="C48" i="19"/>
  <c r="B48" i="19" a="1"/>
  <c r="B48" i="19" s="1"/>
  <c r="D48" i="19" s="1"/>
  <c r="O47" i="19" a="1"/>
  <c r="O47" i="19" s="1"/>
  <c r="N47" i="19" a="1"/>
  <c r="N47" i="19" s="1"/>
  <c r="K47" i="19" a="1"/>
  <c r="K47" i="19" s="1"/>
  <c r="J47" i="19" a="1"/>
  <c r="J47" i="19" s="1"/>
  <c r="G47" i="19" a="1"/>
  <c r="G47" i="19" s="1"/>
  <c r="F47" i="19" a="1"/>
  <c r="F47" i="19" s="1"/>
  <c r="C47" i="19" a="1"/>
  <c r="C47" i="19" s="1"/>
  <c r="O46" i="19" a="1"/>
  <c r="O46" i="19" s="1"/>
  <c r="N46" i="19" a="1"/>
  <c r="N46" i="19" s="1"/>
  <c r="K46" i="19" a="1"/>
  <c r="K46" i="19" s="1"/>
  <c r="J46" i="19" a="1"/>
  <c r="J46" i="19" s="1"/>
  <c r="L46" i="19" s="1"/>
  <c r="G46" i="19" a="1"/>
  <c r="G46" i="19" s="1"/>
  <c r="F46" i="19" a="1"/>
  <c r="F46" i="19" s="1"/>
  <c r="C46" i="19" a="1"/>
  <c r="C46" i="19" s="1"/>
  <c r="D46" i="19" s="1"/>
  <c r="O45" i="19" a="1"/>
  <c r="O45" i="19" s="1"/>
  <c r="N45" i="19" a="1"/>
  <c r="N45" i="19" s="1"/>
  <c r="K45" i="19" a="1"/>
  <c r="K45" i="19" s="1"/>
  <c r="J45" i="19" a="1"/>
  <c r="J45" i="19" s="1"/>
  <c r="G45" i="19"/>
  <c r="G45" i="19" a="1"/>
  <c r="F45" i="19" a="1"/>
  <c r="F45" i="19" s="1"/>
  <c r="C45" i="19" a="1"/>
  <c r="C45" i="19" s="1"/>
  <c r="D45" i="19"/>
  <c r="O44" i="19" a="1"/>
  <c r="O44" i="19" s="1"/>
  <c r="N44" i="19" a="1"/>
  <c r="N44" i="19" s="1"/>
  <c r="K44" i="19" a="1"/>
  <c r="K44" i="19" s="1"/>
  <c r="J44" i="19"/>
  <c r="J44" i="19" a="1"/>
  <c r="G44" i="19" a="1"/>
  <c r="G44" i="19" s="1"/>
  <c r="F44" i="19" a="1"/>
  <c r="F44" i="19" s="1"/>
  <c r="C44" i="19" a="1"/>
  <c r="C44" i="19" s="1"/>
  <c r="B44" i="19" a="1"/>
  <c r="B44" i="19" s="1"/>
  <c r="G13" i="12"/>
  <c r="E30" i="12"/>
  <c r="P44" i="3" l="1"/>
  <c r="G41" i="28"/>
  <c r="G43" i="28"/>
  <c r="G45" i="28"/>
  <c r="G44" i="28"/>
  <c r="G39" i="28"/>
  <c r="G42" i="28"/>
  <c r="G38" i="28"/>
  <c r="G40" i="28"/>
  <c r="D109" i="39"/>
  <c r="D108" i="39"/>
  <c r="H157" i="39"/>
  <c r="H109" i="39"/>
  <c r="D101" i="39"/>
  <c r="D102" i="39"/>
  <c r="D104" i="39"/>
  <c r="D107" i="39"/>
  <c r="P106" i="39"/>
  <c r="P103" i="39"/>
  <c r="H103" i="39"/>
  <c r="H47" i="39" s="1"/>
  <c r="H104" i="39"/>
  <c r="H107" i="39"/>
  <c r="L101" i="39"/>
  <c r="L106" i="39"/>
  <c r="L108" i="39"/>
  <c r="D106" i="39"/>
  <c r="D50" i="39" s="1"/>
  <c r="P101" i="39"/>
  <c r="P45" i="39" s="1"/>
  <c r="P102" i="39"/>
  <c r="P107" i="39"/>
  <c r="H108" i="39"/>
  <c r="H52" i="39" s="1"/>
  <c r="D103" i="39"/>
  <c r="L104" i="39"/>
  <c r="L48" i="39" s="1"/>
  <c r="H102" i="39"/>
  <c r="H106" i="39"/>
  <c r="H50" i="39" s="1"/>
  <c r="L109" i="39"/>
  <c r="L53" i="39" s="1"/>
  <c r="P104" i="39"/>
  <c r="H101" i="39"/>
  <c r="L107" i="39"/>
  <c r="P108" i="39"/>
  <c r="L103" i="39"/>
  <c r="P109" i="39"/>
  <c r="P164" i="39"/>
  <c r="P165" i="39"/>
  <c r="L157" i="39"/>
  <c r="L158" i="39"/>
  <c r="L46" i="39" s="1"/>
  <c r="L159" i="39"/>
  <c r="L160" i="39"/>
  <c r="L162" i="39"/>
  <c r="P158" i="39"/>
  <c r="P159" i="39"/>
  <c r="P160" i="39"/>
  <c r="P162" i="39"/>
  <c r="L164" i="39"/>
  <c r="H158" i="39"/>
  <c r="H160" i="39"/>
  <c r="H162" i="39"/>
  <c r="H164" i="39"/>
  <c r="H165" i="39"/>
  <c r="H53" i="39" s="1"/>
  <c r="D164" i="39"/>
  <c r="D52" i="39" s="1"/>
  <c r="D157" i="39"/>
  <c r="D158" i="39"/>
  <c r="D159" i="39"/>
  <c r="D160" i="39"/>
  <c r="D162" i="39"/>
  <c r="D163" i="39"/>
  <c r="D165" i="39"/>
  <c r="D53" i="39" s="1"/>
  <c r="P47" i="20"/>
  <c r="P48" i="20"/>
  <c r="P49" i="20"/>
  <c r="L48" i="20"/>
  <c r="P48" i="19"/>
  <c r="P49" i="19"/>
  <c r="P50" i="19"/>
  <c r="P44" i="19"/>
  <c r="P46" i="19"/>
  <c r="P51" i="19"/>
  <c r="L45" i="19"/>
  <c r="H46" i="19"/>
  <c r="H44" i="19"/>
  <c r="D44" i="19"/>
  <c r="H47" i="19"/>
  <c r="H45" i="19"/>
  <c r="H48" i="19"/>
  <c r="D49" i="19"/>
  <c r="L44" i="19"/>
  <c r="L47" i="19"/>
  <c r="D50" i="19"/>
  <c r="H49" i="19"/>
  <c r="D51" i="19"/>
  <c r="P47" i="26"/>
  <c r="P44" i="26"/>
  <c r="L50" i="26"/>
  <c r="L49" i="26"/>
  <c r="H50" i="26"/>
  <c r="H48" i="26"/>
  <c r="L47" i="26"/>
  <c r="H44" i="26"/>
  <c r="H47" i="26"/>
  <c r="P50" i="26"/>
  <c r="D49" i="26"/>
  <c r="H45" i="26"/>
  <c r="P51" i="26"/>
  <c r="P49" i="26"/>
  <c r="D48" i="26"/>
  <c r="D47" i="26"/>
  <c r="D50" i="26"/>
  <c r="L46" i="26"/>
  <c r="D45" i="26"/>
  <c r="L48" i="26"/>
  <c r="P46" i="26"/>
  <c r="D44" i="26"/>
  <c r="H52" i="1"/>
  <c r="L48" i="3"/>
  <c r="L51" i="3"/>
  <c r="L49" i="3"/>
  <c r="L50" i="3"/>
  <c r="L44" i="3"/>
  <c r="L46" i="21"/>
  <c r="P46" i="21"/>
  <c r="L50" i="21"/>
  <c r="L51" i="21"/>
  <c r="P48" i="21"/>
  <c r="L48" i="21"/>
  <c r="L45" i="21"/>
  <c r="L44" i="21"/>
  <c r="L49" i="21"/>
  <c r="P49" i="21"/>
  <c r="P44" i="21"/>
  <c r="P50" i="21"/>
  <c r="P45" i="21"/>
  <c r="L47" i="21"/>
  <c r="P49" i="33"/>
  <c r="D51" i="33"/>
  <c r="H48" i="33"/>
  <c r="E18" i="34" s="1" a="1"/>
  <c r="E18" i="34" s="1"/>
  <c r="H50" i="33"/>
  <c r="H51" i="33"/>
  <c r="P45" i="42"/>
  <c r="P49" i="42"/>
  <c r="P51" i="42"/>
  <c r="L46" i="42"/>
  <c r="L52" i="42"/>
  <c r="L49" i="42"/>
  <c r="L51" i="42"/>
  <c r="P46" i="42"/>
  <c r="P48" i="42"/>
  <c r="P52" i="42"/>
  <c r="L45" i="1"/>
  <c r="L49" i="1"/>
  <c r="L51" i="1"/>
  <c r="L48" i="33"/>
  <c r="F18" i="34" s="1" a="1"/>
  <c r="F18" i="34" s="1"/>
  <c r="L51" i="33"/>
  <c r="D48" i="33"/>
  <c r="D18" i="34" s="1" a="1"/>
  <c r="D18" i="34" s="1"/>
  <c r="D49" i="33"/>
  <c r="L50" i="33"/>
  <c r="D50" i="33"/>
  <c r="L49" i="33"/>
  <c r="P48" i="33"/>
  <c r="G18" i="34" s="1" a="1"/>
  <c r="G18" i="34" s="1"/>
  <c r="I18" i="34" s="1"/>
  <c r="P51" i="33"/>
  <c r="P50" i="33"/>
  <c r="H49" i="33"/>
  <c r="P47" i="1"/>
  <c r="P51" i="1"/>
  <c r="P49" i="1"/>
  <c r="H48" i="1"/>
  <c r="D49" i="1"/>
  <c r="D50" i="1"/>
  <c r="D51" i="1"/>
  <c r="D52" i="1"/>
  <c r="P48" i="1"/>
  <c r="L50" i="1"/>
  <c r="H47" i="1"/>
  <c r="P50" i="1"/>
  <c r="P52" i="1"/>
  <c r="P46" i="1"/>
  <c r="L46" i="1"/>
  <c r="L48" i="1"/>
  <c r="H49" i="1"/>
  <c r="H45" i="1"/>
  <c r="P45" i="1"/>
  <c r="H50" i="1"/>
  <c r="H51" i="1"/>
  <c r="D45" i="1"/>
  <c r="D47" i="1"/>
  <c r="L46" i="3"/>
  <c r="L47" i="3"/>
  <c r="L45" i="3"/>
  <c r="P48" i="3"/>
  <c r="H45" i="20"/>
  <c r="H47" i="20"/>
  <c r="H50" i="20"/>
  <c r="L44" i="20"/>
  <c r="L46" i="20"/>
  <c r="L50" i="20"/>
  <c r="L45" i="20"/>
  <c r="H46" i="20"/>
  <c r="D48" i="20"/>
  <c r="D50" i="20"/>
  <c r="P50" i="20"/>
  <c r="P51" i="20"/>
  <c r="H48" i="20"/>
  <c r="H49" i="20"/>
  <c r="D44" i="20"/>
  <c r="H44" i="20"/>
  <c r="D45" i="20"/>
  <c r="P45" i="20"/>
  <c r="L47" i="20"/>
  <c r="L49" i="20"/>
  <c r="D46" i="20"/>
  <c r="L51" i="20"/>
  <c r="D47" i="20"/>
  <c r="D49" i="20"/>
  <c r="D51" i="20"/>
  <c r="P50" i="42"/>
  <c r="L48" i="42"/>
  <c r="P47" i="42"/>
  <c r="L45" i="42"/>
  <c r="L50" i="42"/>
  <c r="D48" i="1"/>
  <c r="D46" i="1"/>
  <c r="H46" i="1"/>
  <c r="L47" i="1"/>
  <c r="L44" i="26"/>
  <c r="H46" i="26"/>
  <c r="D46" i="26"/>
  <c r="L47" i="42"/>
  <c r="P163" i="39"/>
  <c r="L52" i="39"/>
  <c r="H163" i="39"/>
  <c r="L163" i="39"/>
  <c r="P45" i="3"/>
  <c r="P46" i="20"/>
  <c r="P44" i="20"/>
  <c r="D47" i="19"/>
  <c r="P47" i="19"/>
  <c r="P45" i="19"/>
  <c r="D26" i="119"/>
  <c r="H57" i="86" a="1"/>
  <c r="H57" i="86" s="1"/>
  <c r="O8" i="86" s="1"/>
  <c r="A58" i="86"/>
  <c r="A59" i="86"/>
  <c r="A60" i="86"/>
  <c r="A61" i="86"/>
  <c r="A62" i="86"/>
  <c r="A63" i="86"/>
  <c r="A64" i="86"/>
  <c r="A65" i="86"/>
  <c r="A66" i="86"/>
  <c r="A67" i="86"/>
  <c r="A68" i="86"/>
  <c r="A69" i="86"/>
  <c r="A70" i="86"/>
  <c r="A71" i="86"/>
  <c r="A72" i="86"/>
  <c r="A73" i="86"/>
  <c r="A74" i="86"/>
  <c r="A75" i="86"/>
  <c r="A76" i="86"/>
  <c r="A77" i="86"/>
  <c r="A78" i="86"/>
  <c r="A79" i="86"/>
  <c r="A80" i="86"/>
  <c r="A81" i="86"/>
  <c r="A82" i="86"/>
  <c r="A83" i="86"/>
  <c r="A84" i="86"/>
  <c r="A85" i="86"/>
  <c r="A86" i="86"/>
  <c r="A87" i="86"/>
  <c r="A88" i="86"/>
  <c r="A89" i="86"/>
  <c r="A90" i="86"/>
  <c r="A91" i="86"/>
  <c r="A92" i="86"/>
  <c r="A93" i="86"/>
  <c r="A94" i="86"/>
  <c r="A95" i="86"/>
  <c r="A96" i="86"/>
  <c r="A97" i="86"/>
  <c r="A98" i="86"/>
  <c r="A99" i="86"/>
  <c r="A100" i="86"/>
  <c r="A101" i="86"/>
  <c r="A102" i="86"/>
  <c r="A103" i="86"/>
  <c r="A104" i="86"/>
  <c r="A105" i="86"/>
  <c r="A106" i="86"/>
  <c r="A107" i="86"/>
  <c r="A108" i="86"/>
  <c r="A109" i="86"/>
  <c r="A110" i="86"/>
  <c r="A111" i="86"/>
  <c r="A112" i="86"/>
  <c r="A113" i="86"/>
  <c r="A114" i="86"/>
  <c r="A115" i="86"/>
  <c r="A116" i="86"/>
  <c r="A117" i="86"/>
  <c r="A118" i="86"/>
  <c r="A119" i="86"/>
  <c r="A120" i="86"/>
  <c r="A121" i="86"/>
  <c r="A122" i="86"/>
  <c r="A123" i="86"/>
  <c r="A124" i="86"/>
  <c r="A125" i="86"/>
  <c r="A126" i="86"/>
  <c r="A127" i="86"/>
  <c r="A128" i="86"/>
  <c r="A129" i="86"/>
  <c r="A130" i="86"/>
  <c r="A131" i="86"/>
  <c r="A132" i="86"/>
  <c r="A133" i="86"/>
  <c r="A134" i="86"/>
  <c r="A135" i="86"/>
  <c r="A136" i="86"/>
  <c r="A137" i="86"/>
  <c r="A138" i="86"/>
  <c r="A139" i="86"/>
  <c r="A140" i="86"/>
  <c r="A141" i="86"/>
  <c r="A142" i="86"/>
  <c r="A143" i="86"/>
  <c r="A144" i="86"/>
  <c r="A145" i="86"/>
  <c r="A146" i="86"/>
  <c r="A147" i="86"/>
  <c r="A148" i="86"/>
  <c r="A149" i="86"/>
  <c r="A150" i="86"/>
  <c r="A151" i="86"/>
  <c r="A152" i="86"/>
  <c r="A153" i="86"/>
  <c r="A154" i="86"/>
  <c r="A155" i="86"/>
  <c r="A156" i="86"/>
  <c r="A157" i="86"/>
  <c r="A158" i="86"/>
  <c r="A159" i="86"/>
  <c r="A160" i="86"/>
  <c r="A161" i="86"/>
  <c r="A162" i="86"/>
  <c r="A163" i="86"/>
  <c r="A164" i="86"/>
  <c r="A165" i="86"/>
  <c r="A166" i="86"/>
  <c r="A167" i="86"/>
  <c r="A168" i="86"/>
  <c r="A169" i="86"/>
  <c r="A170" i="86"/>
  <c r="A171" i="86"/>
  <c r="A172" i="86"/>
  <c r="A173" i="86"/>
  <c r="A174" i="86"/>
  <c r="A175" i="86"/>
  <c r="A176" i="86"/>
  <c r="A177" i="86"/>
  <c r="A178" i="86"/>
  <c r="A179" i="86"/>
  <c r="A180" i="86"/>
  <c r="A181" i="86"/>
  <c r="A182" i="86"/>
  <c r="A183" i="86"/>
  <c r="A184" i="86"/>
  <c r="A185" i="86"/>
  <c r="A186" i="86"/>
  <c r="A187" i="86"/>
  <c r="A188" i="86"/>
  <c r="A189" i="86"/>
  <c r="A190" i="86"/>
  <c r="A191" i="86"/>
  <c r="A192" i="86"/>
  <c r="A193" i="86"/>
  <c r="A194" i="86"/>
  <c r="A195" i="86"/>
  <c r="A196" i="86"/>
  <c r="A197" i="86"/>
  <c r="A198" i="86"/>
  <c r="A199" i="86"/>
  <c r="A200" i="86"/>
  <c r="A201" i="86"/>
  <c r="A202" i="86"/>
  <c r="A203" i="86"/>
  <c r="A204" i="86"/>
  <c r="A205" i="86"/>
  <c r="A206" i="86"/>
  <c r="A207" i="86"/>
  <c r="A208" i="86"/>
  <c r="A209" i="86"/>
  <c r="A210" i="86"/>
  <c r="A211" i="86"/>
  <c r="A212" i="86"/>
  <c r="A213" i="86"/>
  <c r="A214" i="86"/>
  <c r="A215" i="86"/>
  <c r="A216" i="86"/>
  <c r="A217" i="86"/>
  <c r="A218" i="86"/>
  <c r="A219" i="86"/>
  <c r="A220" i="86"/>
  <c r="A221" i="86"/>
  <c r="A222" i="86"/>
  <c r="A223" i="86"/>
  <c r="A224" i="86"/>
  <c r="A225" i="86"/>
  <c r="A226" i="86"/>
  <c r="A227" i="86"/>
  <c r="A228" i="86"/>
  <c r="A229" i="86"/>
  <c r="A230" i="86"/>
  <c r="A231" i="86"/>
  <c r="A232" i="86"/>
  <c r="A233" i="86"/>
  <c r="A234" i="86"/>
  <c r="A235" i="86"/>
  <c r="A236" i="86"/>
  <c r="A237" i="86"/>
  <c r="A238" i="86"/>
  <c r="A239" i="86"/>
  <c r="A240" i="86"/>
  <c r="A241" i="86"/>
  <c r="A242" i="86"/>
  <c r="A243" i="86"/>
  <c r="A244" i="86"/>
  <c r="A245" i="86"/>
  <c r="A246" i="86"/>
  <c r="A247" i="86"/>
  <c r="A248" i="86"/>
  <c r="A249" i="86"/>
  <c r="A250" i="86"/>
  <c r="A251" i="86"/>
  <c r="A252" i="86"/>
  <c r="A253" i="86"/>
  <c r="A254" i="86"/>
  <c r="A255" i="86"/>
  <c r="A256" i="86"/>
  <c r="A257" i="86"/>
  <c r="A258" i="86"/>
  <c r="A259" i="86"/>
  <c r="A260" i="86"/>
  <c r="A261" i="86"/>
  <c r="A262" i="86"/>
  <c r="A263" i="86"/>
  <c r="A264" i="86"/>
  <c r="A265" i="86"/>
  <c r="A266" i="86"/>
  <c r="A267" i="86"/>
  <c r="A268" i="86"/>
  <c r="A269" i="86"/>
  <c r="A270" i="86"/>
  <c r="A271" i="86"/>
  <c r="A272" i="86"/>
  <c r="A273" i="86"/>
  <c r="A274" i="86"/>
  <c r="A275" i="86"/>
  <c r="A276" i="86"/>
  <c r="A277" i="86"/>
  <c r="A278" i="86"/>
  <c r="A279" i="86"/>
  <c r="A280" i="86"/>
  <c r="A281" i="86"/>
  <c r="A282" i="86"/>
  <c r="A283" i="86"/>
  <c r="A284" i="86"/>
  <c r="A285" i="86"/>
  <c r="A286" i="86"/>
  <c r="A287" i="86"/>
  <c r="A288" i="86"/>
  <c r="A289" i="86"/>
  <c r="A290" i="86"/>
  <c r="A291" i="86"/>
  <c r="A292" i="86"/>
  <c r="A293" i="86"/>
  <c r="A294" i="86"/>
  <c r="A295" i="86"/>
  <c r="A296" i="86"/>
  <c r="A297" i="86"/>
  <c r="A298" i="86"/>
  <c r="A299" i="86"/>
  <c r="A300" i="86"/>
  <c r="A301" i="86"/>
  <c r="A302" i="86"/>
  <c r="A303" i="86"/>
  <c r="A304" i="86"/>
  <c r="A305" i="86"/>
  <c r="A306" i="86"/>
  <c r="A307" i="86"/>
  <c r="A308" i="86"/>
  <c r="A309" i="86"/>
  <c r="A310" i="86"/>
  <c r="A311" i="86"/>
  <c r="A312" i="86"/>
  <c r="A313" i="86"/>
  <c r="A314" i="86"/>
  <c r="A315" i="86"/>
  <c r="A316" i="86"/>
  <c r="A317" i="86"/>
  <c r="A318" i="86"/>
  <c r="A319" i="86"/>
  <c r="A320" i="86"/>
  <c r="A321" i="86"/>
  <c r="A322" i="86"/>
  <c r="A323" i="86"/>
  <c r="A324" i="86"/>
  <c r="A325" i="86"/>
  <c r="A326" i="86"/>
  <c r="A327" i="86"/>
  <c r="A328" i="86"/>
  <c r="A329" i="86"/>
  <c r="A330" i="86"/>
  <c r="A331" i="86"/>
  <c r="A332" i="86"/>
  <c r="A333" i="86"/>
  <c r="A334" i="86"/>
  <c r="A335" i="86"/>
  <c r="A336" i="86"/>
  <c r="A337" i="86"/>
  <c r="A338" i="86"/>
  <c r="A339" i="86"/>
  <c r="A340" i="86"/>
  <c r="A341" i="86"/>
  <c r="A342" i="86"/>
  <c r="A343" i="86"/>
  <c r="A344" i="86"/>
  <c r="A345" i="86"/>
  <c r="A346" i="86"/>
  <c r="A347" i="86"/>
  <c r="A348" i="86"/>
  <c r="A349" i="86"/>
  <c r="A350" i="86"/>
  <c r="A351" i="86"/>
  <c r="A352" i="86"/>
  <c r="A353" i="86"/>
  <c r="A354" i="86"/>
  <c r="A355" i="86"/>
  <c r="A356" i="86"/>
  <c r="A357" i="86"/>
  <c r="A358" i="86"/>
  <c r="A359" i="86"/>
  <c r="A360" i="86"/>
  <c r="A361" i="86"/>
  <c r="A362" i="86"/>
  <c r="A363" i="86"/>
  <c r="A364" i="86"/>
  <c r="A365" i="86"/>
  <c r="A366" i="86"/>
  <c r="A367" i="86"/>
  <c r="A368" i="86"/>
  <c r="A369" i="86"/>
  <c r="A370" i="86"/>
  <c r="A371" i="86"/>
  <c r="A372" i="86"/>
  <c r="A373" i="86"/>
  <c r="A374" i="86"/>
  <c r="A375" i="86"/>
  <c r="A376" i="86"/>
  <c r="A377" i="86"/>
  <c r="A378" i="86"/>
  <c r="A379" i="86"/>
  <c r="A380" i="86"/>
  <c r="A381" i="86"/>
  <c r="A382" i="86"/>
  <c r="A383" i="86"/>
  <c r="A384" i="86"/>
  <c r="A385" i="86"/>
  <c r="A386" i="86"/>
  <c r="A387" i="86"/>
  <c r="A388" i="86"/>
  <c r="A389" i="86"/>
  <c r="A390" i="86"/>
  <c r="A391" i="86"/>
  <c r="A392" i="86"/>
  <c r="A393" i="86"/>
  <c r="A394" i="86"/>
  <c r="A395" i="86"/>
  <c r="A396" i="86"/>
  <c r="A397" i="86"/>
  <c r="A398" i="86"/>
  <c r="A399" i="86"/>
  <c r="A400" i="86"/>
  <c r="A401" i="86"/>
  <c r="A402" i="86"/>
  <c r="A403" i="86"/>
  <c r="A404" i="86"/>
  <c r="A405" i="86"/>
  <c r="A406" i="86"/>
  <c r="A407" i="86"/>
  <c r="A408" i="86"/>
  <c r="A409" i="86"/>
  <c r="A410" i="86"/>
  <c r="A411" i="86"/>
  <c r="A412" i="86"/>
  <c r="A413" i="86"/>
  <c r="A414" i="86"/>
  <c r="A415" i="86"/>
  <c r="A416" i="86"/>
  <c r="A417" i="86"/>
  <c r="A418" i="86"/>
  <c r="A419" i="86"/>
  <c r="A420" i="86"/>
  <c r="A421" i="86"/>
  <c r="A422" i="86"/>
  <c r="A423" i="86"/>
  <c r="A424" i="86"/>
  <c r="A425" i="86"/>
  <c r="A426" i="86"/>
  <c r="A427" i="86"/>
  <c r="A428" i="86"/>
  <c r="A429" i="86"/>
  <c r="A430" i="86"/>
  <c r="A431" i="86"/>
  <c r="A432" i="86"/>
  <c r="A433" i="86"/>
  <c r="A434" i="86"/>
  <c r="A435" i="86"/>
  <c r="A436" i="86"/>
  <c r="A437" i="86"/>
  <c r="A438" i="86"/>
  <c r="A439" i="86"/>
  <c r="A440" i="86"/>
  <c r="A441" i="86"/>
  <c r="A442" i="86"/>
  <c r="A443" i="86"/>
  <c r="A444" i="86"/>
  <c r="A445" i="86"/>
  <c r="A446" i="86"/>
  <c r="A447" i="86"/>
  <c r="A448" i="86"/>
  <c r="A449" i="86"/>
  <c r="A450" i="86"/>
  <c r="A451" i="86"/>
  <c r="A452" i="86"/>
  <c r="A453" i="86"/>
  <c r="A454" i="86"/>
  <c r="A455" i="86"/>
  <c r="A456" i="86"/>
  <c r="A457" i="86"/>
  <c r="A458" i="86"/>
  <c r="A459" i="86"/>
  <c r="A460" i="86"/>
  <c r="A461" i="86"/>
  <c r="A462" i="86"/>
  <c r="A463" i="86"/>
  <c r="A464" i="86"/>
  <c r="A465" i="86"/>
  <c r="A466" i="86"/>
  <c r="A467" i="86"/>
  <c r="A468" i="86"/>
  <c r="A469" i="86"/>
  <c r="A470" i="86"/>
  <c r="A471" i="86"/>
  <c r="A472" i="86"/>
  <c r="A473" i="86"/>
  <c r="A474" i="86"/>
  <c r="A475" i="86"/>
  <c r="A476" i="86"/>
  <c r="A477" i="86"/>
  <c r="A478" i="86"/>
  <c r="A479" i="86"/>
  <c r="A480" i="86"/>
  <c r="A481" i="86"/>
  <c r="A482" i="86"/>
  <c r="A483" i="86"/>
  <c r="A484" i="86"/>
  <c r="A485" i="86"/>
  <c r="A57" i="86"/>
  <c r="I31" i="12"/>
  <c r="I32" i="12"/>
  <c r="I30" i="12"/>
  <c r="F31" i="141"/>
  <c r="H31" i="141" s="1"/>
  <c r="F24" i="141"/>
  <c r="H24" i="141" s="1"/>
  <c r="F16" i="141"/>
  <c r="H16" i="141" s="1"/>
  <c r="N38" i="141"/>
  <c r="P38" i="141" s="1"/>
  <c r="J38" i="141"/>
  <c r="L38" i="141" s="1"/>
  <c r="F38" i="141"/>
  <c r="H38" i="141" s="1"/>
  <c r="B37" i="141"/>
  <c r="D37" i="141" s="1"/>
  <c r="I18" i="69"/>
  <c r="H18" i="69"/>
  <c r="H17" i="69"/>
  <c r="H19" i="69"/>
  <c r="H16" i="69"/>
  <c r="C9" i="70"/>
  <c r="J28" i="119"/>
  <c r="I28" i="119"/>
  <c r="H28" i="119"/>
  <c r="G28" i="119"/>
  <c r="F28" i="119"/>
  <c r="D28" i="119"/>
  <c r="J27" i="119"/>
  <c r="I27" i="119"/>
  <c r="H27" i="119"/>
  <c r="G27" i="119"/>
  <c r="F27" i="119"/>
  <c r="D27" i="119"/>
  <c r="J26" i="119"/>
  <c r="I26" i="119"/>
  <c r="H26" i="119"/>
  <c r="G26" i="119"/>
  <c r="F26" i="119"/>
  <c r="J29" i="12"/>
  <c r="Q29" i="12" s="1"/>
  <c r="R33" i="12"/>
  <c r="S33" i="12"/>
  <c r="S29" i="12"/>
  <c r="R29" i="12"/>
  <c r="D51" i="56" a="1"/>
  <c r="D51" i="56" s="1"/>
  <c r="D50" i="56" a="1"/>
  <c r="D50" i="56" s="1"/>
  <c r="D49" i="56" a="1"/>
  <c r="D49" i="56" s="1"/>
  <c r="D48" i="56" a="1"/>
  <c r="D48" i="56" s="1"/>
  <c r="L10" i="152" l="1"/>
  <c r="D51" i="39"/>
  <c r="D48" i="39"/>
  <c r="P53" i="39"/>
  <c r="H45" i="39"/>
  <c r="P48" i="39"/>
  <c r="P46" i="39"/>
  <c r="P47" i="39"/>
  <c r="H46" i="39"/>
  <c r="L50" i="39"/>
  <c r="P52" i="39"/>
  <c r="L45" i="39"/>
  <c r="D46" i="39"/>
  <c r="D45" i="39"/>
  <c r="P50" i="39"/>
  <c r="L51" i="39"/>
  <c r="H48" i="39"/>
  <c r="P51" i="39"/>
  <c r="D47" i="39"/>
  <c r="L47" i="39"/>
  <c r="H51" i="39"/>
  <c r="J24" i="141"/>
  <c r="L24" i="141" s="1"/>
  <c r="J16" i="141"/>
  <c r="L16" i="141" s="1"/>
  <c r="F23" i="141"/>
  <c r="H23" i="141" s="1"/>
  <c r="J23" i="141"/>
  <c r="L23" i="141" s="1"/>
  <c r="B36" i="141"/>
  <c r="D36" i="141" s="1"/>
  <c r="F32" i="141"/>
  <c r="H32" i="141" s="1"/>
  <c r="J32" i="141"/>
  <c r="L32" i="141" s="1"/>
  <c r="B21" i="141"/>
  <c r="D21" i="141" s="1"/>
  <c r="F39" i="141"/>
  <c r="H39" i="141" s="1"/>
  <c r="J39" i="141"/>
  <c r="L39" i="141" s="1"/>
  <c r="B46" i="141"/>
  <c r="D46" i="141" s="1"/>
  <c r="F40" i="141"/>
  <c r="H40" i="141" s="1"/>
  <c r="J40" i="141"/>
  <c r="L40" i="141" s="1"/>
  <c r="J31" i="141"/>
  <c r="L31" i="141" s="1"/>
  <c r="F15" i="141"/>
  <c r="H15" i="141" s="1"/>
  <c r="J15" i="141"/>
  <c r="L15" i="141" s="1"/>
  <c r="B13" i="141"/>
  <c r="D13" i="141" s="1"/>
  <c r="B22" i="141"/>
  <c r="D22" i="141" s="1"/>
  <c r="B29" i="141"/>
  <c r="D29" i="141" s="1"/>
  <c r="B28" i="141"/>
  <c r="D28" i="141" s="1"/>
  <c r="B14" i="141"/>
  <c r="D14" i="141" s="1"/>
  <c r="P29" i="12"/>
  <c r="C8" i="86"/>
  <c r="D8" i="86"/>
  <c r="F8" i="86"/>
  <c r="G8" i="86"/>
  <c r="H8" i="86"/>
  <c r="J8" i="86"/>
  <c r="K8" i="86"/>
  <c r="B8" i="86"/>
  <c r="L8" i="86"/>
  <c r="N8" i="86"/>
  <c r="P8" i="86"/>
  <c r="N40" i="141"/>
  <c r="P40" i="141" s="1"/>
  <c r="B20" i="141"/>
  <c r="D20" i="141" s="1"/>
  <c r="B12" i="141"/>
  <c r="D12" i="141" s="1"/>
  <c r="B35" i="141"/>
  <c r="D35" i="141" s="1"/>
  <c r="B27" i="141"/>
  <c r="D27" i="141" s="1"/>
  <c r="F9" i="141"/>
  <c r="H9" i="141" s="1"/>
  <c r="F17" i="141"/>
  <c r="H17" i="141" s="1"/>
  <c r="F25" i="141"/>
  <c r="H25" i="141" s="1"/>
  <c r="F33" i="141"/>
  <c r="H33" i="141" s="1"/>
  <c r="J9" i="141"/>
  <c r="L9" i="141" s="1"/>
  <c r="J17" i="141"/>
  <c r="L17" i="141" s="1"/>
  <c r="J25" i="141"/>
  <c r="L25" i="141" s="1"/>
  <c r="J33" i="141"/>
  <c r="L33" i="141" s="1"/>
  <c r="N9" i="141"/>
  <c r="P9" i="141" s="1"/>
  <c r="N17" i="141"/>
  <c r="P17" i="141" s="1"/>
  <c r="N25" i="141"/>
  <c r="P25" i="141" s="1"/>
  <c r="N33" i="141"/>
  <c r="P33" i="141" s="1"/>
  <c r="F46" i="141"/>
  <c r="H46" i="141" s="1"/>
  <c r="N32" i="141"/>
  <c r="P32" i="141" s="1"/>
  <c r="B19" i="141"/>
  <c r="D19" i="141" s="1"/>
  <c r="B11" i="141"/>
  <c r="D11" i="141" s="1"/>
  <c r="B34" i="141"/>
  <c r="D34" i="141" s="1"/>
  <c r="B26" i="141"/>
  <c r="D26" i="141" s="1"/>
  <c r="F10" i="141"/>
  <c r="H10" i="141" s="1"/>
  <c r="F18" i="141"/>
  <c r="H18" i="141" s="1"/>
  <c r="F26" i="141"/>
  <c r="H26" i="141" s="1"/>
  <c r="F34" i="141"/>
  <c r="H34" i="141" s="1"/>
  <c r="J10" i="141"/>
  <c r="L10" i="141" s="1"/>
  <c r="J18" i="141"/>
  <c r="L18" i="141" s="1"/>
  <c r="J26" i="141"/>
  <c r="L26" i="141" s="1"/>
  <c r="J34" i="141"/>
  <c r="L34" i="141" s="1"/>
  <c r="N10" i="141"/>
  <c r="P10" i="141" s="1"/>
  <c r="N18" i="141"/>
  <c r="P18" i="141" s="1"/>
  <c r="N26" i="141"/>
  <c r="P26" i="141" s="1"/>
  <c r="N34" i="141"/>
  <c r="P34" i="141" s="1"/>
  <c r="J46" i="141"/>
  <c r="L46" i="141" s="1"/>
  <c r="N39" i="141"/>
  <c r="P39" i="141" s="1"/>
  <c r="N24" i="141"/>
  <c r="P24" i="141" s="1"/>
  <c r="B18" i="141"/>
  <c r="D18" i="141" s="1"/>
  <c r="B10" i="141"/>
  <c r="D10" i="141" s="1"/>
  <c r="B33" i="141"/>
  <c r="D33" i="141" s="1"/>
  <c r="B25" i="141"/>
  <c r="D25" i="141" s="1"/>
  <c r="F11" i="141"/>
  <c r="H11" i="141" s="1"/>
  <c r="F19" i="141"/>
  <c r="H19" i="141" s="1"/>
  <c r="F27" i="141"/>
  <c r="H27" i="141" s="1"/>
  <c r="F35" i="141"/>
  <c r="H35" i="141" s="1"/>
  <c r="J11" i="141"/>
  <c r="L11" i="141" s="1"/>
  <c r="J19" i="141"/>
  <c r="L19" i="141" s="1"/>
  <c r="J27" i="141"/>
  <c r="L27" i="141" s="1"/>
  <c r="J35" i="141"/>
  <c r="L35" i="141" s="1"/>
  <c r="N11" i="141"/>
  <c r="P11" i="141" s="1"/>
  <c r="N19" i="141"/>
  <c r="P19" i="141" s="1"/>
  <c r="N27" i="141"/>
  <c r="P27" i="141" s="1"/>
  <c r="N35" i="141"/>
  <c r="P35" i="141" s="1"/>
  <c r="N46" i="141"/>
  <c r="P46" i="141" s="1"/>
  <c r="N15" i="141"/>
  <c r="P15" i="141" s="1"/>
  <c r="B17" i="141"/>
  <c r="D17" i="141" s="1"/>
  <c r="B40" i="141"/>
  <c r="D40" i="141" s="1"/>
  <c r="B32" i="141"/>
  <c r="D32" i="141" s="1"/>
  <c r="B24" i="141"/>
  <c r="D24" i="141" s="1"/>
  <c r="F12" i="141"/>
  <c r="H12" i="141" s="1"/>
  <c r="F20" i="141"/>
  <c r="H20" i="141" s="1"/>
  <c r="F28" i="141"/>
  <c r="H28" i="141" s="1"/>
  <c r="F36" i="141"/>
  <c r="H36" i="141" s="1"/>
  <c r="J12" i="141"/>
  <c r="L12" i="141" s="1"/>
  <c r="J20" i="141"/>
  <c r="L20" i="141" s="1"/>
  <c r="J28" i="141"/>
  <c r="L28" i="141" s="1"/>
  <c r="J36" i="141"/>
  <c r="L36" i="141" s="1"/>
  <c r="N12" i="141"/>
  <c r="P12" i="141" s="1"/>
  <c r="N20" i="141"/>
  <c r="P20" i="141" s="1"/>
  <c r="N28" i="141"/>
  <c r="P28" i="141" s="1"/>
  <c r="N36" i="141"/>
  <c r="P36" i="141" s="1"/>
  <c r="N31" i="141"/>
  <c r="P31" i="141" s="1"/>
  <c r="B16" i="141"/>
  <c r="D16" i="141" s="1"/>
  <c r="B39" i="141"/>
  <c r="D39" i="141" s="1"/>
  <c r="B31" i="141"/>
  <c r="D31" i="141" s="1"/>
  <c r="B23" i="141"/>
  <c r="D23" i="141" s="1"/>
  <c r="F13" i="141"/>
  <c r="H13" i="141" s="1"/>
  <c r="F21" i="141"/>
  <c r="H21" i="141" s="1"/>
  <c r="F29" i="141"/>
  <c r="H29" i="141" s="1"/>
  <c r="F37" i="141"/>
  <c r="H37" i="141" s="1"/>
  <c r="J13" i="141"/>
  <c r="L13" i="141" s="1"/>
  <c r="J21" i="141"/>
  <c r="L21" i="141" s="1"/>
  <c r="J29" i="141"/>
  <c r="L29" i="141" s="1"/>
  <c r="J37" i="141"/>
  <c r="L37" i="141" s="1"/>
  <c r="N13" i="141"/>
  <c r="P13" i="141" s="1"/>
  <c r="N21" i="141"/>
  <c r="P21" i="141" s="1"/>
  <c r="N29" i="141"/>
  <c r="P29" i="141" s="1"/>
  <c r="N37" i="141"/>
  <c r="P37" i="141" s="1"/>
  <c r="N23" i="141"/>
  <c r="P23" i="141" s="1"/>
  <c r="N16" i="141"/>
  <c r="P16" i="141" s="1"/>
  <c r="B15" i="141"/>
  <c r="D15" i="141" s="1"/>
  <c r="B38" i="141"/>
  <c r="D38" i="141" s="1"/>
  <c r="B30" i="141"/>
  <c r="D30" i="141" s="1"/>
  <c r="F14" i="141"/>
  <c r="H14" i="141" s="1"/>
  <c r="F22" i="141"/>
  <c r="H22" i="141" s="1"/>
  <c r="F30" i="141"/>
  <c r="H30" i="141" s="1"/>
  <c r="J14" i="141"/>
  <c r="L14" i="141" s="1"/>
  <c r="J22" i="141"/>
  <c r="L22" i="141" s="1"/>
  <c r="J30" i="141"/>
  <c r="L30" i="141" s="1"/>
  <c r="N14" i="141"/>
  <c r="P14" i="141" s="1"/>
  <c r="N22" i="141"/>
  <c r="P22" i="141" s="1"/>
  <c r="N30" i="141"/>
  <c r="P30" i="141" s="1"/>
  <c r="E32" i="12"/>
  <c r="E31" i="12"/>
  <c r="C32" i="12"/>
  <c r="C31" i="12"/>
  <c r="C30" i="12"/>
  <c r="D13" i="86" l="1"/>
  <c r="D17" i="86"/>
  <c r="D24" i="86"/>
  <c r="D35" i="86"/>
  <c r="D9" i="86"/>
  <c r="D10" i="86"/>
  <c r="D21" i="86"/>
  <c r="D39" i="86"/>
  <c r="D23" i="86"/>
  <c r="D12" i="86"/>
  <c r="D34" i="86"/>
  <c r="D31" i="86"/>
  <c r="D38" i="86"/>
  <c r="D14" i="86"/>
  <c r="C14" i="86" s="1"/>
  <c r="D18" i="86"/>
  <c r="D25" i="86"/>
  <c r="D32" i="86"/>
  <c r="D30" i="86"/>
  <c r="D27" i="86"/>
  <c r="D11" i="86"/>
  <c r="D22" i="86"/>
  <c r="D29" i="86"/>
  <c r="D36" i="86"/>
  <c r="D40" i="86"/>
  <c r="D20" i="86"/>
  <c r="D15" i="86"/>
  <c r="D19" i="86"/>
  <c r="D26" i="86"/>
  <c r="D33" i="86"/>
  <c r="C33" i="86" s="1"/>
  <c r="D16" i="86"/>
  <c r="D8" i="87" s="1"/>
  <c r="D37" i="86"/>
  <c r="B10" i="86"/>
  <c r="B21" i="86"/>
  <c r="B32" i="86"/>
  <c r="C32" i="86" s="1"/>
  <c r="B39" i="86"/>
  <c r="B34" i="86"/>
  <c r="C34" i="86" s="1"/>
  <c r="B14" i="86"/>
  <c r="B18" i="86"/>
  <c r="C18" i="86" s="1"/>
  <c r="B25" i="86"/>
  <c r="B36" i="86"/>
  <c r="B9" i="86"/>
  <c r="C9" i="86" s="1"/>
  <c r="B17" i="86"/>
  <c r="B11" i="86"/>
  <c r="C11" i="86" s="1"/>
  <c r="B22" i="86"/>
  <c r="B29" i="86"/>
  <c r="C29" i="86" s="1"/>
  <c r="B40" i="86"/>
  <c r="B15" i="86"/>
  <c r="B19" i="86"/>
  <c r="C19" i="86" s="1"/>
  <c r="B26" i="86"/>
  <c r="C26" i="86" s="1"/>
  <c r="B33" i="86"/>
  <c r="B27" i="86"/>
  <c r="C27" i="86" s="1"/>
  <c r="B24" i="86"/>
  <c r="C24" i="86" s="1"/>
  <c r="B12" i="86"/>
  <c r="C12" i="86" s="1"/>
  <c r="B23" i="86"/>
  <c r="B30" i="86"/>
  <c r="B37" i="86"/>
  <c r="B20" i="86"/>
  <c r="C20" i="86" s="1"/>
  <c r="B31" i="86"/>
  <c r="C31" i="86" s="1"/>
  <c r="B38" i="86"/>
  <c r="C38" i="86" s="1"/>
  <c r="B13" i="86"/>
  <c r="B35" i="86"/>
  <c r="C35" i="86" s="1"/>
  <c r="B16" i="86"/>
  <c r="D7" i="87"/>
  <c r="N41" i="141"/>
  <c r="P41" i="141" s="1"/>
  <c r="D19" i="151"/>
  <c r="D18" i="151"/>
  <c r="C17" i="151"/>
  <c r="H21" i="151"/>
  <c r="F21" i="151" s="1"/>
  <c r="C14" i="151"/>
  <c r="E14" i="151" s="1"/>
  <c r="C13" i="151"/>
  <c r="D13" i="151" s="1"/>
  <c r="C12" i="151"/>
  <c r="E12" i="151" s="1"/>
  <c r="C11" i="151"/>
  <c r="D11" i="151" s="1"/>
  <c r="C10" i="151"/>
  <c r="D10" i="151" s="1"/>
  <c r="C9" i="151"/>
  <c r="D9" i="151" s="1"/>
  <c r="C8" i="151"/>
  <c r="E8" i="151" s="1"/>
  <c r="C7" i="151"/>
  <c r="D7" i="151" s="1"/>
  <c r="C1" i="151"/>
  <c r="D19" i="150"/>
  <c r="D18" i="150"/>
  <c r="C17" i="150"/>
  <c r="H21" i="150"/>
  <c r="F21" i="150" s="1"/>
  <c r="C14" i="150"/>
  <c r="D14" i="150" s="1"/>
  <c r="C13" i="150"/>
  <c r="D13" i="150" s="1"/>
  <c r="C12" i="150"/>
  <c r="D12" i="150" s="1"/>
  <c r="C11" i="150"/>
  <c r="E11" i="150" s="1"/>
  <c r="C10" i="150"/>
  <c r="D10" i="150" s="1"/>
  <c r="C9" i="150"/>
  <c r="E9" i="150" s="1"/>
  <c r="C8" i="150"/>
  <c r="D8" i="150" s="1"/>
  <c r="C7" i="150"/>
  <c r="E7" i="150" s="1"/>
  <c r="C1" i="150"/>
  <c r="B18" i="149"/>
  <c r="B27" i="149"/>
  <c r="B33" i="149"/>
  <c r="B38" i="149"/>
  <c r="B40" i="149"/>
  <c r="B9" i="149"/>
  <c r="B37" i="149"/>
  <c r="B36" i="149"/>
  <c r="B32" i="149"/>
  <c r="B30" i="149"/>
  <c r="B29" i="149"/>
  <c r="B24" i="149"/>
  <c r="B22" i="149"/>
  <c r="B21" i="149"/>
  <c r="B20" i="149"/>
  <c r="B19" i="149"/>
  <c r="B16" i="149"/>
  <c r="B13" i="149"/>
  <c r="B12" i="149"/>
  <c r="B11" i="149"/>
  <c r="B10" i="149"/>
  <c r="D18" i="146"/>
  <c r="D19" i="146"/>
  <c r="C17" i="146"/>
  <c r="E17" i="146" s="1"/>
  <c r="C22" i="86" l="1"/>
  <c r="C23" i="86"/>
  <c r="C30" i="86"/>
  <c r="C37" i="86"/>
  <c r="C36" i="86"/>
  <c r="C21" i="86"/>
  <c r="C17" i="86"/>
  <c r="C16" i="86"/>
  <c r="C15" i="86"/>
  <c r="C10" i="86"/>
  <c r="C40" i="86"/>
  <c r="C25" i="86"/>
  <c r="C39" i="86"/>
  <c r="C13" i="86"/>
  <c r="G9" i="151"/>
  <c r="F9" i="151"/>
  <c r="E9" i="151"/>
  <c r="E13" i="151"/>
  <c r="G7" i="151"/>
  <c r="F7" i="151"/>
  <c r="G11" i="151"/>
  <c r="F11" i="151"/>
  <c r="D14" i="151"/>
  <c r="E10" i="151"/>
  <c r="E7" i="151"/>
  <c r="E11" i="151"/>
  <c r="D8" i="151"/>
  <c r="D12" i="151"/>
  <c r="D17" i="146"/>
  <c r="E26" i="119" s="1"/>
  <c r="M26" i="119" s="1"/>
  <c r="E17" i="150"/>
  <c r="E8" i="150"/>
  <c r="D9" i="150"/>
  <c r="E13" i="150"/>
  <c r="E10" i="150"/>
  <c r="E14" i="150"/>
  <c r="D7" i="150"/>
  <c r="D11" i="150"/>
  <c r="E12" i="150"/>
  <c r="D17" i="151"/>
  <c r="E28" i="119" s="1"/>
  <c r="M28" i="119" s="1"/>
  <c r="E17" i="151"/>
  <c r="D17" i="150"/>
  <c r="E27" i="119" s="1"/>
  <c r="M27" i="119" s="1"/>
  <c r="B34" i="149"/>
  <c r="B39" i="149"/>
  <c r="B15" i="149"/>
  <c r="B23" i="149"/>
  <c r="B17" i="149"/>
  <c r="B25" i="149"/>
  <c r="C41" i="86" l="1" a="1"/>
  <c r="C41" i="86" s="1"/>
  <c r="D41" i="86" s="1"/>
  <c r="F10" i="151"/>
  <c r="G10" i="151" s="1"/>
  <c r="F12" i="151"/>
  <c r="G12" i="151" s="1"/>
  <c r="F14" i="151"/>
  <c r="G14" i="151" s="1"/>
  <c r="F8" i="151"/>
  <c r="G8" i="151" s="1"/>
  <c r="F13" i="151"/>
  <c r="G13" i="151" s="1"/>
  <c r="F10" i="150"/>
  <c r="G10" i="150" s="1"/>
  <c r="F8" i="150"/>
  <c r="G8" i="150" s="1"/>
  <c r="F14" i="150"/>
  <c r="G14" i="150" s="1"/>
  <c r="F13" i="150"/>
  <c r="G13" i="150" s="1"/>
  <c r="F12" i="150"/>
  <c r="G12" i="150" s="1"/>
  <c r="F11" i="150"/>
  <c r="G11" i="150" s="1"/>
  <c r="F7" i="150"/>
  <c r="G7" i="150" s="1"/>
  <c r="F9" i="150"/>
  <c r="G9" i="150" s="1"/>
  <c r="B48" i="149"/>
  <c r="B10" i="147" l="1"/>
  <c r="B11" i="147"/>
  <c r="B12" i="147"/>
  <c r="B13" i="147"/>
  <c r="B14" i="147"/>
  <c r="B15" i="147"/>
  <c r="B16" i="147"/>
  <c r="B17" i="147"/>
  <c r="B18" i="147"/>
  <c r="B19" i="147"/>
  <c r="B20" i="147"/>
  <c r="B21" i="147"/>
  <c r="B22" i="147"/>
  <c r="B23" i="147"/>
  <c r="B24" i="147"/>
  <c r="B25" i="147"/>
  <c r="B26" i="147"/>
  <c r="B27" i="147"/>
  <c r="B29" i="147"/>
  <c r="B30" i="147"/>
  <c r="B32" i="147"/>
  <c r="B33" i="147"/>
  <c r="B34" i="147"/>
  <c r="B36" i="147"/>
  <c r="B37" i="147"/>
  <c r="B38" i="147"/>
  <c r="B39" i="147"/>
  <c r="B40" i="147"/>
  <c r="B9" i="147"/>
  <c r="B48" i="147" l="1"/>
  <c r="H21" i="146"/>
  <c r="F21" i="146" s="1"/>
  <c r="C14" i="146"/>
  <c r="C13" i="146"/>
  <c r="C12" i="146"/>
  <c r="C11" i="146"/>
  <c r="C10" i="146"/>
  <c r="C9" i="146"/>
  <c r="C8" i="146"/>
  <c r="C7" i="146"/>
  <c r="D7" i="146" s="1"/>
  <c r="F7" i="146" s="1"/>
  <c r="G7" i="146" s="1"/>
  <c r="C1" i="146"/>
  <c r="O35" i="70"/>
  <c r="O27" i="70"/>
  <c r="O19" i="70"/>
  <c r="O11" i="70"/>
  <c r="K29" i="70"/>
  <c r="K21" i="70"/>
  <c r="K13" i="70"/>
  <c r="G40" i="70"/>
  <c r="G23" i="70"/>
  <c r="G15" i="70"/>
  <c r="C10" i="70"/>
  <c r="C11" i="70"/>
  <c r="C14" i="70"/>
  <c r="C16" i="70"/>
  <c r="C17" i="70"/>
  <c r="C19" i="70"/>
  <c r="C25" i="70"/>
  <c r="C27" i="70"/>
  <c r="C31" i="70"/>
  <c r="C33" i="70"/>
  <c r="C34" i="70"/>
  <c r="C35" i="70"/>
  <c r="C40" i="70"/>
  <c r="C43" i="70"/>
  <c r="C53" i="70"/>
  <c r="N53" i="70"/>
  <c r="J53" i="70"/>
  <c r="F53" i="70"/>
  <c r="B53" i="70"/>
  <c r="N43" i="70"/>
  <c r="J43" i="70"/>
  <c r="F43" i="70"/>
  <c r="B43" i="70"/>
  <c r="N41" i="70"/>
  <c r="J41" i="70"/>
  <c r="F41" i="70"/>
  <c r="B41" i="70"/>
  <c r="N40" i="70"/>
  <c r="J40" i="70"/>
  <c r="F40" i="70"/>
  <c r="B40" i="70"/>
  <c r="N39" i="70"/>
  <c r="J39" i="70"/>
  <c r="F39" i="70"/>
  <c r="B39" i="70"/>
  <c r="N37" i="70"/>
  <c r="J37" i="70"/>
  <c r="F37" i="70"/>
  <c r="B37" i="70"/>
  <c r="N36" i="70"/>
  <c r="J36" i="70"/>
  <c r="F36" i="70"/>
  <c r="B36" i="70"/>
  <c r="N35" i="70"/>
  <c r="J35" i="70"/>
  <c r="F35" i="70"/>
  <c r="B35" i="70"/>
  <c r="N34" i="70"/>
  <c r="J34" i="70"/>
  <c r="F34" i="70"/>
  <c r="B34" i="70"/>
  <c r="N33" i="70"/>
  <c r="J33" i="70"/>
  <c r="F33" i="70"/>
  <c r="B33" i="70"/>
  <c r="N32" i="70"/>
  <c r="J32" i="70"/>
  <c r="F32" i="70"/>
  <c r="B32" i="70"/>
  <c r="N31" i="70"/>
  <c r="J31" i="70"/>
  <c r="F31" i="70"/>
  <c r="B31" i="70"/>
  <c r="N30" i="70"/>
  <c r="J30" i="70"/>
  <c r="F30" i="70"/>
  <c r="B30" i="70"/>
  <c r="N29" i="70"/>
  <c r="J29" i="70"/>
  <c r="F29" i="70"/>
  <c r="B29" i="70"/>
  <c r="N28" i="70"/>
  <c r="J28" i="70"/>
  <c r="F28" i="70"/>
  <c r="B28" i="70"/>
  <c r="N27" i="70"/>
  <c r="J27" i="70"/>
  <c r="F27" i="70"/>
  <c r="B27" i="70"/>
  <c r="N26" i="70"/>
  <c r="J26" i="70"/>
  <c r="F26" i="70"/>
  <c r="B26" i="70"/>
  <c r="N25" i="70"/>
  <c r="J25" i="70"/>
  <c r="F25" i="70"/>
  <c r="B25" i="70"/>
  <c r="N24" i="70"/>
  <c r="J24" i="70"/>
  <c r="F24" i="70"/>
  <c r="B24" i="70"/>
  <c r="N23" i="70"/>
  <c r="J23" i="70"/>
  <c r="F23" i="70"/>
  <c r="B23" i="70"/>
  <c r="N22" i="70"/>
  <c r="J22" i="70"/>
  <c r="F22" i="70"/>
  <c r="B22" i="70"/>
  <c r="N21" i="70"/>
  <c r="N51" i="70" s="1"/>
  <c r="J21" i="70"/>
  <c r="F21" i="70"/>
  <c r="B21" i="70"/>
  <c r="N20" i="70"/>
  <c r="J20" i="70"/>
  <c r="F20" i="70"/>
  <c r="B20" i="70"/>
  <c r="N19" i="70"/>
  <c r="N46" i="70" s="1" a="1"/>
  <c r="N46" i="70" s="1"/>
  <c r="J19" i="70"/>
  <c r="F19" i="70"/>
  <c r="B19" i="70"/>
  <c r="N18" i="70"/>
  <c r="J18" i="70"/>
  <c r="F18" i="70"/>
  <c r="B18" i="70"/>
  <c r="N17" i="70"/>
  <c r="J17" i="70"/>
  <c r="F17" i="70"/>
  <c r="B17" i="70"/>
  <c r="N16" i="70"/>
  <c r="J16" i="70"/>
  <c r="F16" i="70"/>
  <c r="B16" i="70"/>
  <c r="N15" i="70"/>
  <c r="J15" i="70"/>
  <c r="F15" i="70"/>
  <c r="B15" i="70"/>
  <c r="N14" i="70"/>
  <c r="J14" i="70"/>
  <c r="F14" i="70"/>
  <c r="B14" i="70"/>
  <c r="N13" i="70"/>
  <c r="J13" i="70"/>
  <c r="F13" i="70"/>
  <c r="B13" i="70"/>
  <c r="N12" i="70"/>
  <c r="J12" i="70"/>
  <c r="F12" i="70"/>
  <c r="B12" i="70"/>
  <c r="N11" i="70"/>
  <c r="N50" i="70" s="1"/>
  <c r="J11" i="70"/>
  <c r="F11" i="70"/>
  <c r="B11" i="70"/>
  <c r="N10" i="70"/>
  <c r="J10" i="70"/>
  <c r="F10" i="70"/>
  <c r="B10" i="70"/>
  <c r="N9" i="70"/>
  <c r="N44" i="70" s="1" a="1"/>
  <c r="N44" i="70" s="1"/>
  <c r="J9" i="70"/>
  <c r="F9" i="70"/>
  <c r="B9" i="70"/>
  <c r="D9" i="70" s="1"/>
  <c r="O53" i="70"/>
  <c r="P53" i="70" s="1"/>
  <c r="O43" i="70"/>
  <c r="O41" i="70"/>
  <c r="P41" i="70" s="1"/>
  <c r="O40" i="70"/>
  <c r="O39" i="70"/>
  <c r="P39" i="70" s="1"/>
  <c r="O37" i="70"/>
  <c r="O36" i="70"/>
  <c r="O34" i="70"/>
  <c r="O33" i="70"/>
  <c r="O32" i="70"/>
  <c r="O31" i="70"/>
  <c r="O30" i="70"/>
  <c r="P30" i="70" s="1"/>
  <c r="O29" i="70"/>
  <c r="P29" i="70" s="1"/>
  <c r="O28" i="70"/>
  <c r="P28" i="70" s="1"/>
  <c r="O26" i="70"/>
  <c r="O25" i="70"/>
  <c r="O24" i="70"/>
  <c r="O23" i="70"/>
  <c r="O22" i="70"/>
  <c r="O21" i="70"/>
  <c r="O20" i="70"/>
  <c r="O18" i="70"/>
  <c r="P18" i="70" s="1"/>
  <c r="O17" i="70"/>
  <c r="O16" i="70"/>
  <c r="O15" i="70"/>
  <c r="O14" i="70"/>
  <c r="O13" i="70"/>
  <c r="O12" i="70"/>
  <c r="O10" i="70"/>
  <c r="O9" i="70"/>
  <c r="K53" i="70"/>
  <c r="G53" i="70"/>
  <c r="K43" i="70"/>
  <c r="G43" i="70"/>
  <c r="K41" i="70"/>
  <c r="G41" i="70"/>
  <c r="C41" i="70"/>
  <c r="K40" i="70"/>
  <c r="K39" i="70"/>
  <c r="G39" i="70"/>
  <c r="C39" i="70"/>
  <c r="K37" i="70"/>
  <c r="G37" i="70"/>
  <c r="C37" i="70"/>
  <c r="K36" i="70"/>
  <c r="G36" i="70"/>
  <c r="C36" i="70"/>
  <c r="K35" i="70"/>
  <c r="G35" i="70"/>
  <c r="K34" i="70"/>
  <c r="G34" i="70"/>
  <c r="K33" i="70"/>
  <c r="G33" i="70"/>
  <c r="K32" i="70"/>
  <c r="G32" i="70"/>
  <c r="C32" i="70"/>
  <c r="K31" i="70"/>
  <c r="G31" i="70"/>
  <c r="K30" i="70"/>
  <c r="G30" i="70"/>
  <c r="C30" i="70"/>
  <c r="G29" i="70"/>
  <c r="C29" i="70"/>
  <c r="K28" i="70"/>
  <c r="G28" i="70"/>
  <c r="C28" i="70"/>
  <c r="K27" i="70"/>
  <c r="G27" i="70"/>
  <c r="K26" i="70"/>
  <c r="G26" i="70"/>
  <c r="C26" i="70"/>
  <c r="K25" i="70"/>
  <c r="G25" i="70"/>
  <c r="K24" i="70"/>
  <c r="G24" i="70"/>
  <c r="C24" i="70"/>
  <c r="K23" i="70"/>
  <c r="C23" i="70"/>
  <c r="K22" i="70"/>
  <c r="G22" i="70"/>
  <c r="C22" i="70"/>
  <c r="G21" i="70"/>
  <c r="C21" i="70"/>
  <c r="K20" i="70"/>
  <c r="G20" i="70"/>
  <c r="C20" i="70"/>
  <c r="K19" i="70"/>
  <c r="G19" i="70"/>
  <c r="K18" i="70"/>
  <c r="G18" i="70"/>
  <c r="C18" i="70"/>
  <c r="K17" i="70"/>
  <c r="G17" i="70"/>
  <c r="K16" i="70"/>
  <c r="G16" i="70"/>
  <c r="K15" i="70"/>
  <c r="C15" i="70"/>
  <c r="K14" i="70"/>
  <c r="G14" i="70"/>
  <c r="G13" i="70"/>
  <c r="C13" i="70"/>
  <c r="K12" i="70"/>
  <c r="G12" i="70"/>
  <c r="C12" i="70"/>
  <c r="K11" i="70"/>
  <c r="G11" i="70"/>
  <c r="K10" i="70"/>
  <c r="G10" i="70"/>
  <c r="K9" i="70"/>
  <c r="G9" i="70"/>
  <c r="P40" i="70" l="1"/>
  <c r="P14" i="70"/>
  <c r="P43" i="70"/>
  <c r="G19" i="69" s="1"/>
  <c r="P34" i="70"/>
  <c r="P26" i="70"/>
  <c r="P36" i="70"/>
  <c r="P13" i="70"/>
  <c r="P31" i="70"/>
  <c r="P23" i="70"/>
  <c r="P15" i="70"/>
  <c r="P33" i="70"/>
  <c r="P17" i="70"/>
  <c r="P25" i="70"/>
  <c r="P35" i="70"/>
  <c r="J38" i="70"/>
  <c r="N38" i="70"/>
  <c r="P11" i="70"/>
  <c r="P16" i="70"/>
  <c r="P19" i="70"/>
  <c r="P27" i="70"/>
  <c r="P20" i="70"/>
  <c r="P12" i="70"/>
  <c r="P22" i="70"/>
  <c r="O45" i="70" a="1"/>
  <c r="O45" i="70" s="1"/>
  <c r="E10" i="146"/>
  <c r="D10" i="146"/>
  <c r="F10" i="146" s="1"/>
  <c r="G10" i="146" s="1"/>
  <c r="E11" i="146"/>
  <c r="D11" i="146"/>
  <c r="F11" i="146" s="1"/>
  <c r="G11" i="146" s="1"/>
  <c r="E13" i="146"/>
  <c r="D13" i="146"/>
  <c r="F13" i="146" s="1"/>
  <c r="G13" i="146" s="1"/>
  <c r="E14" i="146"/>
  <c r="D14" i="146"/>
  <c r="F14" i="146" s="1"/>
  <c r="G14" i="146" s="1"/>
  <c r="E8" i="146"/>
  <c r="D8" i="146"/>
  <c r="F8" i="146" s="1"/>
  <c r="G8" i="146" s="1"/>
  <c r="E12" i="146"/>
  <c r="D12" i="146"/>
  <c r="F12" i="146" s="1"/>
  <c r="G12" i="146" s="1"/>
  <c r="E9" i="146"/>
  <c r="D9" i="146"/>
  <c r="F9" i="146" s="1"/>
  <c r="G9" i="146" s="1"/>
  <c r="E7" i="146"/>
  <c r="O44" i="70" a="1"/>
  <c r="O44" i="70" s="1"/>
  <c r="P44" i="70" s="1"/>
  <c r="G18" i="69" s="1"/>
  <c r="O51" i="70"/>
  <c r="P51" i="70" s="1"/>
  <c r="O48" i="70"/>
  <c r="O38" i="70"/>
  <c r="K38" i="70"/>
  <c r="P10" i="70"/>
  <c r="O49" i="70"/>
  <c r="P24" i="70"/>
  <c r="O50" i="70"/>
  <c r="P50" i="70" s="1"/>
  <c r="O47" i="70" a="1"/>
  <c r="O47" i="70" s="1"/>
  <c r="P32" i="70"/>
  <c r="O46" i="70" a="1"/>
  <c r="O46" i="70" s="1"/>
  <c r="P46" i="70" s="1"/>
  <c r="N45" i="70" a="1"/>
  <c r="N45" i="70" s="1"/>
  <c r="N48" i="70"/>
  <c r="P9" i="70"/>
  <c r="N49" i="70"/>
  <c r="P21" i="70"/>
  <c r="P37" i="70"/>
  <c r="N47" i="70" a="1"/>
  <c r="N47" i="70" s="1"/>
  <c r="P38" i="70" l="1"/>
  <c r="P45" i="70"/>
  <c r="P48" i="70"/>
  <c r="G17" i="69" s="1"/>
  <c r="P49" i="70"/>
  <c r="P47" i="70"/>
  <c r="N50" i="141" a="1"/>
  <c r="N50" i="141" s="1"/>
  <c r="P50" i="141" s="1"/>
  <c r="N49" i="141" a="1"/>
  <c r="N49" i="141" s="1"/>
  <c r="P49" i="141" s="1"/>
  <c r="N48" i="141" a="1"/>
  <c r="N48" i="141" s="1"/>
  <c r="P48" i="141" s="1"/>
  <c r="N47" i="141" a="1"/>
  <c r="N47" i="141" s="1"/>
  <c r="P47" i="141" s="1"/>
  <c r="J50" i="141" a="1"/>
  <c r="J50" i="141" s="1"/>
  <c r="L50" i="141" s="1"/>
  <c r="J49" i="141" a="1"/>
  <c r="J49" i="141" s="1"/>
  <c r="L49" i="141" s="1"/>
  <c r="J48" i="141" a="1"/>
  <c r="J48" i="141" s="1"/>
  <c r="L48" i="141" s="1"/>
  <c r="J47" i="141" a="1"/>
  <c r="J47" i="141" s="1"/>
  <c r="L47" i="141" s="1"/>
  <c r="F50" i="141" a="1"/>
  <c r="F50" i="141" s="1"/>
  <c r="H50" i="141" s="1"/>
  <c r="F49" i="141" a="1"/>
  <c r="F49" i="141" s="1"/>
  <c r="H49" i="141" s="1"/>
  <c r="F48" i="141" a="1"/>
  <c r="F48" i="141" s="1"/>
  <c r="H48" i="141" s="1"/>
  <c r="F47" i="141" a="1"/>
  <c r="F47" i="141" s="1"/>
  <c r="H47" i="141" s="1"/>
  <c r="B50" i="141" a="1"/>
  <c r="B50" i="141" s="1"/>
  <c r="D50" i="141" s="1"/>
  <c r="B49" i="141" a="1"/>
  <c r="B49" i="141" s="1"/>
  <c r="D49" i="141" s="1"/>
  <c r="B48" i="141" a="1"/>
  <c r="B48" i="141" s="1"/>
  <c r="D48" i="141" s="1"/>
  <c r="E18" i="12"/>
  <c r="E8" i="12"/>
  <c r="E14" i="12"/>
  <c r="B41" i="94" l="1"/>
  <c r="B41" i="141"/>
  <c r="D41" i="141" s="1"/>
  <c r="B45" i="10" l="1" a="1"/>
  <c r="B45" i="10" s="1"/>
  <c r="G20" i="138" l="1"/>
  <c r="I20" i="138" s="1"/>
  <c r="F20" i="138"/>
  <c r="E20" i="138"/>
  <c r="D20" i="138"/>
  <c r="B44" i="141" a="1"/>
  <c r="B44" i="141" s="1"/>
  <c r="D44" i="141" s="1"/>
  <c r="C17" i="138"/>
  <c r="N42" i="141" a="1"/>
  <c r="N42" i="141" s="1"/>
  <c r="P42" i="141" s="1"/>
  <c r="J42" i="141" a="1"/>
  <c r="J42" i="141" s="1"/>
  <c r="L42" i="141" s="1"/>
  <c r="F42" i="141" a="1"/>
  <c r="F42" i="141" s="1"/>
  <c r="H42" i="141" s="1"/>
  <c r="G19" i="138" l="1"/>
  <c r="E19" i="138"/>
  <c r="H20" i="138"/>
  <c r="J20" i="138" s="1"/>
  <c r="F41" i="141"/>
  <c r="H41" i="141" s="1"/>
  <c r="F44" i="141" a="1"/>
  <c r="F44" i="141" s="1"/>
  <c r="H44" i="141" s="1"/>
  <c r="B43" i="141" a="1"/>
  <c r="B43" i="141" s="1"/>
  <c r="D43" i="141" s="1"/>
  <c r="J43" i="141" a="1"/>
  <c r="J43" i="141" s="1"/>
  <c r="L43" i="141" s="1"/>
  <c r="J45" i="141" a="1"/>
  <c r="J45" i="141" s="1"/>
  <c r="L45" i="141" s="1"/>
  <c r="N44" i="141" a="1"/>
  <c r="N44" i="141" s="1"/>
  <c r="P44" i="141" s="1"/>
  <c r="F43" i="141" a="1"/>
  <c r="F43" i="141" s="1"/>
  <c r="H43" i="141" s="1"/>
  <c r="J41" i="141"/>
  <c r="L41" i="141" s="1"/>
  <c r="F18" i="138"/>
  <c r="J44" i="141" a="1"/>
  <c r="J44" i="141" s="1"/>
  <c r="L44" i="141" s="1"/>
  <c r="N43" i="141" a="1"/>
  <c r="N43" i="141" s="1"/>
  <c r="P43" i="141" s="1"/>
  <c r="H19" i="138"/>
  <c r="J19" i="138" s="1"/>
  <c r="H17" i="138"/>
  <c r="J17" i="138" s="1"/>
  <c r="F17" i="138"/>
  <c r="F19" i="138"/>
  <c r="N45" i="141" a="1"/>
  <c r="N45" i="141" s="1"/>
  <c r="P45" i="141" s="1"/>
  <c r="B45" i="141" a="1"/>
  <c r="B45" i="141" s="1"/>
  <c r="D45" i="141" s="1"/>
  <c r="F45" i="141" a="1"/>
  <c r="F45" i="141" s="1"/>
  <c r="H45" i="141" s="1"/>
  <c r="D17" i="138"/>
  <c r="E17" i="138"/>
  <c r="G17" i="138"/>
  <c r="I17" i="138" s="1"/>
  <c r="E18" i="138" l="1"/>
  <c r="D18" i="138"/>
  <c r="G18" i="138"/>
  <c r="I18" i="138" s="1"/>
  <c r="H18" i="138"/>
  <c r="J18" i="138" s="1"/>
  <c r="B44" i="86" l="1" a="1"/>
  <c r="B44" i="86" s="1"/>
  <c r="C44" i="86"/>
  <c r="F44" i="86"/>
  <c r="G44" i="86"/>
  <c r="J44" i="86"/>
  <c r="K44" i="86"/>
  <c r="B45" i="86"/>
  <c r="C45" i="86"/>
  <c r="F45" i="86"/>
  <c r="G45" i="86"/>
  <c r="J45" i="86"/>
  <c r="K45" i="86"/>
  <c r="B46" i="86"/>
  <c r="C46" i="86"/>
  <c r="F46" i="86"/>
  <c r="G46" i="86"/>
  <c r="J46" i="86"/>
  <c r="K46" i="86"/>
  <c r="B47" i="86"/>
  <c r="C47" i="86"/>
  <c r="F47" i="86"/>
  <c r="G47" i="86"/>
  <c r="J47" i="86"/>
  <c r="K47" i="86"/>
  <c r="B50" i="86" a="1"/>
  <c r="B50" i="86" s="1"/>
  <c r="C50" i="86" a="1"/>
  <c r="C50" i="86" s="1"/>
  <c r="F50" i="86" a="1"/>
  <c r="F50" i="86" s="1"/>
  <c r="G50" i="86" a="1"/>
  <c r="G50" i="86" s="1"/>
  <c r="J50" i="86" a="1"/>
  <c r="J50" i="86" s="1"/>
  <c r="K50" i="86" a="1"/>
  <c r="K50" i="86" s="1"/>
  <c r="B51" i="86" a="1"/>
  <c r="B51" i="86" s="1"/>
  <c r="C51" i="86" a="1"/>
  <c r="C51" i="86" s="1"/>
  <c r="F51" i="86" a="1"/>
  <c r="F51" i="86" s="1"/>
  <c r="G51" i="86" a="1"/>
  <c r="G51" i="86" s="1"/>
  <c r="J51" i="86" a="1"/>
  <c r="J51" i="86" s="1"/>
  <c r="K51" i="86" a="1"/>
  <c r="K51" i="86" s="1"/>
  <c r="B52" i="86" a="1"/>
  <c r="B52" i="86" s="1"/>
  <c r="C52" i="86" a="1"/>
  <c r="C52" i="86" s="1"/>
  <c r="F52" i="86" a="1"/>
  <c r="F52" i="86" s="1"/>
  <c r="G52" i="86" a="1"/>
  <c r="G52" i="86" s="1"/>
  <c r="J52" i="86" a="1"/>
  <c r="J52" i="86" s="1"/>
  <c r="K52" i="86" a="1"/>
  <c r="K52" i="86" s="1"/>
  <c r="B53" i="86" a="1"/>
  <c r="B53" i="86" s="1"/>
  <c r="C53" i="86" a="1"/>
  <c r="C53" i="86" s="1"/>
  <c r="F53" i="86" a="1"/>
  <c r="F53" i="86" s="1"/>
  <c r="G53" i="86" a="1"/>
  <c r="G53" i="86" s="1"/>
  <c r="J53" i="86" a="1"/>
  <c r="J53" i="86" s="1"/>
  <c r="K53" i="86" a="1"/>
  <c r="K53" i="86" s="1"/>
  <c r="H44" i="86" l="1"/>
  <c r="H45" i="86"/>
  <c r="D47" i="86"/>
  <c r="D44" i="86"/>
  <c r="H52" i="86"/>
  <c r="D46" i="86"/>
  <c r="L44" i="86"/>
  <c r="L47" i="86"/>
  <c r="D53" i="86"/>
  <c r="H51" i="86"/>
  <c r="D52" i="86"/>
  <c r="H50" i="86"/>
  <c r="D45" i="86"/>
  <c r="L51" i="86"/>
  <c r="D51" i="86"/>
  <c r="D50" i="86"/>
  <c r="L53" i="86"/>
  <c r="L46" i="86"/>
  <c r="L45" i="86"/>
  <c r="L50" i="86"/>
  <c r="H53" i="86"/>
  <c r="H46" i="86"/>
  <c r="H47" i="86"/>
  <c r="L52" i="86"/>
  <c r="G12" i="12"/>
  <c r="K45" i="70" a="1"/>
  <c r="K45" i="70" s="1"/>
  <c r="G45" i="70" a="1"/>
  <c r="G45" i="70" s="1"/>
  <c r="C45" i="70" a="1"/>
  <c r="C45" i="70" s="1"/>
  <c r="O44" i="44" a="1"/>
  <c r="O44" i="44" s="1"/>
  <c r="N44" i="44" a="1"/>
  <c r="N44" i="44" s="1"/>
  <c r="K44" i="44" a="1"/>
  <c r="K44" i="44" s="1"/>
  <c r="J44" i="44" a="1"/>
  <c r="J44" i="44" s="1"/>
  <c r="G44" i="44" a="1"/>
  <c r="G44" i="44" s="1"/>
  <c r="F44" i="44" a="1"/>
  <c r="F44" i="44" s="1"/>
  <c r="H44" i="44" s="1"/>
  <c r="C44" i="44" a="1"/>
  <c r="C44" i="44" s="1"/>
  <c r="B44" i="44"/>
  <c r="D44" i="44" s="1"/>
  <c r="B44" i="44" a="1"/>
  <c r="K47" i="10" l="1" a="1"/>
  <c r="K47" i="10" s="1"/>
  <c r="K45" i="10" a="1"/>
  <c r="K45" i="10" s="1"/>
  <c r="C46" i="10" a="1"/>
  <c r="C46" i="10" s="1"/>
  <c r="O45" i="10" a="1"/>
  <c r="O45" i="10" s="1"/>
  <c r="O47" i="10" a="1"/>
  <c r="O47" i="10" s="1"/>
  <c r="K44" i="10" a="1"/>
  <c r="K44" i="10" s="1"/>
  <c r="C47" i="10" a="1"/>
  <c r="C47" i="10" s="1"/>
  <c r="G49" i="10" a="1"/>
  <c r="G49" i="10" s="1"/>
  <c r="G47" i="10" a="1"/>
  <c r="G47" i="10" s="1"/>
  <c r="L44" i="44"/>
  <c r="P44" i="44"/>
  <c r="O45" i="143" a="1"/>
  <c r="O45" i="143" s="1"/>
  <c r="K45" i="143" a="1"/>
  <c r="K45" i="143" s="1"/>
  <c r="G45" i="143" a="1"/>
  <c r="G45" i="143" s="1"/>
  <c r="C45" i="143" a="1"/>
  <c r="C45" i="143" s="1"/>
  <c r="O53" i="86" a="1"/>
  <c r="O53" i="86" s="1"/>
  <c r="N53" i="86" a="1"/>
  <c r="N53" i="86" s="1"/>
  <c r="O52" i="86" a="1"/>
  <c r="O52" i="86" s="1"/>
  <c r="N52" i="86" a="1"/>
  <c r="N52" i="86" s="1"/>
  <c r="O51" i="86" a="1"/>
  <c r="O51" i="86" s="1"/>
  <c r="N51" i="86" a="1"/>
  <c r="N51" i="86" s="1"/>
  <c r="O50" i="86" a="1"/>
  <c r="O50" i="86" s="1"/>
  <c r="N50" i="86" a="1"/>
  <c r="N50" i="86" s="1"/>
  <c r="O43" i="94" a="1"/>
  <c r="O43" i="94" s="1"/>
  <c r="N43" i="94" a="1"/>
  <c r="N43" i="94" s="1"/>
  <c r="K43" i="94" a="1"/>
  <c r="K43" i="94" s="1"/>
  <c r="J43" i="94" a="1"/>
  <c r="J43" i="94" s="1"/>
  <c r="G43" i="94" a="1"/>
  <c r="G43" i="94" s="1"/>
  <c r="F43" i="94" a="1"/>
  <c r="F43" i="94" s="1"/>
  <c r="C43" i="94" a="1"/>
  <c r="C43" i="94" s="1"/>
  <c r="B43" i="94" a="1"/>
  <c r="B43" i="94" s="1"/>
  <c r="O45" i="142" a="1"/>
  <c r="O45" i="142" s="1"/>
  <c r="N45" i="142" a="1"/>
  <c r="N45" i="142" s="1"/>
  <c r="N45" i="140" a="1"/>
  <c r="N45" i="140" s="1"/>
  <c r="K45" i="140" a="1"/>
  <c r="K45" i="140" s="1"/>
  <c r="J45" i="140" a="1"/>
  <c r="J45" i="140" s="1"/>
  <c r="F45" i="140" a="1"/>
  <c r="F45" i="140" s="1"/>
  <c r="C45" i="140" a="1"/>
  <c r="C45" i="140" s="1"/>
  <c r="B45" i="140" a="1"/>
  <c r="B45" i="140" s="1"/>
  <c r="O49" i="132" a="1"/>
  <c r="O49" i="132" s="1"/>
  <c r="N49" i="132" a="1"/>
  <c r="N49" i="132" s="1"/>
  <c r="K49" i="132" a="1"/>
  <c r="K49" i="132" s="1"/>
  <c r="J49" i="132" a="1"/>
  <c r="J49" i="132" s="1"/>
  <c r="G49" i="132" a="1"/>
  <c r="G49" i="132" s="1"/>
  <c r="F49" i="132" a="1"/>
  <c r="F49" i="132" s="1"/>
  <c r="F49" i="10" a="1"/>
  <c r="F49" i="10" s="1"/>
  <c r="J49" i="10" a="1"/>
  <c r="J49" i="10" s="1"/>
  <c r="K49" i="10" a="1"/>
  <c r="K49" i="10" s="1"/>
  <c r="N49" i="10" a="1"/>
  <c r="N49" i="10" s="1"/>
  <c r="C49" i="10" a="1"/>
  <c r="C49" i="10" s="1"/>
  <c r="B49" i="10" a="1"/>
  <c r="B49" i="10" s="1"/>
  <c r="B52" i="10"/>
  <c r="O50" i="44"/>
  <c r="N50" i="44"/>
  <c r="P50" i="44" s="1"/>
  <c r="K50" i="44"/>
  <c r="J50" i="44"/>
  <c r="L50" i="44" s="1"/>
  <c r="G50" i="44"/>
  <c r="F50" i="44"/>
  <c r="H50" i="44" s="1"/>
  <c r="C50" i="44"/>
  <c r="D50" i="44" s="1"/>
  <c r="B50" i="44"/>
  <c r="O49" i="44"/>
  <c r="P49" i="44" s="1"/>
  <c r="N49" i="44"/>
  <c r="L49" i="44"/>
  <c r="K49" i="44"/>
  <c r="J49" i="44"/>
  <c r="H49" i="44"/>
  <c r="G49" i="44"/>
  <c r="F49" i="44"/>
  <c r="C49" i="44"/>
  <c r="B49" i="44"/>
  <c r="D49" i="44" s="1"/>
  <c r="O48" i="44"/>
  <c r="N48" i="44"/>
  <c r="P48" i="44" s="1"/>
  <c r="K48" i="44"/>
  <c r="J48" i="44"/>
  <c r="L48" i="44" s="1"/>
  <c r="G48" i="44"/>
  <c r="F48" i="44"/>
  <c r="H48" i="44" s="1"/>
  <c r="C48" i="44"/>
  <c r="D48" i="44" s="1"/>
  <c r="B48" i="44"/>
  <c r="O47" i="44"/>
  <c r="P47" i="44" s="1"/>
  <c r="N47" i="44"/>
  <c r="L47" i="44"/>
  <c r="K47" i="44"/>
  <c r="J47" i="44"/>
  <c r="H47" i="44"/>
  <c r="G47" i="44"/>
  <c r="F47" i="44"/>
  <c r="C47" i="44"/>
  <c r="B47" i="44" a="1"/>
  <c r="B47" i="44" s="1"/>
  <c r="D47" i="44" s="1"/>
  <c r="O52" i="82"/>
  <c r="N52" i="82"/>
  <c r="K52" i="82"/>
  <c r="J52" i="82"/>
  <c r="G52" i="82"/>
  <c r="F52" i="82"/>
  <c r="C52" i="82"/>
  <c r="O51" i="82"/>
  <c r="N51" i="82"/>
  <c r="K51" i="82"/>
  <c r="J51" i="82"/>
  <c r="L51" i="82" s="1"/>
  <c r="G51" i="82"/>
  <c r="F51" i="82"/>
  <c r="C51" i="82"/>
  <c r="O50" i="82"/>
  <c r="N50" i="82"/>
  <c r="K50" i="82"/>
  <c r="J50" i="82"/>
  <c r="G50" i="82"/>
  <c r="F50" i="82"/>
  <c r="C50" i="82"/>
  <c r="O49" i="82"/>
  <c r="N49" i="82"/>
  <c r="P49" i="82" s="1"/>
  <c r="K49" i="82"/>
  <c r="J49" i="82"/>
  <c r="L49" i="82" s="1"/>
  <c r="G49" i="82"/>
  <c r="F49" i="82"/>
  <c r="C49" i="82"/>
  <c r="D49" i="82" s="1"/>
  <c r="O51" i="143"/>
  <c r="K51" i="143"/>
  <c r="G51" i="143"/>
  <c r="O50" i="143"/>
  <c r="K50" i="143"/>
  <c r="G50" i="143"/>
  <c r="O49" i="143"/>
  <c r="K49" i="143"/>
  <c r="G49" i="143"/>
  <c r="C49" i="143"/>
  <c r="O48" i="143"/>
  <c r="K48" i="143"/>
  <c r="G48" i="143"/>
  <c r="O47" i="86"/>
  <c r="N47" i="86"/>
  <c r="O46" i="86"/>
  <c r="N46" i="86"/>
  <c r="O45" i="86"/>
  <c r="N45" i="86"/>
  <c r="O44" i="86"/>
  <c r="N44" i="86"/>
  <c r="O50" i="94"/>
  <c r="N50" i="94"/>
  <c r="K50" i="94"/>
  <c r="J50" i="94"/>
  <c r="G50" i="94"/>
  <c r="F50" i="94"/>
  <c r="C50" i="94"/>
  <c r="B50" i="94"/>
  <c r="O49" i="94"/>
  <c r="N49" i="94"/>
  <c r="K49" i="94"/>
  <c r="J49" i="94"/>
  <c r="G49" i="94"/>
  <c r="F49" i="94"/>
  <c r="C49" i="94"/>
  <c r="B49" i="94"/>
  <c r="O48" i="94"/>
  <c r="N48" i="94"/>
  <c r="K48" i="94"/>
  <c r="J48" i="94"/>
  <c r="G48" i="94"/>
  <c r="F48" i="94"/>
  <c r="C48" i="94"/>
  <c r="B48" i="94"/>
  <c r="O47" i="94"/>
  <c r="N47" i="94"/>
  <c r="K47" i="94"/>
  <c r="J47" i="94"/>
  <c r="G47" i="94"/>
  <c r="F47" i="94"/>
  <c r="C47" i="94"/>
  <c r="B47" i="94" a="1"/>
  <c r="B47" i="94" s="1"/>
  <c r="O51" i="142" a="1"/>
  <c r="O51" i="142" s="1"/>
  <c r="O50" i="142" a="1"/>
  <c r="O50" i="142" s="1"/>
  <c r="N50" i="142" a="1"/>
  <c r="N50" i="142" s="1"/>
  <c r="O49" i="142" a="1"/>
  <c r="O49" i="142" s="1"/>
  <c r="N49" i="142" a="1"/>
  <c r="N49" i="142" s="1"/>
  <c r="O48" i="142" a="1"/>
  <c r="O48" i="142" s="1"/>
  <c r="N48" i="142" a="1"/>
  <c r="N48" i="142" s="1"/>
  <c r="N51" i="140" a="1"/>
  <c r="N51" i="140" s="1"/>
  <c r="K51" i="140" a="1"/>
  <c r="K51" i="140" s="1"/>
  <c r="J51" i="140" a="1"/>
  <c r="J51" i="140" s="1"/>
  <c r="F51" i="140" a="1"/>
  <c r="F51" i="140" s="1"/>
  <c r="C51" i="140" a="1"/>
  <c r="C51" i="140" s="1"/>
  <c r="B51" i="140" a="1"/>
  <c r="B51" i="140" s="1"/>
  <c r="N50" i="140" a="1"/>
  <c r="N50" i="140" s="1"/>
  <c r="K50" i="140" a="1"/>
  <c r="K50" i="140" s="1"/>
  <c r="J50" i="140" a="1"/>
  <c r="J50" i="140" s="1"/>
  <c r="F50" i="140" a="1"/>
  <c r="F50" i="140" s="1"/>
  <c r="C50" i="140" a="1"/>
  <c r="C50" i="140" s="1"/>
  <c r="B50" i="140" a="1"/>
  <c r="B50" i="140" s="1"/>
  <c r="N49" i="140" a="1"/>
  <c r="N49" i="140" s="1"/>
  <c r="K49" i="140" a="1"/>
  <c r="K49" i="140" s="1"/>
  <c r="J49" i="140" a="1"/>
  <c r="J49" i="140" s="1"/>
  <c r="F49" i="140" a="1"/>
  <c r="F49" i="140" s="1"/>
  <c r="C49" i="140" a="1"/>
  <c r="C49" i="140" s="1"/>
  <c r="B49" i="140" a="1"/>
  <c r="B49" i="140" s="1"/>
  <c r="N48" i="140" a="1"/>
  <c r="N48" i="140" s="1"/>
  <c r="K48" i="140" a="1"/>
  <c r="K48" i="140" s="1"/>
  <c r="J48" i="140" a="1"/>
  <c r="J48" i="140" s="1"/>
  <c r="F48" i="140" a="1"/>
  <c r="F48" i="140" s="1"/>
  <c r="B48" i="140" a="1"/>
  <c r="B48" i="140" s="1"/>
  <c r="O47" i="132" a="1"/>
  <c r="O47" i="132" s="1"/>
  <c r="N47" i="132" a="1"/>
  <c r="N47" i="132" s="1"/>
  <c r="K47" i="132" a="1"/>
  <c r="K47" i="132" s="1"/>
  <c r="J47" i="132" a="1"/>
  <c r="J47" i="132" s="1"/>
  <c r="G47" i="132" a="1"/>
  <c r="G47" i="132" s="1"/>
  <c r="F47" i="132" a="1"/>
  <c r="F47" i="132" s="1"/>
  <c r="O46" i="132" a="1"/>
  <c r="O46" i="132" s="1"/>
  <c r="N46" i="132" a="1"/>
  <c r="N46" i="132" s="1"/>
  <c r="K46" i="132" a="1"/>
  <c r="K46" i="132" s="1"/>
  <c r="J46" i="132" a="1"/>
  <c r="J46" i="132" s="1"/>
  <c r="G46" i="132" a="1"/>
  <c r="G46" i="132" s="1"/>
  <c r="F46" i="132" a="1"/>
  <c r="F46" i="132" s="1"/>
  <c r="O45" i="132" a="1"/>
  <c r="O45" i="132" s="1"/>
  <c r="N45" i="132" a="1"/>
  <c r="N45" i="132" s="1"/>
  <c r="K45" i="132" a="1"/>
  <c r="K45" i="132" s="1"/>
  <c r="J45" i="132" a="1"/>
  <c r="J45" i="132" s="1"/>
  <c r="G45" i="132" a="1"/>
  <c r="G45" i="132" s="1"/>
  <c r="F45" i="132" a="1"/>
  <c r="F45" i="132" s="1"/>
  <c r="O44" i="132" a="1"/>
  <c r="O44" i="132" s="1"/>
  <c r="N44" i="132" a="1"/>
  <c r="N44" i="132" s="1"/>
  <c r="K44" i="132" a="1"/>
  <c r="K44" i="132" s="1"/>
  <c r="J44" i="132" a="1"/>
  <c r="J44" i="132" s="1"/>
  <c r="G44" i="132" a="1"/>
  <c r="G44" i="132" s="1"/>
  <c r="F44" i="132" a="1"/>
  <c r="F44" i="132" s="1"/>
  <c r="F44" i="10" a="1"/>
  <c r="F44" i="10" s="1"/>
  <c r="J44" i="10" a="1"/>
  <c r="J44" i="10" s="1"/>
  <c r="N44" i="10" a="1"/>
  <c r="N44" i="10" s="1"/>
  <c r="F45" i="10" a="1"/>
  <c r="F45" i="10" s="1"/>
  <c r="G45" i="10" a="1"/>
  <c r="G45" i="10" s="1"/>
  <c r="J45" i="10" a="1"/>
  <c r="J45" i="10" s="1"/>
  <c r="N45" i="10" a="1"/>
  <c r="N45" i="10" s="1"/>
  <c r="F46" i="10" a="1"/>
  <c r="F46" i="10" s="1"/>
  <c r="J46" i="10" a="1"/>
  <c r="J46" i="10" s="1"/>
  <c r="N46" i="10" a="1"/>
  <c r="N46" i="10" s="1"/>
  <c r="F47" i="10" a="1"/>
  <c r="F47" i="10" s="1"/>
  <c r="J47" i="10" a="1"/>
  <c r="J47" i="10" s="1"/>
  <c r="N47" i="10" a="1"/>
  <c r="N47" i="10" s="1"/>
  <c r="C45" i="10" a="1"/>
  <c r="C45" i="10" s="1"/>
  <c r="B47" i="10" a="1"/>
  <c r="B47" i="10" s="1"/>
  <c r="B46" i="10" a="1"/>
  <c r="B46" i="10" s="1"/>
  <c r="B44" i="10" a="1"/>
  <c r="B44" i="10" s="1"/>
  <c r="P44" i="132" l="1"/>
  <c r="P46" i="132"/>
  <c r="P47" i="132"/>
  <c r="P49" i="132"/>
  <c r="L47" i="132"/>
  <c r="L49" i="132"/>
  <c r="L45" i="132"/>
  <c r="L44" i="132"/>
  <c r="L46" i="132"/>
  <c r="H47" i="132"/>
  <c r="H49" i="132"/>
  <c r="H45" i="132"/>
  <c r="H46" i="132"/>
  <c r="H44" i="132"/>
  <c r="H51" i="82"/>
  <c r="L52" i="82"/>
  <c r="P50" i="82"/>
  <c r="H50" i="82"/>
  <c r="H52" i="82"/>
  <c r="D52" i="82"/>
  <c r="H49" i="82"/>
  <c r="D50" i="82"/>
  <c r="D51" i="82"/>
  <c r="P51" i="82"/>
  <c r="P52" i="82"/>
  <c r="L50" i="82"/>
  <c r="P47" i="94"/>
  <c r="P48" i="94"/>
  <c r="P49" i="94"/>
  <c r="P43" i="94"/>
  <c r="L49" i="140"/>
  <c r="P50" i="94"/>
  <c r="L45" i="140"/>
  <c r="D50" i="140"/>
  <c r="L51" i="140"/>
  <c r="D51" i="140"/>
  <c r="D49" i="140"/>
  <c r="D45" i="140"/>
  <c r="L47" i="94"/>
  <c r="L48" i="94"/>
  <c r="L43" i="94"/>
  <c r="L49" i="94"/>
  <c r="H43" i="94"/>
  <c r="H47" i="94"/>
  <c r="H48" i="94"/>
  <c r="H49" i="94"/>
  <c r="H50" i="94"/>
  <c r="D47" i="94"/>
  <c r="D49" i="94"/>
  <c r="L50" i="94"/>
  <c r="I15" i="119"/>
  <c r="G15" i="119"/>
  <c r="H15" i="119"/>
  <c r="D50" i="94"/>
  <c r="D48" i="94"/>
  <c r="D43" i="94"/>
  <c r="P47" i="86"/>
  <c r="P52" i="86"/>
  <c r="P45" i="86"/>
  <c r="G11" i="119" s="1"/>
  <c r="P53" i="86"/>
  <c r="O44" i="10" a="1"/>
  <c r="O44" i="10" s="1"/>
  <c r="P44" i="10" s="1"/>
  <c r="O46" i="10" a="1"/>
  <c r="O46" i="10" s="1"/>
  <c r="P46" i="10" s="1"/>
  <c r="H4" i="119" s="1"/>
  <c r="K46" i="10" a="1"/>
  <c r="K46" i="10" s="1"/>
  <c r="L46" i="10" s="1"/>
  <c r="C44" i="10" a="1"/>
  <c r="C44" i="10" s="1"/>
  <c r="D44" i="10" s="1"/>
  <c r="O49" i="10" a="1"/>
  <c r="O49" i="10" s="1"/>
  <c r="P49" i="10" s="1"/>
  <c r="G44" i="10" a="1"/>
  <c r="G44" i="10" s="1"/>
  <c r="H44" i="10" s="1"/>
  <c r="G46" i="10" a="1"/>
  <c r="G46" i="10" s="1"/>
  <c r="H46" i="10" s="1"/>
  <c r="H49" i="10"/>
  <c r="P45" i="10"/>
  <c r="G4" i="119" s="1"/>
  <c r="D49" i="10"/>
  <c r="H47" i="10"/>
  <c r="I25" i="119"/>
  <c r="P46" i="86"/>
  <c r="H11" i="119" s="1"/>
  <c r="P44" i="86"/>
  <c r="P51" i="86"/>
  <c r="P50" i="86"/>
  <c r="L49" i="10"/>
  <c r="L47" i="10"/>
  <c r="L45" i="10"/>
  <c r="H45" i="10"/>
  <c r="P47" i="10"/>
  <c r="I4" i="119" s="1"/>
  <c r="L50" i="140"/>
  <c r="L48" i="140"/>
  <c r="P45" i="132"/>
  <c r="L44" i="10"/>
  <c r="I24" i="119"/>
  <c r="I23" i="119"/>
  <c r="I21" i="119"/>
  <c r="I20" i="119"/>
  <c r="I19" i="119"/>
  <c r="I18" i="119"/>
  <c r="I17" i="119"/>
  <c r="I16" i="119"/>
  <c r="I14" i="119"/>
  <c r="I13" i="119"/>
  <c r="I11" i="119"/>
  <c r="I10" i="119"/>
  <c r="I8" i="119"/>
  <c r="I7" i="119"/>
  <c r="I5" i="119"/>
  <c r="H25" i="119"/>
  <c r="H24" i="119"/>
  <c r="H23" i="119"/>
  <c r="H21" i="119"/>
  <c r="H20" i="119"/>
  <c r="H19" i="119"/>
  <c r="H18" i="119"/>
  <c r="H17" i="119"/>
  <c r="H16" i="119"/>
  <c r="H14" i="119"/>
  <c r="H13" i="119"/>
  <c r="H10" i="119"/>
  <c r="H8" i="119"/>
  <c r="H7" i="119"/>
  <c r="H5" i="119"/>
  <c r="G25" i="119"/>
  <c r="G24" i="119"/>
  <c r="G23" i="119"/>
  <c r="G21" i="119"/>
  <c r="G20" i="119"/>
  <c r="G19" i="119"/>
  <c r="G18" i="119"/>
  <c r="G17" i="119"/>
  <c r="G16" i="119"/>
  <c r="G14" i="119"/>
  <c r="G13" i="119"/>
  <c r="G10" i="119"/>
  <c r="G8" i="119"/>
  <c r="G7" i="119"/>
  <c r="G5" i="119"/>
  <c r="C17" i="2"/>
  <c r="G17" i="2" s="1"/>
  <c r="C17" i="25"/>
  <c r="J17" i="25" s="1"/>
  <c r="P41" i="94" l="1"/>
  <c r="K41" i="94"/>
  <c r="J41" i="94"/>
  <c r="G41" i="94"/>
  <c r="F41" i="94"/>
  <c r="C41" i="94"/>
  <c r="D41" i="94" s="1"/>
  <c r="B42" i="94" a="1"/>
  <c r="B42" i="94" s="1"/>
  <c r="C42" i="94" a="1"/>
  <c r="C42" i="94" s="1"/>
  <c r="F42" i="94" a="1"/>
  <c r="F42" i="94" s="1"/>
  <c r="G42" i="94" a="1"/>
  <c r="G42" i="94" s="1"/>
  <c r="J42" i="94" a="1"/>
  <c r="J42" i="94" s="1"/>
  <c r="K42" i="94" a="1"/>
  <c r="K42" i="94" s="1"/>
  <c r="N42" i="94" a="1"/>
  <c r="N42" i="94" s="1"/>
  <c r="O42" i="94" a="1"/>
  <c r="O42" i="94" s="1"/>
  <c r="P42" i="94" l="1"/>
  <c r="C17" i="95" s="1"/>
  <c r="H41" i="94"/>
  <c r="L41" i="94"/>
  <c r="L42" i="94"/>
  <c r="H42" i="94"/>
  <c r="D42" i="94"/>
  <c r="B52" i="140" l="1" a="1"/>
  <c r="B52" i="140" s="1"/>
  <c r="N52" i="140" a="1"/>
  <c r="N52" i="140" s="1"/>
  <c r="J52" i="140" a="1"/>
  <c r="J52" i="140" s="1"/>
  <c r="F52" i="140" a="1"/>
  <c r="F52" i="140" s="1"/>
  <c r="O52" i="132" a="1"/>
  <c r="O52" i="132" s="1"/>
  <c r="N52" i="132" a="1"/>
  <c r="N52" i="132" s="1"/>
  <c r="K52" i="132" a="1"/>
  <c r="K52" i="132" s="1"/>
  <c r="J52" i="132" a="1"/>
  <c r="J52" i="132" s="1"/>
  <c r="L52" i="132" s="1"/>
  <c r="G52" i="132" a="1"/>
  <c r="G52" i="132" s="1"/>
  <c r="F52" i="132" a="1"/>
  <c r="F52" i="132" s="1"/>
  <c r="O51" i="132" a="1"/>
  <c r="O51" i="132" s="1"/>
  <c r="N51" i="132" a="1"/>
  <c r="N51" i="132" s="1"/>
  <c r="K51" i="132" a="1"/>
  <c r="K51" i="132" s="1"/>
  <c r="J51" i="132" a="1"/>
  <c r="J51" i="132" s="1"/>
  <c r="G51" i="132" a="1"/>
  <c r="G51" i="132" s="1"/>
  <c r="F51" i="132" a="1"/>
  <c r="F51" i="132" s="1"/>
  <c r="O50" i="132" a="1"/>
  <c r="O50" i="132" s="1"/>
  <c r="N50" i="132" a="1"/>
  <c r="N50" i="132" s="1"/>
  <c r="K50" i="132" a="1"/>
  <c r="K50" i="132" s="1"/>
  <c r="J50" i="132" a="1"/>
  <c r="J50" i="132" s="1"/>
  <c r="G50" i="132" a="1"/>
  <c r="G50" i="132" s="1"/>
  <c r="F50" i="132" a="1"/>
  <c r="F50" i="132" s="1"/>
  <c r="O48" i="132" a="1"/>
  <c r="O48" i="132" s="1"/>
  <c r="N48" i="132" a="1"/>
  <c r="N48" i="132" s="1"/>
  <c r="P48" i="132" s="1"/>
  <c r="K48" i="132" a="1"/>
  <c r="K48" i="132" s="1"/>
  <c r="J48" i="132" a="1"/>
  <c r="J48" i="132" s="1"/>
  <c r="G48" i="132" a="1"/>
  <c r="G48" i="132" s="1"/>
  <c r="F48" i="132" a="1"/>
  <c r="F48" i="132" s="1"/>
  <c r="P51" i="132" l="1"/>
  <c r="L50" i="132"/>
  <c r="H48" i="132"/>
  <c r="H52" i="132"/>
  <c r="L51" i="132"/>
  <c r="P52" i="132"/>
  <c r="H50" i="132"/>
  <c r="L48" i="132"/>
  <c r="P50" i="132"/>
  <c r="H51" i="132"/>
  <c r="K52" i="140" a="1"/>
  <c r="K52" i="140" s="1"/>
  <c r="L52" i="140" s="1"/>
  <c r="C52" i="140" a="1"/>
  <c r="C52" i="140" s="1"/>
  <c r="D52" i="140" s="1"/>
  <c r="C13" i="133"/>
  <c r="J13" i="133" s="1"/>
  <c r="D23" i="119" l="1"/>
  <c r="D7" i="119"/>
  <c r="D11" i="119"/>
  <c r="D8" i="119"/>
  <c r="D4" i="119"/>
  <c r="F4" i="119"/>
  <c r="K4" i="119"/>
  <c r="L4" i="119"/>
  <c r="C14" i="32"/>
  <c r="G14" i="32" s="1"/>
  <c r="C13" i="32"/>
  <c r="C12" i="32"/>
  <c r="C11" i="32"/>
  <c r="C10" i="32"/>
  <c r="C9" i="32"/>
  <c r="C8" i="32"/>
  <c r="C7" i="32"/>
  <c r="C14" i="30"/>
  <c r="C13" i="30"/>
  <c r="C12" i="30"/>
  <c r="C11" i="30"/>
  <c r="C10" i="30"/>
  <c r="C9" i="30"/>
  <c r="C8" i="30"/>
  <c r="C7" i="30"/>
  <c r="C14" i="69"/>
  <c r="G14" i="69" s="1"/>
  <c r="C13" i="69"/>
  <c r="G13" i="69" s="1"/>
  <c r="C12" i="69"/>
  <c r="G12" i="69" s="1"/>
  <c r="C11" i="69"/>
  <c r="G11" i="69" s="1"/>
  <c r="C10" i="69"/>
  <c r="G10" i="69" s="1"/>
  <c r="C9" i="69"/>
  <c r="G9" i="69" s="1"/>
  <c r="C8" i="69"/>
  <c r="G8" i="69" s="1"/>
  <c r="C7" i="69"/>
  <c r="C14" i="81"/>
  <c r="C13" i="81"/>
  <c r="C12" i="81"/>
  <c r="C11" i="81"/>
  <c r="C10" i="81"/>
  <c r="C9" i="81"/>
  <c r="C8" i="81"/>
  <c r="C7" i="81"/>
  <c r="C14" i="43"/>
  <c r="J14" i="43" s="1"/>
  <c r="C13" i="43"/>
  <c r="J13" i="43" s="1"/>
  <c r="C12" i="43"/>
  <c r="J12" i="43" s="1"/>
  <c r="C11" i="43"/>
  <c r="J11" i="43" s="1"/>
  <c r="C10" i="43"/>
  <c r="J10" i="43" s="1"/>
  <c r="C9" i="43"/>
  <c r="J9" i="43" s="1"/>
  <c r="C8" i="43"/>
  <c r="J8" i="43" s="1"/>
  <c r="C7" i="43"/>
  <c r="J7" i="43" s="1"/>
  <c r="C14" i="57"/>
  <c r="D14" i="57" s="1"/>
  <c r="C13" i="57"/>
  <c r="G13" i="57" s="1"/>
  <c r="C12" i="57"/>
  <c r="D12" i="57" s="1"/>
  <c r="C11" i="57"/>
  <c r="E11" i="57" s="1"/>
  <c r="C10" i="57"/>
  <c r="D10" i="57" s="1"/>
  <c r="C9" i="57"/>
  <c r="D9" i="57" s="1"/>
  <c r="C8" i="57"/>
  <c r="G8" i="57" s="1"/>
  <c r="C7" i="57"/>
  <c r="D7" i="57" s="1"/>
  <c r="C14" i="23"/>
  <c r="C13" i="23"/>
  <c r="C12" i="23"/>
  <c r="C11" i="23"/>
  <c r="C10" i="23"/>
  <c r="C9" i="23"/>
  <c r="C8" i="23"/>
  <c r="C7" i="23"/>
  <c r="C14" i="13"/>
  <c r="J14" i="13" s="1"/>
  <c r="C13" i="13"/>
  <c r="J13" i="13" s="1"/>
  <c r="C12" i="13"/>
  <c r="J12" i="13" s="1"/>
  <c r="C11" i="13"/>
  <c r="J11" i="13" s="1"/>
  <c r="C10" i="13"/>
  <c r="J10" i="13" s="1"/>
  <c r="C9" i="13"/>
  <c r="J9" i="13" s="1"/>
  <c r="C8" i="13"/>
  <c r="J8" i="13" s="1"/>
  <c r="C7" i="13"/>
  <c r="J7" i="13" s="1"/>
  <c r="C14" i="18"/>
  <c r="J14" i="18" s="1"/>
  <c r="C13" i="18"/>
  <c r="J13" i="18" s="1"/>
  <c r="C12" i="18"/>
  <c r="J12" i="18" s="1"/>
  <c r="C11" i="18"/>
  <c r="J11" i="18" s="1"/>
  <c r="C10" i="18"/>
  <c r="J10" i="18" s="1"/>
  <c r="C9" i="18"/>
  <c r="J9" i="18" s="1"/>
  <c r="C8" i="18"/>
  <c r="J8" i="18" s="1"/>
  <c r="C7" i="18"/>
  <c r="J7" i="18" s="1"/>
  <c r="E23" i="12"/>
  <c r="E15" i="12"/>
  <c r="E22" i="12"/>
  <c r="E20" i="12"/>
  <c r="L8" i="119"/>
  <c r="K8" i="119"/>
  <c r="J8" i="119"/>
  <c r="F8" i="119"/>
  <c r="K7" i="119"/>
  <c r="J7" i="119"/>
  <c r="F7" i="119"/>
  <c r="L6" i="119"/>
  <c r="K6" i="119"/>
  <c r="D6" i="119"/>
  <c r="S12" i="12"/>
  <c r="R12" i="12"/>
  <c r="K12" i="12"/>
  <c r="J12" i="12"/>
  <c r="Q12" i="12" s="1"/>
  <c r="I12" i="12"/>
  <c r="E12" i="12"/>
  <c r="S11" i="12"/>
  <c r="R11" i="12"/>
  <c r="J11" i="12"/>
  <c r="P11" i="12" s="1"/>
  <c r="I11" i="12"/>
  <c r="E11" i="12"/>
  <c r="S10" i="12"/>
  <c r="K10" i="12"/>
  <c r="J10" i="12"/>
  <c r="P10" i="12" s="1"/>
  <c r="H21" i="136"/>
  <c r="G21" i="136"/>
  <c r="I21" i="136" s="1"/>
  <c r="F21" i="136"/>
  <c r="E21" i="136"/>
  <c r="D21" i="136"/>
  <c r="H20" i="136"/>
  <c r="G20" i="136"/>
  <c r="F20" i="136"/>
  <c r="E20" i="136"/>
  <c r="D20" i="136"/>
  <c r="H18" i="136"/>
  <c r="F18" i="136"/>
  <c r="B44" i="140" a="1"/>
  <c r="B44" i="140" s="1"/>
  <c r="N47" i="140" a="1"/>
  <c r="N47" i="140" s="1"/>
  <c r="K47" i="140" a="1"/>
  <c r="K47" i="140" s="1"/>
  <c r="J47" i="140" a="1"/>
  <c r="J47" i="140" s="1"/>
  <c r="F47" i="140" a="1"/>
  <c r="F47" i="140" s="1"/>
  <c r="C47" i="140" a="1"/>
  <c r="C47" i="140" s="1"/>
  <c r="B47" i="140" a="1"/>
  <c r="B47" i="140" s="1"/>
  <c r="N46" i="140" a="1"/>
  <c r="N46" i="140" s="1"/>
  <c r="K46" i="140" a="1"/>
  <c r="K46" i="140" s="1"/>
  <c r="J46" i="140" a="1"/>
  <c r="J46" i="140" s="1"/>
  <c r="F46" i="140" a="1"/>
  <c r="F46" i="140" s="1"/>
  <c r="C46" i="140" a="1"/>
  <c r="C46" i="140" s="1"/>
  <c r="B46" i="140" a="1"/>
  <c r="B46" i="140" s="1"/>
  <c r="N44" i="140" a="1"/>
  <c r="N44" i="140" s="1"/>
  <c r="H19" i="136" s="1"/>
  <c r="K44" i="140" a="1"/>
  <c r="K44" i="140" s="1"/>
  <c r="J44" i="140" a="1"/>
  <c r="J44" i="140" s="1"/>
  <c r="F44" i="140" a="1"/>
  <c r="F44" i="140" s="1"/>
  <c r="I20" i="136" l="1"/>
  <c r="E11" i="32"/>
  <c r="F11" i="32"/>
  <c r="G11" i="32"/>
  <c r="D11" i="32"/>
  <c r="E12" i="32"/>
  <c r="F12" i="32"/>
  <c r="G12" i="32"/>
  <c r="D12" i="32"/>
  <c r="E13" i="32"/>
  <c r="F13" i="32"/>
  <c r="G13" i="32"/>
  <c r="D13" i="32"/>
  <c r="D14" i="32"/>
  <c r="E14" i="32"/>
  <c r="F14" i="32"/>
  <c r="F7" i="32"/>
  <c r="E7" i="32"/>
  <c r="G7" i="32"/>
  <c r="D7" i="32"/>
  <c r="G8" i="32"/>
  <c r="D8" i="32"/>
  <c r="E8" i="32"/>
  <c r="F8" i="32"/>
  <c r="F9" i="32"/>
  <c r="G9" i="32"/>
  <c r="D9" i="32"/>
  <c r="E9" i="32"/>
  <c r="E10" i="32"/>
  <c r="F10" i="32"/>
  <c r="G10" i="32"/>
  <c r="D10" i="32"/>
  <c r="J11" i="69"/>
  <c r="J12" i="69"/>
  <c r="J13" i="69"/>
  <c r="J14" i="69"/>
  <c r="G7" i="69"/>
  <c r="I7" i="69"/>
  <c r="J8" i="69"/>
  <c r="J9" i="69"/>
  <c r="J10" i="69"/>
  <c r="L47" i="140"/>
  <c r="L46" i="140"/>
  <c r="D46" i="140"/>
  <c r="D47" i="140"/>
  <c r="G11" i="57"/>
  <c r="P12" i="12"/>
  <c r="Q11" i="12"/>
  <c r="Q10" i="12"/>
  <c r="D13" i="57"/>
  <c r="H13" i="57" s="1"/>
  <c r="I13" i="57" s="1"/>
  <c r="F13" i="57"/>
  <c r="E13" i="57"/>
  <c r="D11" i="57"/>
  <c r="F11" i="57"/>
  <c r="F8" i="57"/>
  <c r="G10" i="57"/>
  <c r="H10" i="57" s="1"/>
  <c r="I10" i="57" s="1"/>
  <c r="E14" i="57"/>
  <c r="F14" i="57"/>
  <c r="G14" i="57"/>
  <c r="H14" i="57" s="1"/>
  <c r="I14" i="57" s="1"/>
  <c r="F10" i="57"/>
  <c r="E10" i="57"/>
  <c r="E12" i="57"/>
  <c r="G12" i="57"/>
  <c r="H12" i="57" s="1"/>
  <c r="I12" i="57" s="1"/>
  <c r="F12" i="57"/>
  <c r="D8" i="57"/>
  <c r="H8" i="57" s="1"/>
  <c r="I8" i="57" s="1"/>
  <c r="G9" i="57"/>
  <c r="H9" i="57" s="1"/>
  <c r="I9" i="57" s="1"/>
  <c r="F9" i="57"/>
  <c r="G7" i="57"/>
  <c r="H7" i="57" s="1"/>
  <c r="I7" i="57" s="1"/>
  <c r="E8" i="57"/>
  <c r="E9" i="57"/>
  <c r="F7" i="57"/>
  <c r="E7" i="57"/>
  <c r="D17" i="136"/>
  <c r="E17" i="136"/>
  <c r="F17" i="136"/>
  <c r="G17" i="136"/>
  <c r="H17" i="136"/>
  <c r="L44" i="140"/>
  <c r="F19" i="136" s="1"/>
  <c r="H11" i="57" l="1"/>
  <c r="I11" i="57" s="1"/>
  <c r="H7" i="32"/>
  <c r="I7" i="32"/>
  <c r="I10" i="32"/>
  <c r="H10" i="32"/>
  <c r="I14" i="32"/>
  <c r="H14" i="32"/>
  <c r="H12" i="32"/>
  <c r="I12" i="32"/>
  <c r="I13" i="32"/>
  <c r="H13" i="32"/>
  <c r="H8" i="32"/>
  <c r="I8" i="32"/>
  <c r="H11" i="32"/>
  <c r="I11" i="32"/>
  <c r="H9" i="32"/>
  <c r="I9" i="32"/>
  <c r="E6" i="119"/>
  <c r="I17" i="136"/>
  <c r="J7" i="69"/>
  <c r="F11" i="12" l="1"/>
  <c r="G11" i="12" s="1"/>
  <c r="E7" i="119"/>
  <c r="M7" i="119" s="1"/>
  <c r="N7" i="119" s="1"/>
  <c r="H21" i="139" l="1"/>
  <c r="G21" i="139"/>
  <c r="I21" i="139" s="1"/>
  <c r="F21" i="139"/>
  <c r="E21" i="139"/>
  <c r="D21" i="139"/>
  <c r="H20" i="139"/>
  <c r="G20" i="139"/>
  <c r="I20" i="139" s="1"/>
  <c r="F20" i="139"/>
  <c r="E20" i="139"/>
  <c r="D20" i="139"/>
  <c r="H19" i="139"/>
  <c r="G19" i="139"/>
  <c r="F19" i="139"/>
  <c r="E19" i="139"/>
  <c r="D19" i="139"/>
  <c r="H18" i="139"/>
  <c r="G18" i="139"/>
  <c r="I18" i="139" s="1"/>
  <c r="F18" i="139"/>
  <c r="E18" i="139"/>
  <c r="D18" i="139"/>
  <c r="C17" i="139"/>
  <c r="J17" i="139" s="1"/>
  <c r="I19" i="139" l="1"/>
  <c r="F12" i="12"/>
  <c r="D17" i="139"/>
  <c r="E17" i="139"/>
  <c r="F17" i="139"/>
  <c r="G17" i="139"/>
  <c r="H17" i="139"/>
  <c r="E8" i="119" l="1"/>
  <c r="M8" i="119" s="1"/>
  <c r="N8" i="119" s="1"/>
  <c r="I17" i="139"/>
  <c r="O44" i="143" a="1"/>
  <c r="O44" i="143" s="1"/>
  <c r="K44" i="143" a="1"/>
  <c r="K44" i="143" s="1"/>
  <c r="G44" i="143" a="1"/>
  <c r="G44" i="143" s="1"/>
  <c r="O46" i="143" l="1" a="1"/>
  <c r="O46" i="143" s="1"/>
  <c r="G47" i="143" a="1"/>
  <c r="G47" i="143" s="1"/>
  <c r="K46" i="143" a="1"/>
  <c r="K46" i="143" s="1"/>
  <c r="K47" i="143" a="1"/>
  <c r="K47" i="143" s="1"/>
  <c r="O52" i="143"/>
  <c r="C52" i="143"/>
  <c r="G52" i="143"/>
  <c r="O47" i="143" a="1"/>
  <c r="O47" i="143" s="1"/>
  <c r="K52" i="143"/>
  <c r="G46" i="143" a="1"/>
  <c r="G46" i="143" s="1"/>
  <c r="D21" i="119" l="1"/>
  <c r="L21" i="119"/>
  <c r="K21" i="119"/>
  <c r="K31" i="119"/>
  <c r="L31" i="119"/>
  <c r="D31" i="119"/>
  <c r="J30" i="119"/>
  <c r="K30" i="119"/>
  <c r="L30" i="119"/>
  <c r="D30" i="119"/>
  <c r="K29" i="119"/>
  <c r="D29" i="119"/>
  <c r="L23" i="119"/>
  <c r="K23" i="119"/>
  <c r="J23" i="119"/>
  <c r="L22" i="119"/>
  <c r="K22" i="119"/>
  <c r="D22" i="119"/>
  <c r="L25" i="119"/>
  <c r="K25" i="119"/>
  <c r="K24" i="119"/>
  <c r="F24" i="119"/>
  <c r="D24" i="119"/>
  <c r="K20" i="119"/>
  <c r="D20" i="119"/>
  <c r="K11" i="119"/>
  <c r="J11" i="119"/>
  <c r="F11" i="119"/>
  <c r="L10" i="119"/>
  <c r="K10" i="119"/>
  <c r="J10" i="119"/>
  <c r="L5" i="119"/>
  <c r="K5" i="119"/>
  <c r="F5" i="119"/>
  <c r="D5" i="119"/>
  <c r="L19" i="119"/>
  <c r="K19" i="119"/>
  <c r="L18" i="119"/>
  <c r="K18" i="119"/>
  <c r="D18" i="119"/>
  <c r="L13" i="119"/>
  <c r="K13" i="119"/>
  <c r="D13" i="119"/>
  <c r="L14" i="119"/>
  <c r="K14" i="119"/>
  <c r="L16" i="119"/>
  <c r="K16" i="119"/>
  <c r="L17" i="119"/>
  <c r="K17" i="119"/>
  <c r="D17" i="119"/>
  <c r="H23" i="139"/>
  <c r="F23" i="139" s="1"/>
  <c r="C14" i="139"/>
  <c r="J14" i="139" s="1"/>
  <c r="C13" i="139"/>
  <c r="J13" i="139" s="1"/>
  <c r="C12" i="139"/>
  <c r="J12" i="139" s="1"/>
  <c r="C11" i="139"/>
  <c r="J11" i="139" s="1"/>
  <c r="C10" i="139"/>
  <c r="J10" i="139" s="1"/>
  <c r="C9" i="139"/>
  <c r="J9" i="139" s="1"/>
  <c r="C8" i="139"/>
  <c r="J8" i="139" s="1"/>
  <c r="C7" i="139"/>
  <c r="J7" i="139" s="1"/>
  <c r="C1" i="139"/>
  <c r="H23" i="138"/>
  <c r="F23" i="138" s="1"/>
  <c r="C14" i="138"/>
  <c r="C13" i="138"/>
  <c r="C12" i="138"/>
  <c r="C11" i="138"/>
  <c r="C10" i="138"/>
  <c r="C9" i="138"/>
  <c r="C8" i="138"/>
  <c r="C7" i="138"/>
  <c r="C1" i="138"/>
  <c r="H23" i="136"/>
  <c r="F23" i="136" s="1"/>
  <c r="C14" i="136"/>
  <c r="J14" i="136" s="1"/>
  <c r="C13" i="136"/>
  <c r="J13" i="136" s="1"/>
  <c r="C12" i="136"/>
  <c r="J12" i="136" s="1"/>
  <c r="C11" i="136"/>
  <c r="J11" i="136" s="1"/>
  <c r="C10" i="136"/>
  <c r="J10" i="136" s="1"/>
  <c r="C9" i="136"/>
  <c r="J9" i="136" s="1"/>
  <c r="C8" i="136"/>
  <c r="J8" i="136" s="1"/>
  <c r="C7" i="136"/>
  <c r="J7" i="136" s="1"/>
  <c r="C1" i="136"/>
  <c r="H23" i="135"/>
  <c r="F23" i="135" s="1"/>
  <c r="C14" i="135"/>
  <c r="C13" i="135"/>
  <c r="C12" i="135"/>
  <c r="C11" i="135"/>
  <c r="C10" i="135"/>
  <c r="C9" i="135"/>
  <c r="C8" i="135"/>
  <c r="C7" i="135"/>
  <c r="C1" i="135"/>
  <c r="K35" i="12"/>
  <c r="S35" i="12"/>
  <c r="R35" i="12"/>
  <c r="J35" i="12"/>
  <c r="E35" i="12"/>
  <c r="G34" i="12"/>
  <c r="R34" i="12"/>
  <c r="S34" i="12"/>
  <c r="D20" i="30"/>
  <c r="E20" i="30"/>
  <c r="F20" i="30"/>
  <c r="G20" i="30"/>
  <c r="D21" i="30"/>
  <c r="E21" i="30"/>
  <c r="F21" i="30"/>
  <c r="G21" i="30"/>
  <c r="K34" i="12"/>
  <c r="J34" i="12"/>
  <c r="I34" i="12"/>
  <c r="E34" i="12"/>
  <c r="J33" i="12"/>
  <c r="E33" i="12"/>
  <c r="S27" i="12"/>
  <c r="R27" i="12"/>
  <c r="K27" i="12"/>
  <c r="J27" i="12"/>
  <c r="I27" i="12"/>
  <c r="E27" i="12"/>
  <c r="S26" i="12"/>
  <c r="R26" i="12"/>
  <c r="K26" i="12"/>
  <c r="J26" i="12"/>
  <c r="G26" i="12"/>
  <c r="E26" i="12"/>
  <c r="S25" i="12"/>
  <c r="R25" i="12"/>
  <c r="K25" i="12"/>
  <c r="J25" i="12"/>
  <c r="I25" i="12"/>
  <c r="E25" i="12"/>
  <c r="F25" i="12" s="1"/>
  <c r="K29" i="12"/>
  <c r="I29" i="12"/>
  <c r="E29" i="12"/>
  <c r="S28" i="12"/>
  <c r="R28" i="12"/>
  <c r="J28" i="12"/>
  <c r="E28" i="12"/>
  <c r="S24" i="12"/>
  <c r="R24" i="12"/>
  <c r="J24" i="12"/>
  <c r="Q24" i="12" s="1"/>
  <c r="E24" i="12"/>
  <c r="S9" i="12"/>
  <c r="S23" i="12"/>
  <c r="R23" i="12"/>
  <c r="K23" i="12"/>
  <c r="J23" i="12"/>
  <c r="I23" i="12"/>
  <c r="S22" i="12"/>
  <c r="R22" i="12"/>
  <c r="K22" i="12"/>
  <c r="J22" i="12"/>
  <c r="I22" i="12"/>
  <c r="G22" i="12"/>
  <c r="S21" i="12"/>
  <c r="R21" i="12"/>
  <c r="K21" i="12"/>
  <c r="J21" i="12"/>
  <c r="P21" i="12" s="1"/>
  <c r="I21" i="12"/>
  <c r="G21" i="12"/>
  <c r="E21" i="12"/>
  <c r="S20" i="12"/>
  <c r="R20" i="12"/>
  <c r="K20" i="12"/>
  <c r="J20" i="12"/>
  <c r="F20" i="12" s="1"/>
  <c r="I20" i="12"/>
  <c r="S18" i="12"/>
  <c r="R18" i="12"/>
  <c r="K18" i="12"/>
  <c r="J18" i="12"/>
  <c r="I18" i="12"/>
  <c r="C17" i="57"/>
  <c r="C1" i="57"/>
  <c r="C1" i="23"/>
  <c r="F35" i="12" l="1"/>
  <c r="I20" i="30"/>
  <c r="H20" i="30"/>
  <c r="I21" i="30"/>
  <c r="H21" i="30"/>
  <c r="Q28" i="12"/>
  <c r="P28" i="12"/>
  <c r="Q27" i="12"/>
  <c r="P27" i="12"/>
  <c r="Q35" i="12"/>
  <c r="P35" i="12"/>
  <c r="P33" i="12"/>
  <c r="Q33" i="12"/>
  <c r="P34" i="12"/>
  <c r="Q34" i="12"/>
  <c r="Q25" i="12"/>
  <c r="P25" i="12"/>
  <c r="G27" i="12"/>
  <c r="F27" i="12"/>
  <c r="Q26" i="12"/>
  <c r="P26" i="12"/>
  <c r="H12" i="138"/>
  <c r="J12" i="138" s="1"/>
  <c r="G12" i="138"/>
  <c r="F12" i="138"/>
  <c r="E12" i="138"/>
  <c r="D12" i="138"/>
  <c r="D13" i="138"/>
  <c r="H13" i="138"/>
  <c r="J13" i="138" s="1"/>
  <c r="G13" i="138"/>
  <c r="E13" i="138"/>
  <c r="F13" i="138"/>
  <c r="G14" i="138"/>
  <c r="F14" i="138"/>
  <c r="E14" i="138"/>
  <c r="D14" i="138"/>
  <c r="H14" i="138"/>
  <c r="J14" i="138" s="1"/>
  <c r="E7" i="138"/>
  <c r="D7" i="138"/>
  <c r="H7" i="138"/>
  <c r="J7" i="138" s="1"/>
  <c r="F7" i="138"/>
  <c r="G7" i="138"/>
  <c r="G8" i="138"/>
  <c r="F8" i="138"/>
  <c r="E8" i="138"/>
  <c r="D8" i="138"/>
  <c r="H8" i="138"/>
  <c r="J8" i="138" s="1"/>
  <c r="G11" i="138"/>
  <c r="F11" i="138"/>
  <c r="E11" i="138"/>
  <c r="D11" i="138"/>
  <c r="H11" i="138"/>
  <c r="J11" i="138" s="1"/>
  <c r="H9" i="138"/>
  <c r="J9" i="138" s="1"/>
  <c r="G9" i="138"/>
  <c r="F9" i="138"/>
  <c r="E9" i="138"/>
  <c r="D9" i="138"/>
  <c r="D10" i="138"/>
  <c r="H10" i="138"/>
  <c r="J10" i="138" s="1"/>
  <c r="G10" i="138"/>
  <c r="E10" i="138"/>
  <c r="F10" i="138"/>
  <c r="Q23" i="12"/>
  <c r="Q22" i="12"/>
  <c r="Q18" i="12"/>
  <c r="P24" i="12"/>
  <c r="P18" i="12"/>
  <c r="Q21" i="12"/>
  <c r="P22" i="12"/>
  <c r="P23" i="12"/>
  <c r="Q20" i="12"/>
  <c r="D7" i="139"/>
  <c r="H7" i="139"/>
  <c r="G7" i="139"/>
  <c r="F7" i="139"/>
  <c r="E7" i="139"/>
  <c r="F8" i="139"/>
  <c r="E8" i="139"/>
  <c r="D8" i="139"/>
  <c r="G8" i="139"/>
  <c r="H8" i="139"/>
  <c r="H9" i="139"/>
  <c r="G9" i="139"/>
  <c r="I9" i="139" s="1"/>
  <c r="F9" i="139"/>
  <c r="D9" i="139"/>
  <c r="E9" i="139"/>
  <c r="F10" i="139"/>
  <c r="H10" i="139"/>
  <c r="G10" i="139"/>
  <c r="E10" i="139"/>
  <c r="D10" i="139"/>
  <c r="D11" i="139"/>
  <c r="H11" i="139"/>
  <c r="G11" i="139"/>
  <c r="F11" i="139"/>
  <c r="E11" i="139"/>
  <c r="F12" i="139"/>
  <c r="E12" i="139"/>
  <c r="D12" i="139"/>
  <c r="G12" i="139"/>
  <c r="I12" i="139" s="1"/>
  <c r="H12" i="139"/>
  <c r="H14" i="139"/>
  <c r="G14" i="139"/>
  <c r="I14" i="139" s="1"/>
  <c r="F14" i="139"/>
  <c r="E14" i="139"/>
  <c r="D14" i="139"/>
  <c r="H13" i="139"/>
  <c r="G13" i="139"/>
  <c r="I13" i="139" s="1"/>
  <c r="D13" i="139"/>
  <c r="F13" i="139"/>
  <c r="E13" i="139"/>
  <c r="F9" i="136"/>
  <c r="G9" i="136"/>
  <c r="I9" i="136" s="1"/>
  <c r="H9" i="136"/>
  <c r="D9" i="136"/>
  <c r="E9" i="136"/>
  <c r="E10" i="136"/>
  <c r="D10" i="136"/>
  <c r="H10" i="136"/>
  <c r="G10" i="136"/>
  <c r="I10" i="136" s="1"/>
  <c r="F10" i="136"/>
  <c r="F11" i="136"/>
  <c r="E11" i="136"/>
  <c r="D11" i="136"/>
  <c r="H11" i="136"/>
  <c r="G11" i="136"/>
  <c r="H12" i="136"/>
  <c r="G12" i="136"/>
  <c r="I12" i="136" s="1"/>
  <c r="F12" i="136"/>
  <c r="E12" i="136"/>
  <c r="D12" i="136"/>
  <c r="F13" i="136"/>
  <c r="H13" i="136"/>
  <c r="E13" i="136"/>
  <c r="G13" i="136"/>
  <c r="D13" i="136"/>
  <c r="E14" i="136"/>
  <c r="G14" i="136"/>
  <c r="I14" i="136" s="1"/>
  <c r="D14" i="136"/>
  <c r="F14" i="136"/>
  <c r="H14" i="136"/>
  <c r="G7" i="136"/>
  <c r="F7" i="136"/>
  <c r="E7" i="136"/>
  <c r="D7" i="136"/>
  <c r="H7" i="136"/>
  <c r="H8" i="136"/>
  <c r="E8" i="136"/>
  <c r="G8" i="136"/>
  <c r="I8" i="136" s="1"/>
  <c r="F8" i="136"/>
  <c r="D8" i="136"/>
  <c r="P20" i="12"/>
  <c r="C17" i="23"/>
  <c r="F26" i="12" s="1"/>
  <c r="C1" i="30"/>
  <c r="C1" i="32"/>
  <c r="C1" i="69"/>
  <c r="E19" i="30"/>
  <c r="F19" i="30"/>
  <c r="G19" i="30"/>
  <c r="K44" i="70" a="1"/>
  <c r="K44" i="70" s="1"/>
  <c r="K46" i="70" a="1"/>
  <c r="K46" i="70" s="1"/>
  <c r="K47" i="70" a="1"/>
  <c r="K47" i="70" s="1"/>
  <c r="G44" i="70" a="1"/>
  <c r="G44" i="70" s="1"/>
  <c r="G46" i="70" a="1"/>
  <c r="G46" i="70" s="1"/>
  <c r="G47" i="70" a="1"/>
  <c r="G47" i="70" s="1"/>
  <c r="C44" i="70" a="1"/>
  <c r="C44" i="70" s="1"/>
  <c r="C46" i="70" a="1"/>
  <c r="C46" i="70" s="1"/>
  <c r="C47" i="70" a="1"/>
  <c r="C47" i="70" s="1"/>
  <c r="C1" i="81"/>
  <c r="F33" i="12"/>
  <c r="J29" i="119"/>
  <c r="C1" i="43"/>
  <c r="H21" i="43"/>
  <c r="G21" i="43"/>
  <c r="F21" i="43"/>
  <c r="E21" i="43"/>
  <c r="D21" i="43"/>
  <c r="H20" i="43"/>
  <c r="G20" i="43"/>
  <c r="F20" i="43"/>
  <c r="E20" i="43"/>
  <c r="D20" i="43"/>
  <c r="G17" i="43"/>
  <c r="C17" i="43"/>
  <c r="G13" i="43"/>
  <c r="E10" i="43"/>
  <c r="H9" i="43"/>
  <c r="G9" i="43"/>
  <c r="D9" i="43"/>
  <c r="G8" i="43"/>
  <c r="F8" i="43"/>
  <c r="E8" i="43"/>
  <c r="E7" i="43"/>
  <c r="D7" i="43"/>
  <c r="H13" i="43"/>
  <c r="F12" i="43"/>
  <c r="E11" i="43"/>
  <c r="H10" i="43"/>
  <c r="F9" i="43"/>
  <c r="D8" i="43"/>
  <c r="F19" i="43"/>
  <c r="D19" i="43"/>
  <c r="C1" i="46"/>
  <c r="C17" i="46"/>
  <c r="F28" i="12" s="1"/>
  <c r="G28" i="12" l="1"/>
  <c r="J17" i="46"/>
  <c r="I10" i="139"/>
  <c r="K7" i="139"/>
  <c r="L7" i="139" s="1"/>
  <c r="I7" i="139"/>
  <c r="K8" i="139"/>
  <c r="L8" i="139" s="1"/>
  <c r="I8" i="139"/>
  <c r="I11" i="139"/>
  <c r="K8" i="138"/>
  <c r="L8" i="138" s="1"/>
  <c r="I8" i="138"/>
  <c r="K10" i="138"/>
  <c r="L10" i="138" s="1"/>
  <c r="I10" i="138"/>
  <c r="K7" i="138"/>
  <c r="L7" i="138" s="1"/>
  <c r="I7" i="138"/>
  <c r="K14" i="138"/>
  <c r="L14" i="138" s="1"/>
  <c r="I14" i="138"/>
  <c r="K11" i="138"/>
  <c r="L11" i="138" s="1"/>
  <c r="I11" i="138"/>
  <c r="K12" i="138"/>
  <c r="L12" i="138" s="1"/>
  <c r="I12" i="138"/>
  <c r="K9" i="138"/>
  <c r="L9" i="138" s="1"/>
  <c r="I9" i="138"/>
  <c r="K13" i="138"/>
  <c r="L13" i="138" s="1"/>
  <c r="I13" i="138"/>
  <c r="I13" i="136"/>
  <c r="I11" i="136"/>
  <c r="I8" i="43"/>
  <c r="I7" i="136"/>
  <c r="K9" i="136"/>
  <c r="L9" i="136" s="1"/>
  <c r="K10" i="136"/>
  <c r="L10" i="136" s="1"/>
  <c r="K8" i="136"/>
  <c r="L8" i="136" s="1"/>
  <c r="I35" i="12"/>
  <c r="J31" i="119"/>
  <c r="G35" i="12"/>
  <c r="E25" i="119"/>
  <c r="G33" i="12"/>
  <c r="F29" i="12"/>
  <c r="D19" i="30"/>
  <c r="H19" i="30" s="1"/>
  <c r="H19" i="43"/>
  <c r="E19" i="43"/>
  <c r="D13" i="30"/>
  <c r="E13" i="30"/>
  <c r="F13" i="30"/>
  <c r="G13" i="30"/>
  <c r="D14" i="30"/>
  <c r="F14" i="30"/>
  <c r="G14" i="30"/>
  <c r="E14" i="30"/>
  <c r="G7" i="30"/>
  <c r="F7" i="30"/>
  <c r="E7" i="30"/>
  <c r="D7" i="30"/>
  <c r="D8" i="30"/>
  <c r="E8" i="30"/>
  <c r="G8" i="30"/>
  <c r="F8" i="30"/>
  <c r="D9" i="30"/>
  <c r="E9" i="30"/>
  <c r="F9" i="30"/>
  <c r="G9" i="30"/>
  <c r="D10" i="30"/>
  <c r="F10" i="30"/>
  <c r="E10" i="30"/>
  <c r="G10" i="30"/>
  <c r="D11" i="30"/>
  <c r="E11" i="30"/>
  <c r="F11" i="30"/>
  <c r="G11" i="30"/>
  <c r="D12" i="30"/>
  <c r="E12" i="30"/>
  <c r="F12" i="30"/>
  <c r="G12" i="30"/>
  <c r="F7" i="43"/>
  <c r="H8" i="43"/>
  <c r="D10" i="43"/>
  <c r="F11" i="43"/>
  <c r="H12" i="43"/>
  <c r="D14" i="43"/>
  <c r="G12" i="43"/>
  <c r="G7" i="43"/>
  <c r="I7" i="43" s="1"/>
  <c r="F10" i="43"/>
  <c r="H11" i="43"/>
  <c r="D13" i="43"/>
  <c r="F14" i="43"/>
  <c r="G11" i="43"/>
  <c r="E14" i="43"/>
  <c r="H7" i="43"/>
  <c r="E9" i="43"/>
  <c r="I9" i="43" s="1"/>
  <c r="G10" i="43"/>
  <c r="E13" i="43"/>
  <c r="I13" i="43" s="1"/>
  <c r="G14" i="43"/>
  <c r="D12" i="43"/>
  <c r="F13" i="43"/>
  <c r="H14" i="43"/>
  <c r="E12" i="43"/>
  <c r="D11" i="43"/>
  <c r="K12" i="139"/>
  <c r="L12" i="139" s="1"/>
  <c r="K13" i="139"/>
  <c r="L13" i="139" s="1"/>
  <c r="K10" i="139"/>
  <c r="L10" i="139" s="1"/>
  <c r="K9" i="139"/>
  <c r="L9" i="139" s="1"/>
  <c r="K14" i="139"/>
  <c r="L14" i="139" s="1"/>
  <c r="K11" i="139"/>
  <c r="L11" i="139" s="1"/>
  <c r="K14" i="136"/>
  <c r="L14" i="136" s="1"/>
  <c r="K7" i="136"/>
  <c r="L7" i="136" s="1"/>
  <c r="K13" i="136"/>
  <c r="L13" i="136" s="1"/>
  <c r="K12" i="136"/>
  <c r="L12" i="136" s="1"/>
  <c r="K11" i="136"/>
  <c r="L11" i="136" s="1"/>
  <c r="D17" i="43"/>
  <c r="E17" i="43"/>
  <c r="F17" i="43"/>
  <c r="H17" i="43"/>
  <c r="H11" i="30" l="1"/>
  <c r="I11" i="30"/>
  <c r="I9" i="30"/>
  <c r="H9" i="30"/>
  <c r="I13" i="30"/>
  <c r="H13" i="30"/>
  <c r="H7" i="30"/>
  <c r="I7" i="30"/>
  <c r="H12" i="30"/>
  <c r="I12" i="30"/>
  <c r="I10" i="30"/>
  <c r="H10" i="30"/>
  <c r="I19" i="30"/>
  <c r="H8" i="30"/>
  <c r="I8" i="30"/>
  <c r="I14" i="30"/>
  <c r="H14" i="30"/>
  <c r="I12" i="43"/>
  <c r="I11" i="43"/>
  <c r="I14" i="43"/>
  <c r="I10" i="43"/>
  <c r="J25" i="119"/>
  <c r="G19" i="43"/>
  <c r="C14" i="46" l="1"/>
  <c r="J14" i="46" s="1"/>
  <c r="C13" i="46"/>
  <c r="J13" i="46" s="1"/>
  <c r="C12" i="46"/>
  <c r="J12" i="46" s="1"/>
  <c r="C11" i="46"/>
  <c r="J11" i="46" s="1"/>
  <c r="C10" i="46"/>
  <c r="J10" i="46" s="1"/>
  <c r="C9" i="46"/>
  <c r="J9" i="46" s="1"/>
  <c r="C8" i="46"/>
  <c r="J8" i="46" s="1"/>
  <c r="C7" i="46"/>
  <c r="J7" i="46" s="1"/>
  <c r="O46" i="44" a="1"/>
  <c r="O46" i="44" s="1"/>
  <c r="N46" i="44" a="1"/>
  <c r="N46" i="44" s="1"/>
  <c r="K46" i="44" a="1"/>
  <c r="K46" i="44" s="1"/>
  <c r="J46" i="44"/>
  <c r="J46" i="44" a="1"/>
  <c r="G46" i="44" a="1"/>
  <c r="G46" i="44" s="1"/>
  <c r="F46" i="44" a="1"/>
  <c r="F46" i="44" s="1"/>
  <c r="H46" i="44" s="1"/>
  <c r="C46" i="44" a="1"/>
  <c r="C46" i="44" s="1"/>
  <c r="B46" i="44" a="1"/>
  <c r="B46" i="44" s="1"/>
  <c r="D46" i="44" s="1"/>
  <c r="O45" i="44" a="1"/>
  <c r="O45" i="44" s="1"/>
  <c r="N45" i="44" a="1"/>
  <c r="N45" i="44" s="1"/>
  <c r="P45" i="44" s="1"/>
  <c r="K45" i="44" a="1"/>
  <c r="K45" i="44" s="1"/>
  <c r="J45" i="44"/>
  <c r="L45" i="44" s="1"/>
  <c r="J45" i="44" a="1"/>
  <c r="G45" i="44" a="1"/>
  <c r="G45" i="44" s="1"/>
  <c r="F45" i="44" a="1"/>
  <c r="F45" i="44" s="1"/>
  <c r="C45" i="44"/>
  <c r="C45" i="44" a="1"/>
  <c r="B45" i="44" a="1"/>
  <c r="B45" i="44" s="1"/>
  <c r="D45" i="44" s="1"/>
  <c r="O43" i="44" a="1"/>
  <c r="O43" i="44" s="1"/>
  <c r="N43" i="44" a="1"/>
  <c r="N43" i="44" s="1"/>
  <c r="P43" i="44" s="1"/>
  <c r="J24" i="119" s="1"/>
  <c r="K43" i="44" a="1"/>
  <c r="K43" i="44" s="1"/>
  <c r="J43" i="44" a="1"/>
  <c r="J43" i="44" s="1"/>
  <c r="L43" i="44" s="1"/>
  <c r="G43" i="44" a="1"/>
  <c r="G43" i="44" s="1"/>
  <c r="F43" i="44" a="1"/>
  <c r="F43" i="44" s="1"/>
  <c r="H43" i="44" s="1"/>
  <c r="C43" i="44" a="1"/>
  <c r="C43" i="44" s="1"/>
  <c r="B43" i="44" a="1"/>
  <c r="B43" i="44" s="1"/>
  <c r="D43" i="44" s="1"/>
  <c r="C17" i="41"/>
  <c r="G25" i="12" s="1"/>
  <c r="C14" i="41"/>
  <c r="C13" i="41"/>
  <c r="C12" i="41"/>
  <c r="C11" i="41"/>
  <c r="C10" i="41"/>
  <c r="C9" i="41"/>
  <c r="C8" i="41"/>
  <c r="C7" i="41"/>
  <c r="C1" i="83"/>
  <c r="C1" i="13"/>
  <c r="C1" i="16"/>
  <c r="C1" i="25"/>
  <c r="C1" i="2"/>
  <c r="C17" i="83"/>
  <c r="C14" i="83"/>
  <c r="J14" i="83" s="1"/>
  <c r="C13" i="83"/>
  <c r="J13" i="83" s="1"/>
  <c r="C12" i="83"/>
  <c r="J12" i="83" s="1"/>
  <c r="C11" i="83"/>
  <c r="J11" i="83" s="1"/>
  <c r="C10" i="83"/>
  <c r="J10" i="83" s="1"/>
  <c r="C9" i="83"/>
  <c r="J9" i="83" s="1"/>
  <c r="C8" i="83"/>
  <c r="J8" i="83" s="1"/>
  <c r="C7" i="83"/>
  <c r="J7" i="83" s="1"/>
  <c r="C17" i="16"/>
  <c r="F23" i="12" s="1"/>
  <c r="G23" i="12" s="1"/>
  <c r="C14" i="16"/>
  <c r="C13" i="16"/>
  <c r="C12" i="16"/>
  <c r="C11" i="16"/>
  <c r="C10" i="16"/>
  <c r="C9" i="16"/>
  <c r="C8" i="16"/>
  <c r="C7" i="16"/>
  <c r="H7" i="16" s="1"/>
  <c r="C17" i="13"/>
  <c r="F24" i="12" l="1"/>
  <c r="G24" i="12" s="1"/>
  <c r="J17" i="83"/>
  <c r="F22" i="12"/>
  <c r="J17" i="13"/>
  <c r="E17" i="41"/>
  <c r="D17" i="41"/>
  <c r="F17" i="41"/>
  <c r="G17" i="41"/>
  <c r="H17" i="41" s="1"/>
  <c r="J19" i="119"/>
  <c r="J18" i="119"/>
  <c r="D9" i="16"/>
  <c r="F9" i="16"/>
  <c r="G9" i="16"/>
  <c r="H9" i="16"/>
  <c r="E9" i="16"/>
  <c r="E12" i="16"/>
  <c r="F12" i="16"/>
  <c r="G12" i="16"/>
  <c r="H12" i="16"/>
  <c r="D12" i="16"/>
  <c r="D11" i="16"/>
  <c r="E11" i="16"/>
  <c r="F11" i="16"/>
  <c r="G11" i="16"/>
  <c r="H11" i="16"/>
  <c r="H13" i="16"/>
  <c r="D13" i="16"/>
  <c r="E13" i="16"/>
  <c r="F13" i="16"/>
  <c r="G13" i="16"/>
  <c r="E14" i="16"/>
  <c r="F14" i="16"/>
  <c r="G14" i="16"/>
  <c r="H14" i="16"/>
  <c r="D14" i="16"/>
  <c r="F7" i="16"/>
  <c r="D7" i="16"/>
  <c r="E7" i="16"/>
  <c r="G7" i="16"/>
  <c r="G10" i="16"/>
  <c r="H10" i="16"/>
  <c r="D10" i="16"/>
  <c r="E10" i="16"/>
  <c r="F10" i="16"/>
  <c r="D8" i="16"/>
  <c r="E8" i="16"/>
  <c r="F8" i="16"/>
  <c r="G8" i="16"/>
  <c r="H8" i="16"/>
  <c r="H45" i="44"/>
  <c r="L46" i="44"/>
  <c r="P46" i="44"/>
  <c r="I7" i="16" l="1"/>
  <c r="J7" i="16" s="1"/>
  <c r="F21" i="12"/>
  <c r="C14" i="25"/>
  <c r="J14" i="25" s="1"/>
  <c r="C13" i="25"/>
  <c r="J13" i="25" s="1"/>
  <c r="C12" i="25"/>
  <c r="J12" i="25" s="1"/>
  <c r="C11" i="25"/>
  <c r="J11" i="25" s="1"/>
  <c r="C10" i="25"/>
  <c r="J10" i="25" s="1"/>
  <c r="C9" i="25"/>
  <c r="J9" i="25" s="1"/>
  <c r="C8" i="25"/>
  <c r="J8" i="25" s="1"/>
  <c r="C7" i="25"/>
  <c r="J7" i="25" s="1"/>
  <c r="G17" i="12"/>
  <c r="K17" i="12"/>
  <c r="S17" i="12"/>
  <c r="R17" i="12"/>
  <c r="J17" i="12"/>
  <c r="Q17" i="12" s="1"/>
  <c r="I17" i="12"/>
  <c r="E17" i="12"/>
  <c r="S15" i="12"/>
  <c r="R15" i="12"/>
  <c r="J15" i="12"/>
  <c r="I15" i="12"/>
  <c r="S14" i="12"/>
  <c r="G8" i="12"/>
  <c r="R14" i="12"/>
  <c r="K14" i="12"/>
  <c r="J14" i="12"/>
  <c r="I14" i="12"/>
  <c r="S8" i="12"/>
  <c r="C14" i="2"/>
  <c r="C13" i="2"/>
  <c r="C12" i="2"/>
  <c r="C11" i="2"/>
  <c r="C10" i="2"/>
  <c r="C9" i="2"/>
  <c r="C8" i="2"/>
  <c r="C7" i="2"/>
  <c r="C14" i="106"/>
  <c r="J14" i="106" s="1"/>
  <c r="C13" i="106"/>
  <c r="J13" i="106" s="1"/>
  <c r="C12" i="106"/>
  <c r="J12" i="106" s="1"/>
  <c r="C11" i="106"/>
  <c r="J11" i="106" s="1"/>
  <c r="C10" i="106"/>
  <c r="J10" i="106" s="1"/>
  <c r="C9" i="106"/>
  <c r="J9" i="106" s="1"/>
  <c r="C8" i="106"/>
  <c r="J8" i="106" s="1"/>
  <c r="C7" i="106"/>
  <c r="C1" i="106"/>
  <c r="C1" i="6"/>
  <c r="F18" i="12"/>
  <c r="G18" i="12" s="1"/>
  <c r="C14" i="6"/>
  <c r="C13" i="6"/>
  <c r="C12" i="6"/>
  <c r="C11" i="6"/>
  <c r="C10" i="6"/>
  <c r="C9" i="6"/>
  <c r="C8" i="6"/>
  <c r="C7" i="6"/>
  <c r="J7" i="6" s="1"/>
  <c r="J7" i="106" l="1"/>
  <c r="D7" i="106"/>
  <c r="Q14" i="12"/>
  <c r="J15" i="119"/>
  <c r="J17" i="119"/>
  <c r="P15" i="12"/>
  <c r="Q15" i="12"/>
  <c r="H8" i="6"/>
  <c r="D8" i="6"/>
  <c r="E8" i="6"/>
  <c r="F8" i="6"/>
  <c r="G8" i="6"/>
  <c r="D9" i="6"/>
  <c r="F9" i="6"/>
  <c r="G9" i="6"/>
  <c r="H9" i="6"/>
  <c r="E9" i="6"/>
  <c r="G7" i="6"/>
  <c r="E7" i="6"/>
  <c r="D7" i="6"/>
  <c r="H7" i="6"/>
  <c r="F7" i="6"/>
  <c r="F10" i="6"/>
  <c r="G10" i="6"/>
  <c r="E10" i="6"/>
  <c r="H10" i="6"/>
  <c r="D10" i="6"/>
  <c r="D11" i="6"/>
  <c r="H11" i="6"/>
  <c r="E11" i="6"/>
  <c r="F11" i="6"/>
  <c r="G11" i="6"/>
  <c r="D12" i="6"/>
  <c r="E12" i="6"/>
  <c r="F12" i="6"/>
  <c r="G12" i="6"/>
  <c r="H12" i="6"/>
  <c r="G13" i="6"/>
  <c r="H13" i="6"/>
  <c r="F13" i="6"/>
  <c r="D13" i="6"/>
  <c r="E13" i="6"/>
  <c r="E14" i="6"/>
  <c r="F14" i="6"/>
  <c r="G14" i="6"/>
  <c r="H14" i="6"/>
  <c r="D14" i="6"/>
  <c r="P14" i="12"/>
  <c r="P17" i="12"/>
  <c r="F12" i="2"/>
  <c r="G12" i="2"/>
  <c r="E12" i="2"/>
  <c r="H12" i="2"/>
  <c r="D12" i="2"/>
  <c r="F14" i="2"/>
  <c r="H14" i="2"/>
  <c r="G14" i="2"/>
  <c r="E14" i="2"/>
  <c r="D14" i="2"/>
  <c r="H13" i="2"/>
  <c r="D13" i="2"/>
  <c r="F13" i="2"/>
  <c r="G13" i="2"/>
  <c r="E13" i="2"/>
  <c r="H7" i="2"/>
  <c r="D7" i="2"/>
  <c r="E7" i="2"/>
  <c r="F7" i="2"/>
  <c r="G7" i="2"/>
  <c r="F8" i="2"/>
  <c r="G8" i="2"/>
  <c r="H8" i="2"/>
  <c r="D8" i="2"/>
  <c r="E8" i="2"/>
  <c r="E9" i="2"/>
  <c r="D9" i="2"/>
  <c r="H9" i="2"/>
  <c r="F9" i="2"/>
  <c r="G9" i="2"/>
  <c r="E10" i="2"/>
  <c r="F10" i="2"/>
  <c r="G10" i="2"/>
  <c r="H10" i="2"/>
  <c r="D10" i="2"/>
  <c r="E11" i="2"/>
  <c r="D11" i="2"/>
  <c r="F11" i="2"/>
  <c r="G11" i="2"/>
  <c r="H11" i="2"/>
  <c r="J16" i="119"/>
  <c r="I7" i="2" l="1"/>
  <c r="J7" i="2" s="1"/>
  <c r="I7" i="6"/>
  <c r="K7" i="6"/>
  <c r="L7" i="6" s="1"/>
  <c r="K11" i="6"/>
  <c r="L11" i="6" s="1"/>
  <c r="K10" i="6"/>
  <c r="L10" i="6" s="1"/>
  <c r="K12" i="6"/>
  <c r="L12" i="6" s="1"/>
  <c r="K9" i="6"/>
  <c r="L9" i="6" s="1"/>
  <c r="K13" i="6"/>
  <c r="L13" i="6" s="1"/>
  <c r="K14" i="6"/>
  <c r="L14" i="6" s="1"/>
  <c r="K8" i="6"/>
  <c r="L8" i="6" s="1"/>
  <c r="J21" i="119"/>
  <c r="J14" i="119"/>
  <c r="C1" i="18"/>
  <c r="C17" i="18"/>
  <c r="C17" i="87"/>
  <c r="F15" i="12" s="1"/>
  <c r="G15" i="12" s="1"/>
  <c r="C1" i="87"/>
  <c r="C14" i="87"/>
  <c r="G14" i="87" s="1"/>
  <c r="C13" i="87"/>
  <c r="E13" i="87" s="1"/>
  <c r="C12" i="87"/>
  <c r="H12" i="87" s="1"/>
  <c r="C11" i="87"/>
  <c r="H11" i="87" s="1"/>
  <c r="C10" i="87"/>
  <c r="H10" i="87" s="1"/>
  <c r="C9" i="87"/>
  <c r="F9" i="87" s="1"/>
  <c r="C8" i="87"/>
  <c r="C7" i="87"/>
  <c r="F7" i="87" s="1"/>
  <c r="C1" i="95"/>
  <c r="B45" i="94" a="1"/>
  <c r="B45" i="94" s="1"/>
  <c r="B44" i="94" a="1"/>
  <c r="B44" i="94" s="1"/>
  <c r="O45" i="94" a="1"/>
  <c r="O45" i="94" s="1"/>
  <c r="N45" i="94" a="1"/>
  <c r="N45" i="94" s="1"/>
  <c r="K45" i="94" a="1"/>
  <c r="K45" i="94" s="1"/>
  <c r="J45" i="94" a="1"/>
  <c r="J45" i="94" s="1"/>
  <c r="G45" i="94" a="1"/>
  <c r="G45" i="94" s="1"/>
  <c r="F45" i="94" a="1"/>
  <c r="F45" i="94" s="1"/>
  <c r="C45" i="94" a="1"/>
  <c r="C45" i="94" s="1"/>
  <c r="O44" i="94" a="1"/>
  <c r="O44" i="94" s="1"/>
  <c r="N44" i="94" a="1"/>
  <c r="N44" i="94" s="1"/>
  <c r="K44" i="94" a="1"/>
  <c r="K44" i="94" s="1"/>
  <c r="J44" i="94" a="1"/>
  <c r="J44" i="94" s="1"/>
  <c r="G44" i="94" a="1"/>
  <c r="G44" i="94" s="1"/>
  <c r="F44" i="94" a="1"/>
  <c r="F44" i="94" s="1"/>
  <c r="C44" i="94" a="1"/>
  <c r="C44" i="94" s="1"/>
  <c r="C7" i="95"/>
  <c r="E7" i="95" s="1"/>
  <c r="C14" i="95"/>
  <c r="F14" i="95" s="1"/>
  <c r="C13" i="95"/>
  <c r="E13" i="95" s="1"/>
  <c r="C12" i="95"/>
  <c r="H12" i="95" s="1"/>
  <c r="C11" i="95"/>
  <c r="E11" i="95" s="1"/>
  <c r="C10" i="95"/>
  <c r="D10" i="95" s="1"/>
  <c r="C9" i="95"/>
  <c r="G9" i="95" s="1"/>
  <c r="C8" i="95"/>
  <c r="D8" i="95" s="1"/>
  <c r="C1" i="34"/>
  <c r="C1" i="133"/>
  <c r="C1" i="11"/>
  <c r="F17" i="12" l="1"/>
  <c r="J17" i="18"/>
  <c r="J14" i="87"/>
  <c r="P44" i="94"/>
  <c r="P45" i="94"/>
  <c r="L44" i="94"/>
  <c r="H44" i="94"/>
  <c r="D45" i="94"/>
  <c r="L45" i="94"/>
  <c r="D44" i="94"/>
  <c r="J13" i="119"/>
  <c r="E14" i="87"/>
  <c r="H13" i="87"/>
  <c r="D13" i="87"/>
  <c r="G10" i="87"/>
  <c r="F10" i="87"/>
  <c r="E9" i="87"/>
  <c r="G7" i="87"/>
  <c r="D9" i="87"/>
  <c r="F14" i="87"/>
  <c r="D14" i="87"/>
  <c r="I14" i="87" s="1"/>
  <c r="G12" i="87"/>
  <c r="F11" i="87"/>
  <c r="E10" i="87"/>
  <c r="F12" i="87"/>
  <c r="E11" i="87"/>
  <c r="D10" i="87"/>
  <c r="H8" i="87"/>
  <c r="E12" i="87"/>
  <c r="D11" i="87"/>
  <c r="G8" i="87"/>
  <c r="G11" i="87"/>
  <c r="G13" i="87"/>
  <c r="D12" i="87"/>
  <c r="H9" i="87"/>
  <c r="F8" i="87"/>
  <c r="H7" i="87"/>
  <c r="E7" i="87"/>
  <c r="H14" i="87"/>
  <c r="F13" i="87"/>
  <c r="G9" i="87"/>
  <c r="E8" i="87"/>
  <c r="E14" i="95"/>
  <c r="H45" i="94"/>
  <c r="G14" i="95"/>
  <c r="G12" i="95"/>
  <c r="D14" i="95"/>
  <c r="D13" i="95"/>
  <c r="F11" i="95"/>
  <c r="D11" i="95"/>
  <c r="E8" i="95"/>
  <c r="D7" i="95"/>
  <c r="F12" i="95"/>
  <c r="H10" i="95"/>
  <c r="E9" i="95"/>
  <c r="F7" i="95"/>
  <c r="H13" i="95"/>
  <c r="E12" i="95"/>
  <c r="G10" i="95"/>
  <c r="D9" i="95"/>
  <c r="G7" i="95"/>
  <c r="G13" i="95"/>
  <c r="D12" i="95"/>
  <c r="F10" i="95"/>
  <c r="H8" i="95"/>
  <c r="F9" i="95"/>
  <c r="H7" i="95"/>
  <c r="J7" i="95" s="1"/>
  <c r="F13" i="95"/>
  <c r="H11" i="95"/>
  <c r="E10" i="95"/>
  <c r="G8" i="95"/>
  <c r="H14" i="95"/>
  <c r="G11" i="95"/>
  <c r="F8" i="95"/>
  <c r="H9" i="95"/>
  <c r="C8" i="34"/>
  <c r="C9" i="34"/>
  <c r="C10" i="34"/>
  <c r="C11" i="34"/>
  <c r="C12" i="34"/>
  <c r="C13" i="34"/>
  <c r="C14" i="34"/>
  <c r="C7" i="34"/>
  <c r="C17" i="11"/>
  <c r="J17" i="11" s="1"/>
  <c r="R9" i="12"/>
  <c r="J9" i="12"/>
  <c r="I9" i="12"/>
  <c r="E9" i="12"/>
  <c r="R8" i="12"/>
  <c r="J7" i="34" l="1"/>
  <c r="F7" i="34" a="1"/>
  <c r="F7" i="34" s="1"/>
  <c r="E7" i="34" a="1"/>
  <c r="E7" i="34" s="1"/>
  <c r="H7" i="34" a="1"/>
  <c r="H7" i="34" s="1"/>
  <c r="D7" i="34" a="1"/>
  <c r="D7" i="34" s="1"/>
  <c r="G7" i="34" a="1"/>
  <c r="G7" i="34" s="1"/>
  <c r="J14" i="34"/>
  <c r="E14" i="34" a="1"/>
  <c r="E14" i="34" s="1"/>
  <c r="D14" i="34" a="1"/>
  <c r="D14" i="34" s="1"/>
  <c r="F14" i="34" a="1"/>
  <c r="F14" i="34" s="1"/>
  <c r="G14" i="34" a="1"/>
  <c r="G14" i="34" s="1"/>
  <c r="H14" i="34" a="1"/>
  <c r="H14" i="34" s="1"/>
  <c r="J13" i="34"/>
  <c r="D13" i="34" a="1"/>
  <c r="D13" i="34" s="1"/>
  <c r="H13" i="34" a="1"/>
  <c r="H13" i="34" s="1"/>
  <c r="E13" i="34" a="1"/>
  <c r="E13" i="34" s="1"/>
  <c r="F13" i="34" a="1"/>
  <c r="F13" i="34" s="1"/>
  <c r="G13" i="34" a="1"/>
  <c r="G13" i="34" s="1"/>
  <c r="I13" i="34" s="1"/>
  <c r="J12" i="34"/>
  <c r="F12" i="34" a="1"/>
  <c r="F12" i="34" s="1"/>
  <c r="E12" i="34" a="1"/>
  <c r="E12" i="34" s="1"/>
  <c r="D12" i="34" a="1"/>
  <c r="D12" i="34" s="1"/>
  <c r="G12" i="34" a="1"/>
  <c r="G12" i="34" s="1"/>
  <c r="I12" i="34" s="1"/>
  <c r="H12" i="34" a="1"/>
  <c r="H12" i="34" s="1"/>
  <c r="J11" i="34"/>
  <c r="E11" i="34" a="1"/>
  <c r="E11" i="34" s="1"/>
  <c r="G11" i="34" a="1"/>
  <c r="G11" i="34" s="1"/>
  <c r="I11" i="34" s="1"/>
  <c r="D11" i="34" a="1"/>
  <c r="D11" i="34" s="1"/>
  <c r="H11" i="34" a="1"/>
  <c r="H11" i="34" s="1"/>
  <c r="F11" i="34" a="1"/>
  <c r="F11" i="34" s="1"/>
  <c r="J9" i="34"/>
  <c r="E9" i="34" a="1"/>
  <c r="E9" i="34" s="1"/>
  <c r="G9" i="34" a="1"/>
  <c r="G9" i="34" s="1"/>
  <c r="D9" i="34" a="1"/>
  <c r="D9" i="34" s="1"/>
  <c r="F9" i="34" a="1"/>
  <c r="F9" i="34" s="1"/>
  <c r="H9" i="34" a="1"/>
  <c r="H9" i="34" s="1"/>
  <c r="J10" i="34"/>
  <c r="D10" i="34" a="1"/>
  <c r="D10" i="34" s="1"/>
  <c r="F10" i="34" a="1"/>
  <c r="F10" i="34" s="1"/>
  <c r="E10" i="34" a="1"/>
  <c r="E10" i="34" s="1"/>
  <c r="G10" i="34" a="1"/>
  <c r="G10" i="34" s="1"/>
  <c r="I10" i="34" s="1"/>
  <c r="H10" i="34" a="1"/>
  <c r="H10" i="34" s="1"/>
  <c r="J8" i="34"/>
  <c r="E8" i="34" a="1"/>
  <c r="E8" i="34" s="1"/>
  <c r="G8" i="34" a="1"/>
  <c r="G8" i="34" s="1"/>
  <c r="I8" i="34" s="1"/>
  <c r="H8" i="34" a="1"/>
  <c r="H8" i="34" s="1"/>
  <c r="D8" i="34" a="1"/>
  <c r="D8" i="34" s="1"/>
  <c r="F8" i="34" a="1"/>
  <c r="F8" i="34" s="1"/>
  <c r="I9" i="87"/>
  <c r="J9" i="87"/>
  <c r="I11" i="87"/>
  <c r="J11" i="87"/>
  <c r="I8" i="87"/>
  <c r="J8" i="87"/>
  <c r="I10" i="87"/>
  <c r="J10" i="87"/>
  <c r="I12" i="87"/>
  <c r="J12" i="87"/>
  <c r="J13" i="87"/>
  <c r="I13" i="87"/>
  <c r="I7" i="87"/>
  <c r="J7" i="87"/>
  <c r="I7" i="95"/>
  <c r="P9" i="12"/>
  <c r="Q9" i="12"/>
  <c r="K8" i="12"/>
  <c r="J8" i="12"/>
  <c r="C17" i="133"/>
  <c r="J17" i="133" s="1"/>
  <c r="J5" i="119"/>
  <c r="F19" i="133"/>
  <c r="H20" i="133"/>
  <c r="G20" i="133"/>
  <c r="I20" i="133" s="1"/>
  <c r="F20" i="133"/>
  <c r="E20" i="133"/>
  <c r="D20" i="133"/>
  <c r="H19" i="133"/>
  <c r="H18" i="133"/>
  <c r="G18" i="133"/>
  <c r="I18" i="133" s="1"/>
  <c r="F18" i="133"/>
  <c r="E18" i="133"/>
  <c r="D18" i="133"/>
  <c r="H23" i="133"/>
  <c r="F23" i="133" s="1"/>
  <c r="C14" i="133"/>
  <c r="J14" i="133" s="1"/>
  <c r="C12" i="133"/>
  <c r="J12" i="133" s="1"/>
  <c r="C11" i="133"/>
  <c r="J11" i="133" s="1"/>
  <c r="C10" i="133"/>
  <c r="J10" i="133" s="1"/>
  <c r="C9" i="133"/>
  <c r="J9" i="133" s="1"/>
  <c r="C8" i="133"/>
  <c r="J8" i="133" s="1"/>
  <c r="C7" i="133"/>
  <c r="J7" i="133" s="1"/>
  <c r="I7" i="34" l="1"/>
  <c r="I14" i="34"/>
  <c r="I9" i="34"/>
  <c r="D14" i="133"/>
  <c r="G12" i="133"/>
  <c r="I12" i="133" s="1"/>
  <c r="E11" i="133"/>
  <c r="P8" i="12"/>
  <c r="F14" i="12"/>
  <c r="G14" i="12" s="1"/>
  <c r="E7" i="133"/>
  <c r="D7" i="133"/>
  <c r="G8" i="133"/>
  <c r="D8" i="133"/>
  <c r="G19" i="133"/>
  <c r="I19" i="133" s="1"/>
  <c r="F9" i="12"/>
  <c r="G9" i="12" s="1"/>
  <c r="E19" i="133"/>
  <c r="D19" i="133"/>
  <c r="F8" i="12"/>
  <c r="Q8" i="12"/>
  <c r="D9" i="133"/>
  <c r="D10" i="133"/>
  <c r="F8" i="133"/>
  <c r="F11" i="133"/>
  <c r="H8" i="133"/>
  <c r="F12" i="133"/>
  <c r="H12" i="133"/>
  <c r="H9" i="133"/>
  <c r="F7" i="133"/>
  <c r="E10" i="133"/>
  <c r="G7" i="133"/>
  <c r="F10" i="133"/>
  <c r="E9" i="133"/>
  <c r="G10" i="133"/>
  <c r="E13" i="133"/>
  <c r="G14" i="133"/>
  <c r="G11" i="133"/>
  <c r="I11" i="133" s="1"/>
  <c r="E14" i="133"/>
  <c r="H7" i="133"/>
  <c r="H11" i="133"/>
  <c r="D13" i="133"/>
  <c r="F14" i="133"/>
  <c r="F9" i="133"/>
  <c r="H10" i="133"/>
  <c r="D12" i="133"/>
  <c r="F13" i="133"/>
  <c r="H14" i="133"/>
  <c r="E8" i="133"/>
  <c r="G9" i="133"/>
  <c r="E12" i="133"/>
  <c r="G13" i="133"/>
  <c r="I13" i="133" s="1"/>
  <c r="D11" i="133"/>
  <c r="H13" i="133"/>
  <c r="D17" i="133"/>
  <c r="E17" i="133"/>
  <c r="F17" i="133"/>
  <c r="G17" i="133"/>
  <c r="H17" i="133"/>
  <c r="F48" i="10"/>
  <c r="G48" i="10"/>
  <c r="J48" i="10"/>
  <c r="K48" i="10"/>
  <c r="O48" i="10"/>
  <c r="F50" i="10"/>
  <c r="G50" i="10"/>
  <c r="J50" i="10"/>
  <c r="K50" i="10"/>
  <c r="L50" i="10"/>
  <c r="N50" i="10"/>
  <c r="O50" i="10"/>
  <c r="F51" i="10"/>
  <c r="G51" i="10"/>
  <c r="J51" i="10"/>
  <c r="K51" i="10"/>
  <c r="N51" i="10"/>
  <c r="O51" i="10"/>
  <c r="C48" i="10"/>
  <c r="C50" i="10"/>
  <c r="C51" i="10"/>
  <c r="B51" i="10"/>
  <c r="B50" i="10"/>
  <c r="B48" i="10"/>
  <c r="C8" i="11"/>
  <c r="J8" i="11" s="1"/>
  <c r="C9" i="11"/>
  <c r="J9" i="11" s="1"/>
  <c r="C10" i="11"/>
  <c r="J10" i="11" s="1"/>
  <c r="C11" i="11"/>
  <c r="J11" i="11" s="1"/>
  <c r="C12" i="11"/>
  <c r="J12" i="11" s="1"/>
  <c r="C13" i="11"/>
  <c r="J13" i="11" s="1"/>
  <c r="C14" i="11"/>
  <c r="J14" i="11" s="1"/>
  <c r="C7" i="11"/>
  <c r="J7" i="11" s="1"/>
  <c r="I8" i="133" l="1"/>
  <c r="I14" i="133"/>
  <c r="I10" i="133"/>
  <c r="E5" i="119"/>
  <c r="M5" i="119" s="1"/>
  <c r="N5" i="119" s="1"/>
  <c r="I17" i="133"/>
  <c r="I9" i="133"/>
  <c r="I7" i="133"/>
  <c r="D8" i="11"/>
  <c r="E9" i="11"/>
  <c r="D50" i="10"/>
  <c r="P51" i="10"/>
  <c r="P50" i="10"/>
  <c r="L48" i="10"/>
  <c r="H48" i="10"/>
  <c r="D48" i="10"/>
  <c r="D51" i="10"/>
  <c r="H50" i="10"/>
  <c r="L51" i="10"/>
  <c r="H51" i="10"/>
  <c r="P48" i="10"/>
  <c r="K13" i="133"/>
  <c r="L13" i="133" s="1"/>
  <c r="K14" i="133"/>
  <c r="L14" i="133" s="1"/>
  <c r="K11" i="133"/>
  <c r="L11" i="133" s="1"/>
  <c r="K7" i="133"/>
  <c r="L7" i="133" s="1"/>
  <c r="K8" i="133"/>
  <c r="L8" i="133" s="1"/>
  <c r="K10" i="133"/>
  <c r="L10" i="133" s="1"/>
  <c r="K12" i="133"/>
  <c r="L12" i="133" s="1"/>
  <c r="K9" i="133"/>
  <c r="L9" i="133" s="1"/>
  <c r="F13" i="46" l="1"/>
  <c r="G13" i="46"/>
  <c r="H13" i="46"/>
  <c r="I19" i="12" l="1"/>
  <c r="S19" i="12"/>
  <c r="E19" i="12" l="1"/>
  <c r="D15" i="119"/>
  <c r="K15" i="119"/>
  <c r="J19" i="12"/>
  <c r="R19" i="12"/>
  <c r="C17" i="106"/>
  <c r="J17" i="106" s="1"/>
  <c r="F19" i="12" l="1"/>
  <c r="G19" i="12" s="1"/>
  <c r="P19" i="12"/>
  <c r="Q19" i="12"/>
  <c r="N52" i="10"/>
  <c r="J52" i="10" l="1"/>
  <c r="K52" i="10"/>
  <c r="G52" i="10"/>
  <c r="F52" i="10"/>
  <c r="L52" i="10" l="1"/>
  <c r="O52" i="10"/>
  <c r="P52" i="10" s="1"/>
  <c r="H52" i="10"/>
  <c r="C52" i="10"/>
  <c r="D52" i="10" s="1"/>
  <c r="I8" i="12" l="1"/>
  <c r="J4" i="119"/>
  <c r="E18" i="30"/>
  <c r="F18" i="30"/>
  <c r="G30" i="119"/>
  <c r="H30" i="119"/>
  <c r="I30" i="119"/>
  <c r="F30" i="119" l="1"/>
  <c r="G18" i="30"/>
  <c r="D18" i="30"/>
  <c r="B27" i="125"/>
  <c r="B25" i="125"/>
  <c r="B24" i="125"/>
  <c r="B23" i="125"/>
  <c r="B22" i="125"/>
  <c r="B21" i="125"/>
  <c r="B16" i="125"/>
  <c r="B15" i="125"/>
  <c r="B13" i="125"/>
  <c r="B12" i="125"/>
  <c r="B11" i="125"/>
  <c r="B10" i="125"/>
  <c r="B9" i="125"/>
  <c r="B7" i="125"/>
  <c r="B6" i="125"/>
  <c r="B5" i="125"/>
  <c r="B4" i="125"/>
  <c r="B3" i="125"/>
  <c r="H18" i="30" l="1"/>
  <c r="I18" i="30"/>
  <c r="F31" i="119"/>
  <c r="G31" i="119"/>
  <c r="H31" i="119"/>
  <c r="I31" i="119"/>
  <c r="F29" i="119"/>
  <c r="G29" i="119"/>
  <c r="H29" i="119"/>
  <c r="E18" i="81"/>
  <c r="F18" i="81"/>
  <c r="I29" i="119"/>
  <c r="G18" i="57"/>
  <c r="F18" i="57"/>
  <c r="E18" i="57"/>
  <c r="D18" i="57"/>
  <c r="F15" i="119"/>
  <c r="H18" i="57" l="1"/>
  <c r="I18" i="57" s="1"/>
  <c r="H18" i="43"/>
  <c r="F19" i="119"/>
  <c r="G18" i="81"/>
  <c r="H18" i="81" s="1"/>
  <c r="E18" i="2"/>
  <c r="E18" i="25"/>
  <c r="E18" i="43"/>
  <c r="F18" i="25"/>
  <c r="F18" i="106"/>
  <c r="F18" i="13"/>
  <c r="G18" i="18"/>
  <c r="G18" i="16"/>
  <c r="E18" i="13"/>
  <c r="F13" i="119"/>
  <c r="G18" i="106"/>
  <c r="F17" i="119"/>
  <c r="H18" i="2"/>
  <c r="F18" i="2"/>
  <c r="F16" i="119"/>
  <c r="H18" i="16"/>
  <c r="H18" i="106"/>
  <c r="H18" i="13"/>
  <c r="E18" i="106"/>
  <c r="F18" i="16"/>
  <c r="F18" i="43"/>
  <c r="H18" i="25"/>
  <c r="H18" i="46"/>
  <c r="H18" i="32" l="1"/>
  <c r="I18" i="32"/>
  <c r="F25" i="119"/>
  <c r="M25" i="119" s="1"/>
  <c r="N25" i="119" s="1"/>
  <c r="G18" i="43"/>
  <c r="G18" i="2"/>
  <c r="E18" i="16"/>
  <c r="F21" i="119"/>
  <c r="F14" i="119"/>
  <c r="G18" i="13"/>
  <c r="F18" i="119"/>
  <c r="G18" i="25"/>
  <c r="D18" i="43" l="1"/>
  <c r="G18" i="41"/>
  <c r="F18" i="41"/>
  <c r="E18" i="41"/>
  <c r="D18" i="13"/>
  <c r="I18" i="13" s="1"/>
  <c r="D18" i="25"/>
  <c r="I18" i="25" s="1"/>
  <c r="D18" i="106"/>
  <c r="I18" i="106" s="1"/>
  <c r="D18" i="2"/>
  <c r="D18" i="41" l="1"/>
  <c r="H18" i="41" s="1"/>
  <c r="F18" i="6"/>
  <c r="G18" i="6"/>
  <c r="H18" i="6"/>
  <c r="F18" i="18"/>
  <c r="I18" i="18" s="1"/>
  <c r="H18" i="18"/>
  <c r="H18" i="95"/>
  <c r="D18" i="95"/>
  <c r="E18" i="95" l="1"/>
  <c r="D18" i="16"/>
  <c r="F18" i="95"/>
  <c r="G18" i="95" l="1"/>
  <c r="F10" i="119"/>
  <c r="E18" i="11"/>
  <c r="D46" i="10"/>
  <c r="D47" i="10"/>
  <c r="G18" i="11"/>
  <c r="F18" i="11"/>
  <c r="D45" i="10"/>
  <c r="H18" i="11"/>
  <c r="D18" i="11" l="1"/>
  <c r="I18" i="11" s="1"/>
  <c r="C17" i="30"/>
  <c r="G17" i="30" l="1"/>
  <c r="F17" i="30"/>
  <c r="E17" i="30"/>
  <c r="D17" i="30"/>
  <c r="G20" i="12"/>
  <c r="E30" i="119" l="1"/>
  <c r="N30" i="119" s="1"/>
  <c r="I17" i="30"/>
  <c r="H17" i="30"/>
  <c r="D9" i="119"/>
  <c r="R13" i="12"/>
  <c r="E13" i="12"/>
  <c r="K9" i="119"/>
  <c r="J13" i="12"/>
  <c r="S13" i="12"/>
  <c r="L9" i="119"/>
  <c r="K13" i="12"/>
  <c r="J9" i="119" l="1"/>
  <c r="Q13" i="12"/>
  <c r="P13" i="12"/>
  <c r="H9" i="119"/>
  <c r="F9" i="119"/>
  <c r="G9" i="119"/>
  <c r="I9" i="119"/>
  <c r="D17" i="95"/>
  <c r="E17" i="95"/>
  <c r="F17" i="95"/>
  <c r="G17" i="95"/>
  <c r="H17" i="95"/>
  <c r="C17" i="34"/>
  <c r="J17" i="34" s="1"/>
  <c r="H17" i="34" l="1" a="1"/>
  <c r="H17" i="34" s="1"/>
  <c r="G17" i="34" a="1"/>
  <c r="G17" i="34" s="1"/>
  <c r="I17" i="34" s="1"/>
  <c r="F17" i="34" a="1"/>
  <c r="F17" i="34" s="1"/>
  <c r="E17" i="34" a="1"/>
  <c r="E17" i="34" s="1"/>
  <c r="D17" i="34" a="1"/>
  <c r="D17" i="34" s="1"/>
  <c r="F13" i="12"/>
  <c r="I13" i="12"/>
  <c r="E10" i="119"/>
  <c r="M10" i="119" s="1"/>
  <c r="N10" i="119" s="1"/>
  <c r="H23" i="32" l="1"/>
  <c r="H22" i="69"/>
  <c r="H23" i="81"/>
  <c r="H23" i="57" l="1"/>
  <c r="F23" i="57" s="1"/>
  <c r="H23" i="23"/>
  <c r="F23" i="23" s="1"/>
  <c r="H23" i="34"/>
  <c r="F23" i="34" s="1"/>
  <c r="H23" i="95"/>
  <c r="F23" i="95" s="1"/>
  <c r="H23" i="87"/>
  <c r="F23" i="87" s="1"/>
  <c r="H23" i="18"/>
  <c r="F23" i="18" s="1"/>
  <c r="H23" i="6"/>
  <c r="F23" i="6" s="1"/>
  <c r="H23" i="106"/>
  <c r="F23" i="106" s="1"/>
  <c r="H23" i="2"/>
  <c r="F23" i="2" s="1"/>
  <c r="H23" i="25"/>
  <c r="F23" i="25" s="1"/>
  <c r="H23" i="13"/>
  <c r="F23" i="13" s="1"/>
  <c r="H23" i="16"/>
  <c r="F23" i="16" s="1"/>
  <c r="H23" i="83"/>
  <c r="F23" i="83" s="1"/>
  <c r="H23" i="41"/>
  <c r="F23" i="41" s="1"/>
  <c r="H23" i="46"/>
  <c r="F23" i="46" s="1"/>
  <c r="H23" i="43"/>
  <c r="F23" i="43" s="1"/>
  <c r="F23" i="81"/>
  <c r="F22" i="69"/>
  <c r="H23" i="30"/>
  <c r="F23" i="30" s="1"/>
  <c r="F23" i="32"/>
  <c r="H23" i="11"/>
  <c r="F23" i="11" s="1"/>
  <c r="H20" i="106" l="1"/>
  <c r="G20" i="106"/>
  <c r="I20" i="106" s="1"/>
  <c r="F20" i="106"/>
  <c r="E20" i="106"/>
  <c r="D20" i="106"/>
  <c r="H19" i="106"/>
  <c r="G19" i="106"/>
  <c r="F19" i="106"/>
  <c r="E19" i="106"/>
  <c r="D19" i="106"/>
  <c r="H14" i="106"/>
  <c r="G14" i="106"/>
  <c r="F14" i="106"/>
  <c r="E14" i="106"/>
  <c r="D14" i="106"/>
  <c r="H13" i="106"/>
  <c r="G13" i="106"/>
  <c r="F13" i="106"/>
  <c r="E13" i="106"/>
  <c r="D13" i="106"/>
  <c r="H12" i="106"/>
  <c r="G12" i="106"/>
  <c r="F12" i="106"/>
  <c r="E12" i="106"/>
  <c r="D12" i="106"/>
  <c r="H11" i="106"/>
  <c r="G11" i="106"/>
  <c r="F11" i="106"/>
  <c r="E11" i="106"/>
  <c r="D11" i="106"/>
  <c r="H10" i="106"/>
  <c r="G10" i="106"/>
  <c r="I10" i="106" s="1"/>
  <c r="F10" i="106"/>
  <c r="E10" i="106"/>
  <c r="D10" i="106"/>
  <c r="H9" i="106"/>
  <c r="G9" i="106"/>
  <c r="F9" i="106"/>
  <c r="E9" i="106"/>
  <c r="D9" i="106"/>
  <c r="H8" i="106"/>
  <c r="G8" i="106"/>
  <c r="F8" i="106"/>
  <c r="E8" i="106"/>
  <c r="D8" i="106"/>
  <c r="H7" i="106"/>
  <c r="G7" i="106"/>
  <c r="I7" i="106" s="1"/>
  <c r="F7" i="106"/>
  <c r="E7" i="106"/>
  <c r="I12" i="106" l="1"/>
  <c r="I8" i="106"/>
  <c r="I19" i="106"/>
  <c r="I9" i="106"/>
  <c r="I14" i="106"/>
  <c r="I11" i="106"/>
  <c r="I13" i="106"/>
  <c r="E17" i="106"/>
  <c r="D17" i="106"/>
  <c r="F17" i="106"/>
  <c r="G17" i="106"/>
  <c r="H17" i="106"/>
  <c r="E15" i="119" l="1"/>
  <c r="M15" i="119" s="1"/>
  <c r="N15" i="119" s="1"/>
  <c r="I17" i="106"/>
  <c r="K12" i="106"/>
  <c r="L12" i="106" s="1"/>
  <c r="K13" i="106"/>
  <c r="L13" i="106" s="1"/>
  <c r="K10" i="106"/>
  <c r="L10" i="106" s="1"/>
  <c r="K14" i="106"/>
  <c r="L14" i="106" s="1"/>
  <c r="K7" i="106"/>
  <c r="L7" i="106" s="1"/>
  <c r="K9" i="106"/>
  <c r="L9" i="106" s="1"/>
  <c r="K11" i="106"/>
  <c r="L11" i="106" s="1"/>
  <c r="K8" i="106"/>
  <c r="L8" i="106" s="1"/>
  <c r="G21" i="13" l="1"/>
  <c r="G19" i="13"/>
  <c r="H21" i="95" l="1"/>
  <c r="G21" i="95"/>
  <c r="F21" i="95"/>
  <c r="E21" i="95"/>
  <c r="D21" i="95"/>
  <c r="H20" i="95"/>
  <c r="G20" i="95"/>
  <c r="F20" i="95"/>
  <c r="E20" i="95"/>
  <c r="D20" i="95"/>
  <c r="H19" i="95"/>
  <c r="G19" i="95"/>
  <c r="F19" i="95"/>
  <c r="E19" i="95"/>
  <c r="D19" i="95"/>
  <c r="K10" i="95" l="1"/>
  <c r="L10" i="95" s="1"/>
  <c r="K13" i="95"/>
  <c r="L13" i="95" s="1"/>
  <c r="K8" i="95"/>
  <c r="L8" i="95" s="1"/>
  <c r="K9" i="95"/>
  <c r="L9" i="95" s="1"/>
  <c r="K11" i="95"/>
  <c r="L11" i="95" s="1"/>
  <c r="K12" i="95"/>
  <c r="L12" i="95" s="1"/>
  <c r="K7" i="95"/>
  <c r="L7" i="95" s="1"/>
  <c r="K14" i="95"/>
  <c r="L14" i="95" s="1"/>
  <c r="H18" i="87" l="1"/>
  <c r="E20" i="87"/>
  <c r="D20" i="87"/>
  <c r="F20" i="87"/>
  <c r="G19" i="87"/>
  <c r="E19" i="87" l="1"/>
  <c r="F19" i="87"/>
  <c r="D19" i="87"/>
  <c r="I19" i="87" s="1"/>
  <c r="J18" i="87"/>
  <c r="G18" i="87"/>
  <c r="G20" i="87"/>
  <c r="J20" i="87"/>
  <c r="H20" i="87"/>
  <c r="J19" i="87"/>
  <c r="H19" i="87"/>
  <c r="H20" i="83"/>
  <c r="J20" i="119" l="1"/>
  <c r="H19" i="83"/>
  <c r="D18" i="87"/>
  <c r="I18" i="87" s="1"/>
  <c r="F18" i="87"/>
  <c r="E18" i="87"/>
  <c r="F21" i="83"/>
  <c r="G13" i="83"/>
  <c r="G12" i="83"/>
  <c r="G10" i="83"/>
  <c r="F13" i="83"/>
  <c r="F12" i="83"/>
  <c r="F10" i="83"/>
  <c r="E13" i="83"/>
  <c r="E12" i="83"/>
  <c r="E10" i="83"/>
  <c r="H13" i="83"/>
  <c r="H14" i="83"/>
  <c r="D21" i="83"/>
  <c r="H21" i="83"/>
  <c r="F19" i="83"/>
  <c r="E8" i="83"/>
  <c r="H10" i="83"/>
  <c r="G21" i="83"/>
  <c r="I21" i="83" s="1"/>
  <c r="G9" i="83"/>
  <c r="I9" i="83" s="1"/>
  <c r="E14" i="83"/>
  <c r="D20" i="83"/>
  <c r="D11" i="83"/>
  <c r="H9" i="83"/>
  <c r="G7" i="83"/>
  <c r="F7" i="83"/>
  <c r="E11" i="83"/>
  <c r="E7" i="83"/>
  <c r="H8" i="83"/>
  <c r="H12" i="83"/>
  <c r="F11" i="83"/>
  <c r="G11" i="83"/>
  <c r="D13" i="83"/>
  <c r="D12" i="83"/>
  <c r="D10" i="83"/>
  <c r="H7" i="83"/>
  <c r="H11" i="83"/>
  <c r="I20" i="87"/>
  <c r="D14" i="83"/>
  <c r="G14" i="83"/>
  <c r="F20" i="83"/>
  <c r="E20" i="83"/>
  <c r="E19" i="83"/>
  <c r="D19" i="83"/>
  <c r="G8" i="83"/>
  <c r="F8" i="83"/>
  <c r="D8" i="83"/>
  <c r="D9" i="83"/>
  <c r="G20" i="83"/>
  <c r="I20" i="83" s="1"/>
  <c r="F14" i="83"/>
  <c r="F9" i="83"/>
  <c r="E9" i="83"/>
  <c r="E21" i="83"/>
  <c r="D7" i="83"/>
  <c r="I12" i="83" l="1"/>
  <c r="I7" i="83"/>
  <c r="I8" i="83"/>
  <c r="I13" i="83"/>
  <c r="I14" i="83"/>
  <c r="I11" i="83"/>
  <c r="I10" i="83"/>
  <c r="G19" i="83"/>
  <c r="I19" i="83" s="1"/>
  <c r="I24" i="12"/>
  <c r="E18" i="83"/>
  <c r="F20" i="119"/>
  <c r="D18" i="83"/>
  <c r="G18" i="83"/>
  <c r="H18" i="83"/>
  <c r="D17" i="87"/>
  <c r="E17" i="87"/>
  <c r="F17" i="87"/>
  <c r="G17" i="87"/>
  <c r="K7" i="87" s="1"/>
  <c r="L7" i="87" s="1"/>
  <c r="H17" i="87"/>
  <c r="J17" i="87"/>
  <c r="E17" i="81"/>
  <c r="G20" i="81"/>
  <c r="H20" i="81" s="1"/>
  <c r="F20" i="81"/>
  <c r="E20" i="81"/>
  <c r="D20" i="81"/>
  <c r="D8" i="81"/>
  <c r="E8" i="81"/>
  <c r="F8" i="81"/>
  <c r="G8" i="81"/>
  <c r="H8" i="81" s="1"/>
  <c r="D9" i="81"/>
  <c r="E9" i="81"/>
  <c r="F9" i="81"/>
  <c r="G9" i="81"/>
  <c r="D10" i="81"/>
  <c r="E10" i="81"/>
  <c r="F10" i="81"/>
  <c r="G10" i="81"/>
  <c r="D11" i="81"/>
  <c r="E11" i="81"/>
  <c r="F11" i="81"/>
  <c r="G11" i="81"/>
  <c r="D12" i="81"/>
  <c r="E12" i="81"/>
  <c r="F12" i="81"/>
  <c r="G12" i="81"/>
  <c r="D13" i="81"/>
  <c r="E13" i="81"/>
  <c r="F13" i="81"/>
  <c r="G13" i="81"/>
  <c r="D14" i="81"/>
  <c r="E14" i="81"/>
  <c r="F14" i="81"/>
  <c r="G14" i="81"/>
  <c r="G7" i="81"/>
  <c r="H7" i="81" s="1"/>
  <c r="F7" i="81"/>
  <c r="E7" i="81"/>
  <c r="D7" i="81"/>
  <c r="F19" i="81"/>
  <c r="E19" i="81"/>
  <c r="D19" i="81"/>
  <c r="H14" i="81" l="1"/>
  <c r="H12" i="81"/>
  <c r="H10" i="81"/>
  <c r="H13" i="81"/>
  <c r="H11" i="81"/>
  <c r="H9" i="81"/>
  <c r="I18" i="83"/>
  <c r="F18" i="83"/>
  <c r="G19" i="81"/>
  <c r="H19" i="81" s="1"/>
  <c r="I33" i="12"/>
  <c r="E11" i="119"/>
  <c r="M11" i="119" s="1"/>
  <c r="N11" i="119" s="1"/>
  <c r="K14" i="87"/>
  <c r="L14" i="87" s="1"/>
  <c r="K8" i="87"/>
  <c r="L8" i="87" s="1"/>
  <c r="K10" i="87"/>
  <c r="L10" i="87" s="1"/>
  <c r="K11" i="87"/>
  <c r="L11" i="87" s="1"/>
  <c r="K13" i="87"/>
  <c r="L13" i="87" s="1"/>
  <c r="K12" i="87"/>
  <c r="L12" i="87" s="1"/>
  <c r="K9" i="87"/>
  <c r="L9" i="87" s="1"/>
  <c r="I17" i="87"/>
  <c r="F17" i="81"/>
  <c r="D17" i="81"/>
  <c r="E17" i="83"/>
  <c r="F17" i="83"/>
  <c r="D17" i="83"/>
  <c r="G17" i="83"/>
  <c r="H17" i="83"/>
  <c r="G17" i="81"/>
  <c r="E29" i="119" l="1"/>
  <c r="M29" i="119" s="1"/>
  <c r="H17" i="81"/>
  <c r="I17" i="83"/>
  <c r="E20" i="119"/>
  <c r="M20" i="119" s="1"/>
  <c r="N20" i="119" s="1"/>
  <c r="K9" i="83"/>
  <c r="L9" i="83" s="1"/>
  <c r="K11" i="83"/>
  <c r="L11" i="83" s="1"/>
  <c r="K14" i="83"/>
  <c r="L14" i="83" s="1"/>
  <c r="K10" i="83"/>
  <c r="L10" i="83" s="1"/>
  <c r="K7" i="83"/>
  <c r="L7" i="83" s="1"/>
  <c r="K12" i="83"/>
  <c r="L12" i="83" s="1"/>
  <c r="K13" i="83"/>
  <c r="L13" i="83" s="1"/>
  <c r="K8" i="83"/>
  <c r="L8" i="83" s="1"/>
  <c r="I11" i="81"/>
  <c r="I14" i="81"/>
  <c r="I7" i="81"/>
  <c r="I13" i="81"/>
  <c r="I12" i="81"/>
  <c r="I10" i="81"/>
  <c r="I9" i="81"/>
  <c r="I8" i="81"/>
  <c r="L147" i="70" l="1"/>
  <c r="H147" i="70"/>
  <c r="D147" i="70"/>
  <c r="D145" i="70"/>
  <c r="C49" i="70"/>
  <c r="J45" i="70" a="1"/>
  <c r="J45" i="70" s="1"/>
  <c r="L45" i="70" s="1"/>
  <c r="F45" i="70" a="1"/>
  <c r="F45" i="70" s="1"/>
  <c r="H45" i="70" s="1"/>
  <c r="B45" i="70" a="1"/>
  <c r="B45" i="70" s="1"/>
  <c r="D45" i="70" s="1"/>
  <c r="J46" i="70" a="1"/>
  <c r="J46" i="70" s="1"/>
  <c r="L46" i="70" s="1"/>
  <c r="J47" i="70" a="1"/>
  <c r="J47" i="70" s="1"/>
  <c r="L47" i="70" s="1"/>
  <c r="J44" i="70" a="1"/>
  <c r="J44" i="70" s="1"/>
  <c r="L44" i="70" s="1"/>
  <c r="F18" i="69" s="1"/>
  <c r="F44" i="70" a="1"/>
  <c r="F44" i="70" s="1"/>
  <c r="H44" i="70" s="1"/>
  <c r="B44" i="70" a="1"/>
  <c r="B44" i="70" s="1"/>
  <c r="D44" i="70" s="1"/>
  <c r="B47" i="70" l="1" a="1"/>
  <c r="B47" i="70" s="1"/>
  <c r="D47" i="70" s="1"/>
  <c r="F47" i="70" a="1"/>
  <c r="F47" i="70" s="1"/>
  <c r="H47" i="70" s="1"/>
  <c r="F46" i="70" a="1"/>
  <c r="F46" i="70" s="1"/>
  <c r="H46" i="70" s="1"/>
  <c r="B46" i="70" a="1"/>
  <c r="B46" i="70" s="1"/>
  <c r="D46" i="70" s="1"/>
  <c r="G38" i="70"/>
  <c r="B50" i="70"/>
  <c r="C48" i="70"/>
  <c r="G49" i="70"/>
  <c r="B48" i="70"/>
  <c r="J51" i="70"/>
  <c r="B49" i="70"/>
  <c r="D49" i="70" s="1"/>
  <c r="F48" i="70"/>
  <c r="F49" i="70"/>
  <c r="C50" i="70"/>
  <c r="F50" i="70"/>
  <c r="J48" i="70"/>
  <c r="B51" i="70"/>
  <c r="J49" i="70"/>
  <c r="G48" i="70"/>
  <c r="K48" i="70"/>
  <c r="C51" i="70"/>
  <c r="K49" i="70"/>
  <c r="K51" i="70"/>
  <c r="J50" i="70"/>
  <c r="F51" i="70"/>
  <c r="G50" i="70"/>
  <c r="K50" i="70"/>
  <c r="G51" i="70"/>
  <c r="C38" i="70"/>
  <c r="B38" i="70"/>
  <c r="F38" i="70"/>
  <c r="H38" i="70" s="1"/>
  <c r="I14" i="69"/>
  <c r="L16" i="70"/>
  <c r="I8" i="69"/>
  <c r="H31" i="70"/>
  <c r="L36" i="70"/>
  <c r="H14" i="70"/>
  <c r="I9" i="69"/>
  <c r="I19" i="69"/>
  <c r="I10" i="69"/>
  <c r="I12" i="69"/>
  <c r="H34" i="70"/>
  <c r="I11" i="69"/>
  <c r="I13" i="69"/>
  <c r="H9" i="70"/>
  <c r="L10" i="70"/>
  <c r="D12" i="70"/>
  <c r="H13" i="70"/>
  <c r="L14" i="70"/>
  <c r="D16" i="70"/>
  <c r="H17" i="70"/>
  <c r="L18" i="70"/>
  <c r="D20" i="70"/>
  <c r="H21" i="70"/>
  <c r="L22" i="70"/>
  <c r="D24" i="70"/>
  <c r="H25" i="70"/>
  <c r="L26" i="70"/>
  <c r="D28" i="70"/>
  <c r="H29" i="70"/>
  <c r="L30" i="70"/>
  <c r="D32" i="70"/>
  <c r="H33" i="70"/>
  <c r="L34" i="70"/>
  <c r="D36" i="70"/>
  <c r="H37" i="70"/>
  <c r="L39" i="70"/>
  <c r="D41" i="70"/>
  <c r="H43" i="70"/>
  <c r="E19" i="69" s="1"/>
  <c r="L9" i="70"/>
  <c r="D11" i="70"/>
  <c r="H12" i="70"/>
  <c r="L13" i="70"/>
  <c r="D15" i="70"/>
  <c r="H16" i="70"/>
  <c r="L17" i="70"/>
  <c r="D19" i="70"/>
  <c r="H20" i="70"/>
  <c r="L21" i="70"/>
  <c r="D23" i="70"/>
  <c r="H24" i="70"/>
  <c r="L25" i="70"/>
  <c r="D27" i="70"/>
  <c r="H28" i="70"/>
  <c r="L29" i="70"/>
  <c r="D31" i="70"/>
  <c r="H32" i="70"/>
  <c r="L33" i="70"/>
  <c r="D35" i="70"/>
  <c r="H36" i="70"/>
  <c r="L37" i="70"/>
  <c r="D40" i="70"/>
  <c r="H41" i="70"/>
  <c r="D53" i="70"/>
  <c r="D18" i="69" s="1"/>
  <c r="L11" i="70"/>
  <c r="H19" i="70"/>
  <c r="D26" i="70"/>
  <c r="H22" i="70"/>
  <c r="H26" i="70"/>
  <c r="L31" i="70"/>
  <c r="H40" i="70"/>
  <c r="H11" i="70"/>
  <c r="D14" i="70"/>
  <c r="D29" i="70"/>
  <c r="D34" i="70"/>
  <c r="D17" i="70"/>
  <c r="D22" i="70"/>
  <c r="D37" i="70"/>
  <c r="L19" i="70"/>
  <c r="L24" i="70"/>
  <c r="L53" i="70"/>
  <c r="D25" i="70"/>
  <c r="L28" i="70"/>
  <c r="L15" i="70"/>
  <c r="D18" i="70"/>
  <c r="H27" i="70"/>
  <c r="L35" i="70"/>
  <c r="D39" i="70"/>
  <c r="L43" i="70"/>
  <c r="F19" i="69" s="1"/>
  <c r="D10" i="70"/>
  <c r="H18" i="70"/>
  <c r="L20" i="70"/>
  <c r="L27" i="70"/>
  <c r="D30" i="70"/>
  <c r="H39" i="70"/>
  <c r="L41" i="70"/>
  <c r="L40" i="70"/>
  <c r="H53" i="70"/>
  <c r="E18" i="69" s="1"/>
  <c r="H10" i="70"/>
  <c r="L12" i="70"/>
  <c r="D21" i="70"/>
  <c r="H23" i="70"/>
  <c r="H30" i="70"/>
  <c r="L32" i="70"/>
  <c r="D43" i="70"/>
  <c r="D13" i="70"/>
  <c r="H15" i="70"/>
  <c r="L23" i="70"/>
  <c r="D33" i="70"/>
  <c r="H35" i="70"/>
  <c r="F11" i="69" l="1"/>
  <c r="F8" i="69"/>
  <c r="F13" i="69"/>
  <c r="E11" i="69"/>
  <c r="H11" i="69" s="1"/>
  <c r="F9" i="69"/>
  <c r="F14" i="69"/>
  <c r="E9" i="69"/>
  <c r="H9" i="69" s="1"/>
  <c r="D50" i="70"/>
  <c r="D7" i="69"/>
  <c r="F7" i="69"/>
  <c r="F12" i="69"/>
  <c r="F10" i="69"/>
  <c r="D12" i="69"/>
  <c r="E12" i="69"/>
  <c r="H12" i="69" s="1"/>
  <c r="D8" i="69"/>
  <c r="D14" i="69"/>
  <c r="D11" i="69"/>
  <c r="E10" i="69"/>
  <c r="H10" i="69" s="1"/>
  <c r="D9" i="69"/>
  <c r="L49" i="70"/>
  <c r="E8" i="69"/>
  <c r="H8" i="69" s="1"/>
  <c r="D10" i="69"/>
  <c r="E13" i="69"/>
  <c r="H13" i="69" s="1"/>
  <c r="L48" i="70"/>
  <c r="F17" i="69" s="1"/>
  <c r="E7" i="69"/>
  <c r="H7" i="69" s="1"/>
  <c r="D13" i="69"/>
  <c r="E14" i="69"/>
  <c r="H14" i="69" s="1"/>
  <c r="D19" i="69"/>
  <c r="H49" i="70"/>
  <c r="D38" i="70"/>
  <c r="H51" i="70"/>
  <c r="L51" i="70"/>
  <c r="I17" i="69"/>
  <c r="L50" i="70"/>
  <c r="D51" i="70"/>
  <c r="D17" i="69" s="1"/>
  <c r="D48" i="70"/>
  <c r="H50" i="70"/>
  <c r="H48" i="70"/>
  <c r="L38" i="70"/>
  <c r="C16" i="69" s="1"/>
  <c r="G16" i="69" l="1"/>
  <c r="F16" i="69"/>
  <c r="E17" i="69"/>
  <c r="I16" i="69"/>
  <c r="D16" i="69"/>
  <c r="E16" i="69"/>
  <c r="K8" i="69" l="1"/>
  <c r="K12" i="69"/>
  <c r="K10" i="69"/>
  <c r="K7" i="69"/>
  <c r="K11" i="69"/>
  <c r="K9" i="69"/>
  <c r="K14" i="69"/>
  <c r="K13" i="69"/>
  <c r="G21" i="57" l="1"/>
  <c r="F21" i="57"/>
  <c r="E21" i="57"/>
  <c r="D21" i="57"/>
  <c r="G20" i="57"/>
  <c r="F20" i="57"/>
  <c r="E20" i="57"/>
  <c r="D20" i="57"/>
  <c r="G19" i="57"/>
  <c r="F19" i="57"/>
  <c r="E19" i="57"/>
  <c r="D19" i="57"/>
  <c r="H20" i="57" l="1"/>
  <c r="I20" i="57" s="1"/>
  <c r="H19" i="57"/>
  <c r="I19" i="57" s="1"/>
  <c r="H21" i="57"/>
  <c r="I21" i="57" s="1"/>
  <c r="G17" i="57"/>
  <c r="D17" i="23"/>
  <c r="D17" i="57"/>
  <c r="E17" i="57"/>
  <c r="F17" i="57"/>
  <c r="H17" i="57" l="1"/>
  <c r="I17" i="57" s="1"/>
  <c r="J13" i="57"/>
  <c r="K13" i="57" s="1"/>
  <c r="J8" i="57"/>
  <c r="K8" i="57" s="1"/>
  <c r="J11" i="57"/>
  <c r="K11" i="57" s="1"/>
  <c r="J12" i="57"/>
  <c r="K12" i="57" s="1"/>
  <c r="J7" i="57"/>
  <c r="K7" i="57" s="1"/>
  <c r="J9" i="57"/>
  <c r="K9" i="57" s="1"/>
  <c r="J14" i="57"/>
  <c r="K14" i="57" s="1"/>
  <c r="J10" i="57"/>
  <c r="K10" i="57" s="1"/>
  <c r="E23" i="119"/>
  <c r="N23" i="119" s="1"/>
  <c r="G9" i="46" l="1"/>
  <c r="H20" i="46" l="1"/>
  <c r="G20" i="46"/>
  <c r="I20" i="46" s="1"/>
  <c r="F20" i="46"/>
  <c r="E20" i="46"/>
  <c r="D20" i="46"/>
  <c r="H14" i="46"/>
  <c r="G14" i="46"/>
  <c r="I14" i="46" s="1"/>
  <c r="F14" i="46"/>
  <c r="E14" i="46"/>
  <c r="D14" i="46"/>
  <c r="E13" i="46"/>
  <c r="D13" i="46"/>
  <c r="I13" i="46" s="1"/>
  <c r="H12" i="46"/>
  <c r="G12" i="46"/>
  <c r="I12" i="46" s="1"/>
  <c r="F12" i="46"/>
  <c r="E12" i="46"/>
  <c r="D12" i="46"/>
  <c r="H11" i="46"/>
  <c r="G11" i="46"/>
  <c r="F11" i="46"/>
  <c r="E11" i="46"/>
  <c r="D11" i="46"/>
  <c r="H10" i="46"/>
  <c r="G10" i="46"/>
  <c r="F10" i="46"/>
  <c r="E10" i="46"/>
  <c r="D10" i="46"/>
  <c r="H9" i="46"/>
  <c r="F9" i="46"/>
  <c r="E9" i="46"/>
  <c r="D9" i="46"/>
  <c r="I9" i="46" s="1"/>
  <c r="H8" i="46"/>
  <c r="G8" i="46"/>
  <c r="F8" i="46"/>
  <c r="E8" i="46"/>
  <c r="D8" i="46"/>
  <c r="H7" i="46"/>
  <c r="G7" i="46"/>
  <c r="I7" i="46" s="1"/>
  <c r="F7" i="46"/>
  <c r="E7" i="46"/>
  <c r="D7" i="46"/>
  <c r="F51" i="44"/>
  <c r="G18" i="46"/>
  <c r="N51" i="44"/>
  <c r="J51" i="44"/>
  <c r="B51" i="44"/>
  <c r="I18" i="46" l="1"/>
  <c r="I11" i="46"/>
  <c r="I8" i="46"/>
  <c r="I10" i="46"/>
  <c r="D18" i="46"/>
  <c r="F18" i="46"/>
  <c r="E18" i="46"/>
  <c r="K51" i="44"/>
  <c r="L51" i="44" s="1"/>
  <c r="F19" i="46" s="1"/>
  <c r="G51" i="44"/>
  <c r="H51" i="44" s="1"/>
  <c r="E19" i="46" s="1"/>
  <c r="C51" i="44"/>
  <c r="D51" i="44" s="1"/>
  <c r="D19" i="46" s="1"/>
  <c r="O51" i="44"/>
  <c r="P51" i="44" s="1"/>
  <c r="H19" i="46"/>
  <c r="D17" i="46"/>
  <c r="E17" i="46"/>
  <c r="F17" i="46"/>
  <c r="G17" i="46"/>
  <c r="H17" i="46"/>
  <c r="E24" i="119" l="1"/>
  <c r="M24" i="119" s="1"/>
  <c r="N24" i="119" s="1"/>
  <c r="I17" i="46"/>
  <c r="G19" i="46"/>
  <c r="I19" i="46" s="1"/>
  <c r="I28" i="12"/>
  <c r="K13" i="46"/>
  <c r="L13" i="46" s="1"/>
  <c r="K12" i="46"/>
  <c r="L12" i="46" s="1"/>
  <c r="K11" i="46"/>
  <c r="L11" i="46" s="1"/>
  <c r="K7" i="46"/>
  <c r="L7" i="46" s="1"/>
  <c r="K10" i="46"/>
  <c r="L10" i="46" s="1"/>
  <c r="K9" i="46"/>
  <c r="L9" i="46" s="1"/>
  <c r="K8" i="46"/>
  <c r="L8" i="46" s="1"/>
  <c r="K14" i="46"/>
  <c r="L14" i="46" s="1"/>
  <c r="D8" i="41" l="1"/>
  <c r="E8" i="41"/>
  <c r="F8" i="41"/>
  <c r="G8" i="41"/>
  <c r="H8" i="41" s="1"/>
  <c r="E9" i="41"/>
  <c r="D10" i="41"/>
  <c r="E10" i="41"/>
  <c r="F10" i="41"/>
  <c r="G10" i="41"/>
  <c r="H10" i="41" s="1"/>
  <c r="D11" i="41"/>
  <c r="E11" i="41"/>
  <c r="F11" i="41"/>
  <c r="G11" i="41"/>
  <c r="D13" i="41"/>
  <c r="E13" i="41"/>
  <c r="D14" i="41"/>
  <c r="E14" i="41"/>
  <c r="F14" i="41"/>
  <c r="G14" i="41"/>
  <c r="D20" i="41"/>
  <c r="E20" i="41"/>
  <c r="F20" i="41"/>
  <c r="G20" i="41"/>
  <c r="D21" i="41"/>
  <c r="E21" i="41"/>
  <c r="F21" i="41"/>
  <c r="G21" i="41"/>
  <c r="D19" i="41"/>
  <c r="E19" i="41"/>
  <c r="F19" i="41"/>
  <c r="G19" i="41"/>
  <c r="H20" i="41" l="1"/>
  <c r="H19" i="41"/>
  <c r="H11" i="41"/>
  <c r="H21" i="41"/>
  <c r="H14" i="41"/>
  <c r="D12" i="41"/>
  <c r="F9" i="41"/>
  <c r="F13" i="41"/>
  <c r="D9" i="41"/>
  <c r="F7" i="41"/>
  <c r="G7" i="41"/>
  <c r="E7" i="41"/>
  <c r="D7" i="41"/>
  <c r="G13" i="41"/>
  <c r="H13" i="41" s="1"/>
  <c r="G12" i="41"/>
  <c r="H12" i="41" s="1"/>
  <c r="G9" i="41"/>
  <c r="H9" i="41" s="1"/>
  <c r="F12" i="41"/>
  <c r="E12" i="41"/>
  <c r="H7" i="41" l="1"/>
  <c r="I20" i="32" l="1"/>
  <c r="H20" i="32"/>
  <c r="H19" i="32"/>
  <c r="I19" i="32"/>
  <c r="I21" i="32"/>
  <c r="H21" i="32"/>
  <c r="E9" i="119"/>
  <c r="M9" i="119" s="1"/>
  <c r="N9" i="119" s="1"/>
  <c r="K12" i="34"/>
  <c r="L12" i="34" s="1"/>
  <c r="K13" i="34"/>
  <c r="L13" i="34" s="1"/>
  <c r="K11" i="34"/>
  <c r="L11" i="34" s="1"/>
  <c r="K14" i="34"/>
  <c r="L14" i="34" s="1"/>
  <c r="K7" i="34"/>
  <c r="L7" i="34" s="1"/>
  <c r="K8" i="34"/>
  <c r="L8" i="34" s="1"/>
  <c r="K10" i="34"/>
  <c r="L10" i="34" s="1"/>
  <c r="K9" i="34"/>
  <c r="L9" i="34" s="1"/>
  <c r="E31" i="119" l="1"/>
  <c r="M31" i="119" s="1"/>
  <c r="N31" i="119" s="1"/>
  <c r="I17" i="32"/>
  <c r="H17" i="32"/>
  <c r="J14" i="32"/>
  <c r="K14" i="32" s="1"/>
  <c r="J13" i="32"/>
  <c r="K13" i="32" s="1"/>
  <c r="J7" i="32"/>
  <c r="K7" i="32" s="1"/>
  <c r="J12" i="32"/>
  <c r="K12" i="32" s="1"/>
  <c r="J8" i="32"/>
  <c r="K8" i="32" s="1"/>
  <c r="J9" i="32"/>
  <c r="K9" i="32" s="1"/>
  <c r="J11" i="32"/>
  <c r="K11" i="32" s="1"/>
  <c r="J10" i="32"/>
  <c r="K10" i="32" s="1"/>
  <c r="J14" i="30" l="1"/>
  <c r="K14" i="30" s="1"/>
  <c r="J7" i="30"/>
  <c r="K7" i="30" s="1"/>
  <c r="J13" i="30"/>
  <c r="K13" i="30" s="1"/>
  <c r="J12" i="30"/>
  <c r="K12" i="30" s="1"/>
  <c r="J9" i="30"/>
  <c r="K9" i="30" s="1"/>
  <c r="J11" i="30"/>
  <c r="K11" i="30" s="1"/>
  <c r="J10" i="30"/>
  <c r="K10" i="30" s="1"/>
  <c r="J8" i="30"/>
  <c r="K8" i="30" s="1"/>
  <c r="H21" i="25"/>
  <c r="G21" i="25"/>
  <c r="F21" i="25"/>
  <c r="E21" i="25"/>
  <c r="D21" i="25"/>
  <c r="H20" i="25"/>
  <c r="G20" i="25"/>
  <c r="F20" i="25"/>
  <c r="E20" i="25"/>
  <c r="D20" i="25"/>
  <c r="H19" i="25"/>
  <c r="G19" i="25"/>
  <c r="F19" i="25"/>
  <c r="E19" i="25"/>
  <c r="D19" i="25"/>
  <c r="H14" i="25"/>
  <c r="G14" i="25"/>
  <c r="F14" i="25"/>
  <c r="E14" i="25"/>
  <c r="D14" i="25"/>
  <c r="H13" i="25"/>
  <c r="G13" i="25"/>
  <c r="I13" i="25" s="1"/>
  <c r="F13" i="25"/>
  <c r="E13" i="25"/>
  <c r="D13" i="25"/>
  <c r="H12" i="25"/>
  <c r="G12" i="25"/>
  <c r="F12" i="25"/>
  <c r="E12" i="25"/>
  <c r="D12" i="25"/>
  <c r="H11" i="25"/>
  <c r="G11" i="25"/>
  <c r="I11" i="25" s="1"/>
  <c r="F11" i="25"/>
  <c r="E11" i="25"/>
  <c r="D11" i="25"/>
  <c r="H10" i="25"/>
  <c r="G10" i="25"/>
  <c r="F10" i="25"/>
  <c r="E10" i="25"/>
  <c r="D10" i="25"/>
  <c r="H9" i="25"/>
  <c r="G9" i="25"/>
  <c r="F9" i="25"/>
  <c r="E9" i="25"/>
  <c r="D9" i="25"/>
  <c r="H8" i="25"/>
  <c r="G8" i="25"/>
  <c r="F8" i="25"/>
  <c r="E8" i="25"/>
  <c r="D8" i="25"/>
  <c r="H7" i="25"/>
  <c r="G7" i="25"/>
  <c r="I7" i="25" s="1"/>
  <c r="F7" i="25"/>
  <c r="E7" i="25"/>
  <c r="D7" i="25"/>
  <c r="G17" i="23"/>
  <c r="G21" i="23"/>
  <c r="F21" i="23"/>
  <c r="E21" i="23"/>
  <c r="D21" i="23"/>
  <c r="G20" i="23"/>
  <c r="F20" i="23"/>
  <c r="E20" i="23"/>
  <c r="D20" i="23"/>
  <c r="G14" i="23"/>
  <c r="F14" i="23"/>
  <c r="E14" i="23"/>
  <c r="D14" i="23"/>
  <c r="G13" i="23"/>
  <c r="F13" i="23"/>
  <c r="E13" i="23"/>
  <c r="D13" i="23"/>
  <c r="G12" i="23"/>
  <c r="F12" i="23"/>
  <c r="E12" i="23"/>
  <c r="D12" i="23"/>
  <c r="G11" i="23"/>
  <c r="F11" i="23"/>
  <c r="E11" i="23"/>
  <c r="D11" i="23"/>
  <c r="G10" i="23"/>
  <c r="F10" i="23"/>
  <c r="E10" i="23"/>
  <c r="D10" i="23"/>
  <c r="G9" i="23"/>
  <c r="F9" i="23"/>
  <c r="E9" i="23"/>
  <c r="D9" i="23"/>
  <c r="G8" i="23"/>
  <c r="F8" i="23"/>
  <c r="E8" i="23"/>
  <c r="D8" i="23"/>
  <c r="G7" i="23"/>
  <c r="F7" i="23"/>
  <c r="E7" i="23"/>
  <c r="D7" i="23"/>
  <c r="E22" i="119" l="1"/>
  <c r="I17" i="23"/>
  <c r="H17" i="23"/>
  <c r="H7" i="23"/>
  <c r="I7" i="23"/>
  <c r="H9" i="23"/>
  <c r="I9" i="23"/>
  <c r="H11" i="23"/>
  <c r="I11" i="23"/>
  <c r="I13" i="23"/>
  <c r="H13" i="23"/>
  <c r="I20" i="23"/>
  <c r="H20" i="23"/>
  <c r="H8" i="23"/>
  <c r="I8" i="23"/>
  <c r="H10" i="23"/>
  <c r="I10" i="23"/>
  <c r="I12" i="23"/>
  <c r="H12" i="23"/>
  <c r="H14" i="23"/>
  <c r="I14" i="23"/>
  <c r="H21" i="23"/>
  <c r="I21" i="23"/>
  <c r="I8" i="25"/>
  <c r="I20" i="25"/>
  <c r="I19" i="25"/>
  <c r="I10" i="25"/>
  <c r="I12" i="25"/>
  <c r="I9" i="25"/>
  <c r="I21" i="25"/>
  <c r="I14" i="25"/>
  <c r="J8" i="23"/>
  <c r="K8" i="23" s="1"/>
  <c r="J13" i="23"/>
  <c r="K13" i="23" s="1"/>
  <c r="J12" i="23"/>
  <c r="K12" i="23" s="1"/>
  <c r="J9" i="23"/>
  <c r="K9" i="23" s="1"/>
  <c r="J7" i="23"/>
  <c r="K7" i="23" s="1"/>
  <c r="J14" i="23"/>
  <c r="K14" i="23" s="1"/>
  <c r="J11" i="23"/>
  <c r="K11" i="23" s="1"/>
  <c r="J10" i="23"/>
  <c r="K10" i="23" s="1"/>
  <c r="G17" i="25"/>
  <c r="D17" i="25"/>
  <c r="E17" i="25"/>
  <c r="F17" i="25"/>
  <c r="H17" i="25"/>
  <c r="E17" i="23"/>
  <c r="F17" i="23"/>
  <c r="E17" i="119" l="1"/>
  <c r="M17" i="119" s="1"/>
  <c r="N17" i="119" s="1"/>
  <c r="I17" i="25"/>
  <c r="K14" i="25"/>
  <c r="L14" i="25" s="1"/>
  <c r="K13" i="25"/>
  <c r="L13" i="25" s="1"/>
  <c r="K12" i="25"/>
  <c r="L12" i="25" s="1"/>
  <c r="K11" i="25"/>
  <c r="L11" i="25" s="1"/>
  <c r="K10" i="25"/>
  <c r="L10" i="25" s="1"/>
  <c r="K9" i="25"/>
  <c r="L9" i="25" s="1"/>
  <c r="K8" i="25"/>
  <c r="L8" i="25" s="1"/>
  <c r="K7" i="25"/>
  <c r="L7" i="25" s="1"/>
  <c r="H21" i="18"/>
  <c r="G21" i="18"/>
  <c r="I21" i="18" s="1"/>
  <c r="F21" i="18"/>
  <c r="H20" i="18"/>
  <c r="G20" i="18"/>
  <c r="F20" i="18"/>
  <c r="H19" i="18"/>
  <c r="G19" i="18"/>
  <c r="I19" i="18" s="1"/>
  <c r="F19" i="18"/>
  <c r="H14" i="18"/>
  <c r="G14" i="18"/>
  <c r="I14" i="18" s="1"/>
  <c r="F14" i="18"/>
  <c r="H13" i="18"/>
  <c r="G13" i="18"/>
  <c r="I13" i="18" s="1"/>
  <c r="F13" i="18"/>
  <c r="H12" i="18"/>
  <c r="G12" i="18"/>
  <c r="F12" i="18"/>
  <c r="H11" i="18"/>
  <c r="G11" i="18"/>
  <c r="F11" i="18"/>
  <c r="H10" i="18"/>
  <c r="G10" i="18"/>
  <c r="F10" i="18"/>
  <c r="H9" i="18"/>
  <c r="G9" i="18"/>
  <c r="I9" i="18" s="1"/>
  <c r="F9" i="18"/>
  <c r="H8" i="18"/>
  <c r="G8" i="18"/>
  <c r="F8" i="18"/>
  <c r="H7" i="18"/>
  <c r="G7" i="18"/>
  <c r="I7" i="18" s="1"/>
  <c r="F7" i="18"/>
  <c r="H21" i="16"/>
  <c r="G21" i="16"/>
  <c r="F21" i="16"/>
  <c r="E21" i="16"/>
  <c r="D21" i="16"/>
  <c r="H20" i="16"/>
  <c r="G20" i="16"/>
  <c r="F20" i="16"/>
  <c r="E20" i="16"/>
  <c r="D20" i="16"/>
  <c r="H19" i="16"/>
  <c r="G19" i="16"/>
  <c r="F19" i="16"/>
  <c r="E19" i="16"/>
  <c r="D19" i="16"/>
  <c r="G17" i="16"/>
  <c r="E19" i="119" s="1"/>
  <c r="G17" i="13"/>
  <c r="H21" i="13"/>
  <c r="F21" i="13"/>
  <c r="E21" i="13"/>
  <c r="D21" i="13"/>
  <c r="I21" i="13" s="1"/>
  <c r="H20" i="13"/>
  <c r="G20" i="13"/>
  <c r="F20" i="13"/>
  <c r="E20" i="13"/>
  <c r="D20" i="13"/>
  <c r="H19" i="13"/>
  <c r="F19" i="13"/>
  <c r="E19" i="13"/>
  <c r="D19" i="13"/>
  <c r="I19" i="13" s="1"/>
  <c r="H14" i="13"/>
  <c r="G14" i="13"/>
  <c r="F14" i="13"/>
  <c r="E14" i="13"/>
  <c r="D14" i="13"/>
  <c r="H13" i="13"/>
  <c r="G13" i="13"/>
  <c r="I13" i="13" s="1"/>
  <c r="F13" i="13"/>
  <c r="E13" i="13"/>
  <c r="D13" i="13"/>
  <c r="H12" i="13"/>
  <c r="G12" i="13"/>
  <c r="F12" i="13"/>
  <c r="E12" i="13"/>
  <c r="D12" i="13"/>
  <c r="H11" i="13"/>
  <c r="G11" i="13"/>
  <c r="F11" i="13"/>
  <c r="E11" i="13"/>
  <c r="D11" i="13"/>
  <c r="H10" i="13"/>
  <c r="G10" i="13"/>
  <c r="I10" i="13" s="1"/>
  <c r="F10" i="13"/>
  <c r="E10" i="13"/>
  <c r="D10" i="13"/>
  <c r="H9" i="13"/>
  <c r="G9" i="13"/>
  <c r="I9" i="13" s="1"/>
  <c r="F9" i="13"/>
  <c r="E9" i="13"/>
  <c r="D9" i="13"/>
  <c r="H8" i="13"/>
  <c r="G8" i="13"/>
  <c r="F8" i="13"/>
  <c r="E8" i="13"/>
  <c r="D8" i="13"/>
  <c r="H7" i="13"/>
  <c r="G7" i="13"/>
  <c r="F7" i="13"/>
  <c r="E7" i="13"/>
  <c r="D7" i="13"/>
  <c r="K7" i="13" l="1"/>
  <c r="L7" i="13" s="1"/>
  <c r="I7" i="13"/>
  <c r="I12" i="13"/>
  <c r="E18" i="119"/>
  <c r="M18" i="119" s="1"/>
  <c r="N18" i="119" s="1"/>
  <c r="I14" i="13"/>
  <c r="I11" i="13"/>
  <c r="I20" i="13"/>
  <c r="K8" i="13"/>
  <c r="L8" i="13" s="1"/>
  <c r="I8" i="13"/>
  <c r="I10" i="18"/>
  <c r="I8" i="18"/>
  <c r="I11" i="18"/>
  <c r="I20" i="18"/>
  <c r="I12" i="18"/>
  <c r="K12" i="13"/>
  <c r="L12" i="13" s="1"/>
  <c r="K9" i="13"/>
  <c r="L9" i="13" s="1"/>
  <c r="M19" i="119"/>
  <c r="N19" i="119" s="1"/>
  <c r="K11" i="13"/>
  <c r="L11" i="13" s="1"/>
  <c r="K10" i="13"/>
  <c r="L10" i="13" s="1"/>
  <c r="K13" i="13"/>
  <c r="L13" i="13" s="1"/>
  <c r="K14" i="13"/>
  <c r="L14" i="13" s="1"/>
  <c r="K12" i="16"/>
  <c r="L12" i="16" s="1"/>
  <c r="K11" i="16"/>
  <c r="L11" i="16" s="1"/>
  <c r="K7" i="16"/>
  <c r="L7" i="16" s="1"/>
  <c r="K10" i="16"/>
  <c r="L10" i="16" s="1"/>
  <c r="K14" i="16"/>
  <c r="L14" i="16" s="1"/>
  <c r="K8" i="16"/>
  <c r="L8" i="16" s="1"/>
  <c r="K9" i="16"/>
  <c r="L9" i="16" s="1"/>
  <c r="K13" i="16"/>
  <c r="L13" i="16" s="1"/>
  <c r="F17" i="18"/>
  <c r="G17" i="18"/>
  <c r="H17" i="18"/>
  <c r="E17" i="16"/>
  <c r="D17" i="16"/>
  <c r="F17" i="16"/>
  <c r="H17" i="16"/>
  <c r="D17" i="13"/>
  <c r="I17" i="13" s="1"/>
  <c r="E17" i="13"/>
  <c r="F17" i="13"/>
  <c r="H17" i="13"/>
  <c r="H7" i="11"/>
  <c r="E13" i="119" l="1"/>
  <c r="M13" i="119" s="1"/>
  <c r="N13" i="119" s="1"/>
  <c r="I17" i="18"/>
  <c r="K11" i="18"/>
  <c r="L11" i="18" s="1"/>
  <c r="K7" i="18"/>
  <c r="L7" i="18" s="1"/>
  <c r="K12" i="18"/>
  <c r="L12" i="18" s="1"/>
  <c r="K9" i="18"/>
  <c r="L9" i="18" s="1"/>
  <c r="K8" i="18"/>
  <c r="L8" i="18" s="1"/>
  <c r="K13" i="18"/>
  <c r="L13" i="18" s="1"/>
  <c r="K14" i="18"/>
  <c r="L14" i="18" s="1"/>
  <c r="K10" i="18"/>
  <c r="L10" i="18" s="1"/>
  <c r="G13" i="11"/>
  <c r="F14" i="11"/>
  <c r="F11" i="11"/>
  <c r="F9" i="11"/>
  <c r="F8" i="11"/>
  <c r="E13" i="11"/>
  <c r="D10" i="11"/>
  <c r="D12" i="11"/>
  <c r="H21" i="11"/>
  <c r="G21" i="11"/>
  <c r="I21" i="11" s="1"/>
  <c r="F21" i="11"/>
  <c r="E21" i="11"/>
  <c r="D21" i="11"/>
  <c r="H20" i="11"/>
  <c r="G20" i="11"/>
  <c r="F20" i="11"/>
  <c r="E20" i="11"/>
  <c r="D20" i="11"/>
  <c r="H19" i="11"/>
  <c r="G19" i="11"/>
  <c r="I19" i="11" s="1"/>
  <c r="F19" i="11"/>
  <c r="E19" i="11"/>
  <c r="D19" i="11"/>
  <c r="H14" i="11"/>
  <c r="G14" i="11"/>
  <c r="E14" i="11"/>
  <c r="D14" i="11"/>
  <c r="H13" i="11"/>
  <c r="F13" i="11"/>
  <c r="D13" i="11"/>
  <c r="H12" i="11"/>
  <c r="G12" i="11"/>
  <c r="I12" i="11" s="1"/>
  <c r="F12" i="11"/>
  <c r="E12" i="11"/>
  <c r="H11" i="11"/>
  <c r="G11" i="11"/>
  <c r="E11" i="11"/>
  <c r="D11" i="11"/>
  <c r="H10" i="11"/>
  <c r="G10" i="11"/>
  <c r="I10" i="11" s="1"/>
  <c r="F10" i="11"/>
  <c r="E10" i="11"/>
  <c r="H9" i="11"/>
  <c r="G9" i="11"/>
  <c r="I9" i="11" s="1"/>
  <c r="D9" i="11"/>
  <c r="H8" i="11"/>
  <c r="G8" i="11"/>
  <c r="I8" i="11" s="1"/>
  <c r="E8" i="11"/>
  <c r="G7" i="11"/>
  <c r="F7" i="11"/>
  <c r="E7" i="11"/>
  <c r="D7" i="11"/>
  <c r="I20" i="11" l="1"/>
  <c r="I11" i="11"/>
  <c r="I14" i="11"/>
  <c r="I13" i="11"/>
  <c r="I7" i="11"/>
  <c r="D17" i="11"/>
  <c r="E17" i="11"/>
  <c r="F17" i="11"/>
  <c r="G17" i="11"/>
  <c r="H17" i="11"/>
  <c r="H21" i="6"/>
  <c r="H20" i="6"/>
  <c r="H19" i="6"/>
  <c r="H19" i="2"/>
  <c r="H20" i="2"/>
  <c r="H21" i="2"/>
  <c r="E4" i="119" l="1"/>
  <c r="M4" i="119" s="1"/>
  <c r="N4" i="119" s="1"/>
  <c r="I17" i="11"/>
  <c r="K13" i="11"/>
  <c r="L13" i="11" s="1"/>
  <c r="K8" i="11"/>
  <c r="L8" i="11" s="1"/>
  <c r="K14" i="11"/>
  <c r="L14" i="11" s="1"/>
  <c r="K10" i="11"/>
  <c r="L10" i="11" s="1"/>
  <c r="K12" i="11"/>
  <c r="L12" i="11" s="1"/>
  <c r="K9" i="11"/>
  <c r="L9" i="11" s="1"/>
  <c r="K7" i="11"/>
  <c r="L7" i="11" s="1"/>
  <c r="K11" i="11"/>
  <c r="L11" i="11" s="1"/>
  <c r="G21" i="6"/>
  <c r="F21" i="6"/>
  <c r="G20" i="6"/>
  <c r="F20" i="6"/>
  <c r="G19" i="6"/>
  <c r="F19" i="6"/>
  <c r="E16" i="119"/>
  <c r="M16" i="119" s="1"/>
  <c r="N16" i="119" s="1"/>
  <c r="D20" i="2"/>
  <c r="E20" i="2"/>
  <c r="F20" i="2"/>
  <c r="G20" i="2"/>
  <c r="D21" i="2"/>
  <c r="E21" i="2"/>
  <c r="F21" i="2"/>
  <c r="G21" i="2"/>
  <c r="G19" i="2"/>
  <c r="F19" i="2"/>
  <c r="E19" i="2"/>
  <c r="D19" i="2"/>
  <c r="K8" i="2"/>
  <c r="L8" i="2" s="1"/>
  <c r="K9" i="2"/>
  <c r="L9" i="2" s="1"/>
  <c r="K10" i="2"/>
  <c r="L10" i="2" s="1"/>
  <c r="K11" i="2"/>
  <c r="L11" i="2" s="1"/>
  <c r="K12" i="2"/>
  <c r="L12" i="2" s="1"/>
  <c r="K13" i="2"/>
  <c r="L13" i="2" s="1"/>
  <c r="K14" i="2"/>
  <c r="L14" i="2" s="1"/>
  <c r="K7" i="2"/>
  <c r="L7" i="2" s="1"/>
  <c r="F17" i="6" l="1"/>
  <c r="G17" i="6"/>
  <c r="H17" i="6"/>
  <c r="H17" i="2"/>
  <c r="E17" i="2"/>
  <c r="D17" i="2"/>
  <c r="F17" i="2"/>
  <c r="E14" i="119" l="1"/>
  <c r="M14" i="119" s="1"/>
  <c r="N14" i="119" s="1"/>
  <c r="G19" i="23" l="1"/>
  <c r="D19" i="23"/>
  <c r="E19" i="23"/>
  <c r="F19" i="23"/>
  <c r="G18" i="23"/>
  <c r="D18" i="23"/>
  <c r="F18" i="23"/>
  <c r="E18" i="23"/>
  <c r="I26" i="12"/>
  <c r="F22" i="119"/>
  <c r="G22" i="119"/>
  <c r="I22" i="119"/>
  <c r="H22" i="119"/>
  <c r="J22" i="119"/>
  <c r="N22" i="119" s="1"/>
  <c r="H18" i="23" l="1"/>
  <c r="I18" i="23"/>
  <c r="I19" i="23"/>
  <c r="H19" i="23"/>
  <c r="B42" i="141" a="1"/>
  <c r="B42" i="141" s="1"/>
  <c r="D42" i="141" s="1"/>
  <c r="B47" i="141" a="1"/>
  <c r="B47" i="141" s="1"/>
  <c r="D47" i="141" s="1"/>
  <c r="D19" i="138" l="1"/>
  <c r="I19" i="138" s="1"/>
  <c r="E10" i="12" l="1"/>
  <c r="F10" i="12" s="1"/>
  <c r="G19" i="136"/>
  <c r="I19" i="136" s="1"/>
  <c r="P52" i="140"/>
  <c r="P47" i="140"/>
  <c r="P46" i="140"/>
  <c r="P45" i="140"/>
  <c r="P50" i="140"/>
  <c r="H6" i="119"/>
  <c r="P49" i="140"/>
  <c r="G6" i="119" s="1"/>
  <c r="P48" i="140"/>
  <c r="F6" i="119" s="1"/>
  <c r="P44" i="140"/>
  <c r="I10" i="12" s="1"/>
  <c r="P51" i="140"/>
  <c r="I6" i="119" s="1"/>
  <c r="D19" i="136"/>
  <c r="C48" i="140" a="1"/>
  <c r="C48" i="140" s="1"/>
  <c r="D48" i="140" s="1"/>
  <c r="D18" i="136" s="1"/>
  <c r="G10" i="12"/>
  <c r="R10" i="12"/>
  <c r="C44" i="140" a="1"/>
  <c r="C44" i="140" s="1"/>
  <c r="D44" i="140" s="1"/>
  <c r="J6" i="119" l="1"/>
  <c r="M6" i="119" s="1"/>
  <c r="N6" i="119" s="1"/>
  <c r="G18" i="136"/>
  <c r="I18" i="136" s="1"/>
  <c r="H45" i="140"/>
  <c r="H50" i="140"/>
  <c r="H44" i="140"/>
  <c r="H46" i="140"/>
  <c r="H47" i="140"/>
  <c r="H49" i="140"/>
  <c r="H51" i="140"/>
  <c r="H52" i="140"/>
  <c r="E19" i="136"/>
  <c r="H48" i="140"/>
  <c r="E18" i="136"/>
  <c r="C46" i="143" a="1"/>
  <c r="C46" i="143" s="1"/>
  <c r="C50" i="143"/>
  <c r="C47" i="143" a="1"/>
  <c r="C47" i="143" s="1"/>
  <c r="C48" i="143"/>
  <c r="C51" i="143"/>
  <c r="C44" i="143" a="1"/>
  <c r="C44" i="143" s="1"/>
  <c r="L16" i="143" l="1"/>
  <c r="H17" i="143"/>
  <c r="P25" i="143"/>
  <c r="L23" i="143"/>
  <c r="P40" i="143"/>
  <c r="L34" i="143"/>
  <c r="L18" i="143"/>
  <c r="F8" i="135" s="1"/>
  <c r="P23" i="143"/>
  <c r="P26" i="143"/>
  <c r="H34" i="143"/>
  <c r="L36" i="143"/>
  <c r="L12" i="143"/>
  <c r="H13" i="143"/>
  <c r="E10" i="135" s="1"/>
  <c r="P36" i="143"/>
  <c r="L14" i="143"/>
  <c r="H15" i="143"/>
  <c r="P12" i="143"/>
  <c r="L24" i="143"/>
  <c r="P15" i="143"/>
  <c r="D12" i="119" s="1"/>
  <c r="L20" i="143"/>
  <c r="F7" i="135" s="1"/>
  <c r="P27" i="143"/>
  <c r="H42" i="143"/>
  <c r="E20" i="135" s="1"/>
  <c r="P14" i="143"/>
  <c r="P17" i="143"/>
  <c r="H24" i="143"/>
  <c r="L26" i="143"/>
  <c r="L10" i="143"/>
  <c r="F9" i="135" s="1"/>
  <c r="L42" i="143"/>
  <c r="F20" i="135" s="1"/>
  <c r="H26" i="143"/>
  <c r="P34" i="143"/>
  <c r="H22" i="143"/>
  <c r="H37" i="143"/>
  <c r="H20" i="143"/>
  <c r="E7" i="135" s="1"/>
  <c r="L22" i="143"/>
  <c r="L37" i="143"/>
  <c r="P29" i="143"/>
  <c r="P16" i="143"/>
  <c r="H33" i="143"/>
  <c r="L15" i="143"/>
  <c r="H16" i="143"/>
  <c r="P24" i="143"/>
  <c r="H35" i="143"/>
  <c r="E13" i="135" s="1"/>
  <c r="L33" i="143"/>
  <c r="L17" i="143"/>
  <c r="H18" i="143"/>
  <c r="E8" i="135" s="1"/>
  <c r="H10" i="143"/>
  <c r="E9" i="135" s="1"/>
  <c r="H36" i="143"/>
  <c r="L38" i="143"/>
  <c r="P38" i="143"/>
  <c r="H29" i="143"/>
  <c r="P37" i="143"/>
  <c r="L35" i="143"/>
  <c r="F13" i="135" s="1"/>
  <c r="H12" i="143"/>
  <c r="H31" i="143"/>
  <c r="E14" i="135" s="1"/>
  <c r="L29" i="143"/>
  <c r="L13" i="143"/>
  <c r="F10" i="135" s="1"/>
  <c r="H14" i="143"/>
  <c r="P22" i="143"/>
  <c r="L25" i="143"/>
  <c r="L27" i="143"/>
  <c r="H23" i="143"/>
  <c r="H25" i="143"/>
  <c r="P33" i="143"/>
  <c r="L31" i="143"/>
  <c r="F14" i="135" s="1"/>
  <c r="H40" i="143"/>
  <c r="H27" i="143"/>
  <c r="L40" i="143"/>
  <c r="H38" i="143"/>
  <c r="D14" i="143"/>
  <c r="D16" i="143"/>
  <c r="D36" i="143"/>
  <c r="D40" i="143"/>
  <c r="D23" i="143"/>
  <c r="D37" i="143"/>
  <c r="D33" i="143"/>
  <c r="D27" i="143"/>
  <c r="D29" i="143"/>
  <c r="D17" i="143"/>
  <c r="D15" i="143"/>
  <c r="D25" i="143"/>
  <c r="D38" i="143"/>
  <c r="D34" i="143"/>
  <c r="D12" i="143"/>
  <c r="D24" i="143"/>
  <c r="D30" i="143"/>
  <c r="D26" i="143"/>
  <c r="D22" i="143"/>
  <c r="D9" i="143"/>
  <c r="P11" i="143" l="1"/>
  <c r="N50" i="143"/>
  <c r="P50" i="143" s="1"/>
  <c r="H12" i="119" s="1"/>
  <c r="N47" i="143" a="1"/>
  <c r="N47" i="143" s="1"/>
  <c r="P47" i="143" s="1"/>
  <c r="P39" i="143"/>
  <c r="N52" i="143"/>
  <c r="P52" i="143" s="1"/>
  <c r="P10" i="143"/>
  <c r="G9" i="135" s="1"/>
  <c r="H9" i="135"/>
  <c r="P19" i="143"/>
  <c r="N46" i="143" a="1"/>
  <c r="N46" i="143" s="1"/>
  <c r="P46" i="143" s="1"/>
  <c r="P21" i="143"/>
  <c r="N45" i="143" a="1"/>
  <c r="N45" i="143" s="1"/>
  <c r="P45" i="143" s="1"/>
  <c r="P20" i="143"/>
  <c r="G7" i="135" s="1"/>
  <c r="H7" i="135"/>
  <c r="P13" i="143"/>
  <c r="G10" i="135" s="1"/>
  <c r="H10" i="135"/>
  <c r="L32" i="143"/>
  <c r="F11" i="135" s="1"/>
  <c r="J49" i="143"/>
  <c r="L49" i="143" s="1"/>
  <c r="H9" i="143"/>
  <c r="E12" i="135" s="1"/>
  <c r="F44" i="143" a="1"/>
  <c r="F44" i="143" s="1"/>
  <c r="H44" i="143" s="1"/>
  <c r="E19" i="135" s="1"/>
  <c r="P30" i="143"/>
  <c r="N51" i="143"/>
  <c r="P51" i="143" s="1"/>
  <c r="I12" i="119" s="1"/>
  <c r="H11" i="143"/>
  <c r="F50" i="143"/>
  <c r="H50" i="143" s="1"/>
  <c r="F47" i="143" a="1"/>
  <c r="F47" i="143" s="1"/>
  <c r="H47" i="143" s="1"/>
  <c r="L11" i="143"/>
  <c r="J50" i="143"/>
  <c r="L50" i="143" s="1"/>
  <c r="J47" i="143" a="1"/>
  <c r="J47" i="143" s="1"/>
  <c r="L47" i="143" s="1"/>
  <c r="P31" i="143"/>
  <c r="G14" i="135" s="1"/>
  <c r="H14" i="135"/>
  <c r="L21" i="143"/>
  <c r="J45" i="143" a="1"/>
  <c r="J45" i="143" s="1"/>
  <c r="L45" i="143" s="1"/>
  <c r="H32" i="143"/>
  <c r="E11" i="135" s="1"/>
  <c r="F49" i="143"/>
  <c r="H49" i="143" s="1"/>
  <c r="P9" i="143"/>
  <c r="R16" i="12" s="1"/>
  <c r="N44" i="143" a="1"/>
  <c r="N44" i="143" s="1"/>
  <c r="H12" i="135"/>
  <c r="H21" i="143"/>
  <c r="F45" i="143" a="1"/>
  <c r="F45" i="143" s="1"/>
  <c r="H45" i="143" s="1"/>
  <c r="L30" i="143"/>
  <c r="J51" i="143"/>
  <c r="L51" i="143" s="1"/>
  <c r="P28" i="143"/>
  <c r="N48" i="143"/>
  <c r="P32" i="143"/>
  <c r="G11" i="135" s="1"/>
  <c r="N49" i="143"/>
  <c r="P49" i="143" s="1"/>
  <c r="G12" i="119" s="1"/>
  <c r="H11" i="135"/>
  <c r="P18" i="143"/>
  <c r="G8" i="135" s="1"/>
  <c r="H8" i="135"/>
  <c r="P35" i="143"/>
  <c r="G13" i="135" s="1"/>
  <c r="H13" i="135"/>
  <c r="L39" i="143"/>
  <c r="J52" i="143"/>
  <c r="L52" i="143" s="1"/>
  <c r="H39" i="143"/>
  <c r="F52" i="143"/>
  <c r="H52" i="143" s="1"/>
  <c r="H28" i="143"/>
  <c r="F48" i="143"/>
  <c r="H48" i="143" s="1"/>
  <c r="E18" i="135" s="1"/>
  <c r="L9" i="143"/>
  <c r="F12" i="135" s="1"/>
  <c r="J44" i="143" a="1"/>
  <c r="J44" i="143" s="1"/>
  <c r="L44" i="143" s="1"/>
  <c r="F19" i="135" s="1"/>
  <c r="P42" i="143"/>
  <c r="H20" i="135"/>
  <c r="L19" i="143"/>
  <c r="J46" i="143" a="1"/>
  <c r="J46" i="143" s="1"/>
  <c r="L46" i="143" s="1"/>
  <c r="H30" i="143"/>
  <c r="F51" i="143"/>
  <c r="H51" i="143" s="1"/>
  <c r="L28" i="143"/>
  <c r="J48" i="143"/>
  <c r="L48" i="143" s="1"/>
  <c r="F18" i="135" s="1"/>
  <c r="H19" i="143"/>
  <c r="F46" i="143" a="1"/>
  <c r="F46" i="143" s="1"/>
  <c r="H46" i="143" s="1"/>
  <c r="D42" i="143"/>
  <c r="D35" i="143"/>
  <c r="D13" i="135" s="1"/>
  <c r="D31" i="143"/>
  <c r="D14" i="135" s="1"/>
  <c r="D32" i="143"/>
  <c r="D11" i="135" s="1"/>
  <c r="B49" i="143"/>
  <c r="D49" i="143" s="1"/>
  <c r="D28" i="143"/>
  <c r="B48" i="143" a="1"/>
  <c r="B48" i="143" s="1"/>
  <c r="D13" i="143"/>
  <c r="D10" i="135" s="1"/>
  <c r="D20" i="143"/>
  <c r="D21" i="143"/>
  <c r="B45" i="143" a="1"/>
  <c r="B45" i="143" s="1"/>
  <c r="D45" i="143" s="1"/>
  <c r="D10" i="143"/>
  <c r="D9" i="135" s="1"/>
  <c r="D19" i="143"/>
  <c r="B46" i="143" a="1"/>
  <c r="B46" i="143" s="1"/>
  <c r="D46" i="143" s="1"/>
  <c r="D11" i="143"/>
  <c r="B50" i="143"/>
  <c r="D50" i="143" s="1"/>
  <c r="B47" i="143" a="1"/>
  <c r="B47" i="143" s="1"/>
  <c r="D47" i="143" s="1"/>
  <c r="D39" i="143"/>
  <c r="B52" i="143"/>
  <c r="D52" i="143" s="1"/>
  <c r="D18" i="143"/>
  <c r="D8" i="135" s="1"/>
  <c r="B44" i="143" a="1"/>
  <c r="B44" i="143" s="1"/>
  <c r="B51" i="143"/>
  <c r="D51" i="143" s="1"/>
  <c r="D12" i="135"/>
  <c r="I8" i="135" l="1"/>
  <c r="J8" i="135"/>
  <c r="J10" i="135"/>
  <c r="I10" i="135"/>
  <c r="I9" i="135"/>
  <c r="J9" i="135"/>
  <c r="J14" i="135"/>
  <c r="I14" i="135"/>
  <c r="I13" i="135"/>
  <c r="J13" i="135"/>
  <c r="I11" i="135"/>
  <c r="J11" i="135"/>
  <c r="J7" i="135"/>
  <c r="P44" i="143"/>
  <c r="H19" i="135"/>
  <c r="G20" i="135"/>
  <c r="K12" i="119"/>
  <c r="J16" i="12"/>
  <c r="P48" i="143"/>
  <c r="H18" i="135"/>
  <c r="C17" i="135"/>
  <c r="D17" i="135" s="1"/>
  <c r="E16" i="12"/>
  <c r="G12" i="135"/>
  <c r="D20" i="135"/>
  <c r="S16" i="12"/>
  <c r="D7" i="135"/>
  <c r="I7" i="135" s="1"/>
  <c r="D48" i="143"/>
  <c r="D18" i="135" s="1"/>
  <c r="D44" i="143"/>
  <c r="D19" i="135" s="1"/>
  <c r="I12" i="135" l="1"/>
  <c r="J12" i="135"/>
  <c r="I20" i="135"/>
  <c r="J20" i="135"/>
  <c r="G18" i="135"/>
  <c r="F12" i="119"/>
  <c r="P16" i="12"/>
  <c r="Q16" i="12"/>
  <c r="G19" i="135"/>
  <c r="J12" i="119"/>
  <c r="I16" i="12"/>
  <c r="G17" i="135"/>
  <c r="F17" i="135"/>
  <c r="F16" i="12"/>
  <c r="G16" i="12" s="1"/>
  <c r="H17" i="135"/>
  <c r="E17" i="135"/>
  <c r="I19" i="135" l="1"/>
  <c r="J19" i="135"/>
  <c r="I18" i="135"/>
  <c r="J18" i="135"/>
  <c r="I17" i="135"/>
  <c r="J17" i="135"/>
  <c r="E12" i="119"/>
  <c r="M12" i="119" s="1"/>
  <c r="N12" i="119" s="1"/>
  <c r="K13" i="135"/>
  <c r="L13" i="135" s="1"/>
  <c r="K8" i="135"/>
  <c r="L8" i="135" s="1"/>
  <c r="K11" i="135"/>
  <c r="L11" i="135" s="1"/>
  <c r="K12" i="135"/>
  <c r="L12" i="135" s="1"/>
  <c r="K7" i="135"/>
  <c r="L7" i="135" s="1"/>
  <c r="K14" i="135"/>
  <c r="L14" i="135" s="1"/>
  <c r="K10" i="135"/>
  <c r="L10" i="135" s="1"/>
  <c r="K9" i="135"/>
  <c r="L9" i="13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BBD3A8-A4C7-44AE-B168-07AD069B11A9}" keepAlive="1" name="Query - Table015 (Page 22)" description="Connection to the 'Table015 (Page 22)' query in the workbook." type="5" refreshedVersion="0" background="1">
    <dbPr connection="Provider=Microsoft.Mashup.OleDb.1;Data Source=$Workbook$;Location=&quot;Table015 (Page 22)&quot;;Extended Properties=&quot;&quot;" command="SELECT * FROM [Table015 (Page 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<sst xmlns="http://schemas.openxmlformats.org/spreadsheetml/2006/main" count="22397" uniqueCount="517">
  <si>
    <t>annual population survey</t>
  </si>
  <si>
    <t>ONS Crown Copyright Reserved [from Nomis on 2 February 2021]</t>
  </si>
  <si>
    <t>confidence</t>
  </si>
  <si>
    <t>95% confidence interval of percent figure (+/-)</t>
  </si>
  <si>
    <t>variable</t>
  </si>
  <si>
    <t>% of economically inactive long-term sick</t>
  </si>
  <si>
    <t>Jan 2019-Dec 2019</t>
  </si>
  <si>
    <t>Area</t>
  </si>
  <si>
    <t>numerator</t>
  </si>
  <si>
    <t>denominator</t>
  </si>
  <si>
    <t>percent</t>
  </si>
  <si>
    <t>conf</t>
  </si>
  <si>
    <t>*</t>
  </si>
  <si>
    <t>* Estimate and confidence interval unreliable since the group sample size is small (3-9).</t>
  </si>
  <si>
    <t>~ Estimate is less than 500.</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</si>
  <si>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</si>
  <si>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</si>
  <si>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</si>
  <si>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</si>
  <si>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</si>
  <si>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</si>
  <si>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</si>
  <si>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</si>
  <si>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</si>
  <si>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</si>
  <si>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</si>
  <si>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</si>
  <si>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</si>
  <si>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</si>
  <si>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</si>
  <si>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</si>
  <si>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</si>
  <si>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</si>
  <si>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</si>
  <si>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</si>
  <si>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</si>
  <si>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</si>
  <si>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</si>
  <si>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</si>
  <si>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</si>
  <si>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</si>
  <si>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</si>
  <si>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</si>
  <si>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</si>
  <si>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</si>
  <si>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</si>
  <si>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</si>
  <si>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United Kingdom</t>
  </si>
  <si>
    <t>Glasgow City Region</t>
  </si>
  <si>
    <t>Indicator:</t>
  </si>
  <si>
    <t>Source:</t>
  </si>
  <si>
    <t>Short-term Change</t>
  </si>
  <si>
    <t>Top Performing Scottish Local Authority</t>
  </si>
  <si>
    <t>Geographical Difference</t>
  </si>
  <si>
    <t>% Change</t>
  </si>
  <si>
    <t>Volume Change</t>
  </si>
  <si>
    <t>Geographical Comparison</t>
  </si>
  <si>
    <t>% Point Change Required</t>
  </si>
  <si>
    <t>Volume Change Required</t>
  </si>
  <si>
    <t>% Children in Child Poverty</t>
  </si>
  <si>
    <t>https://www.endchildpoverty.org.uk/child-poverty-in-your-area-201415-201819/</t>
  </si>
  <si>
    <t>End Child Poverty</t>
  </si>
  <si>
    <t>Employment rate - aged 16-64</t>
  </si>
  <si>
    <t>ONS Crown Copyright Reserved [from Nomis on 15 February 2021]</t>
  </si>
  <si>
    <t>Unemployment rate - aged 16-64</t>
  </si>
  <si>
    <t>% with NVQ4+ - aged 16-64</t>
  </si>
  <si>
    <t>Median Weekly Earnings (Residence-based, full-time)</t>
  </si>
  <si>
    <t>ASHE</t>
  </si>
  <si>
    <t>Estimates for 2011 and subsequent years use a weighting scheme based on occupations which have been coded according to Standard Occupational Classification (SOC) 2010 that replaced SOC 2000. Therefore care should be taken when making comparisons with earlier years.</t>
  </si>
  <si>
    <t>Results for 2003 and earlier exclude supplementary surveys. In 2006 there were a number of methodological changes made. For further details goto : http://www.nomisweb.co.uk/articles/341.aspx.</t>
  </si>
  <si>
    <t>- These figures are missing.</t>
  </si>
  <si>
    <t>-</t>
  </si>
  <si>
    <t>number</t>
  </si>
  <si>
    <t>Weekly pay - gross</t>
  </si>
  <si>
    <t>pay</t>
  </si>
  <si>
    <t>Median</t>
  </si>
  <si>
    <t>item name</t>
  </si>
  <si>
    <t>Full Time Workers</t>
  </si>
  <si>
    <t>sex</t>
  </si>
  <si>
    <t>annual survey of hours and earnings  - resident analysis</t>
  </si>
  <si>
    <t>% Change Required</t>
  </si>
  <si>
    <t>% who are economically inactive - aged 16-64</t>
  </si>
  <si>
    <t>Total</t>
  </si>
  <si>
    <t>LA name</t>
  </si>
  <si>
    <t>£ million</t>
  </si>
  <si>
    <t xml:space="preserve"> </t>
  </si>
  <si>
    <t>Regional gross value added (balanced) by industry: local authorities by NUTS1 region:  UKM Scotland current prices1,2</t>
  </si>
  <si>
    <t>ONS - Subregional GVA</t>
  </si>
  <si>
    <t>Total GVA (£m)</t>
  </si>
  <si>
    <t>£</t>
  </si>
  <si>
    <t>LAD Name</t>
  </si>
  <si>
    <t>Including UK figures for comparison purposes</t>
  </si>
  <si>
    <t>GVA per hour worked (£)</t>
  </si>
  <si>
    <t>ONS - Subregional Productivity</t>
  </si>
  <si>
    <t>Table A3: Nominal (smoothed) GVA (B) per hour worked (£); Local Authority District,  2004 - 2018</t>
  </si>
  <si>
    <t>measure</t>
  </si>
  <si>
    <t>All categories: Age 16+</t>
  </si>
  <si>
    <t>age</t>
  </si>
  <si>
    <t>gender</t>
  </si>
  <si>
    <t>ONS Crown Copyright Reserved [from Nomis on 16 February 2021]</t>
  </si>
  <si>
    <t>Claimant count by sex and age</t>
  </si>
  <si>
    <t>Claimant count</t>
  </si>
  <si>
    <t>Claimant Count Rate</t>
  </si>
  <si>
    <t>NOMIS - Claimant Count</t>
  </si>
  <si>
    <t>Healthy Life Expectancy - Females at birth</t>
  </si>
  <si>
    <t>Healthy Life Expectancy - Males at birth</t>
  </si>
  <si>
    <t>Employment rate females - aged 16-64</t>
  </si>
  <si>
    <t>ONS Crown Copyright Reserved [from Nomis on 17 February 2021]</t>
  </si>
  <si>
    <t>Employment rate males - aged 16-64</t>
  </si>
  <si>
    <t>Gender Employment Gap</t>
  </si>
  <si>
    <t>% all in employment who are - 1: managers, directors and senior officials (SOC2010)</t>
  </si>
  <si>
    <t>% Employed in SOC1 Occupations</t>
  </si>
  <si>
    <t>- A different job with more hours.</t>
  </si>
  <si>
    <t>- An additional job (to supplement their existing job).</t>
  </si>
  <si>
    <t>- Additional hours in their existing role (at the same rate of pay).</t>
  </si>
  <si>
    <t>9.  Underemployment estimates cover those looking for:</t>
  </si>
  <si>
    <t xml:space="preserve">8.  See the concepts and definitions section of the publication for more detail on estimates. </t>
  </si>
  <si>
    <t>7.  Totals may not equal the sum of individual parts due to rounding.</t>
  </si>
  <si>
    <t>6.  Rates are calculated on unrounded figures.</t>
  </si>
  <si>
    <t>5.  Levels rounded to the nearest hundred.</t>
  </si>
  <si>
    <r>
      <t>4.  Rates cover those</t>
    </r>
    <r>
      <rPr>
        <b/>
        <sz val="11"/>
        <rFont val="Arial"/>
        <family val="2"/>
      </rPr>
      <t xml:space="preserve"> aged 16 and over in employment</t>
    </r>
    <r>
      <rPr>
        <sz val="11"/>
        <rFont val="Arial"/>
        <family val="2"/>
      </rPr>
      <t>.</t>
    </r>
  </si>
  <si>
    <t xml:space="preserve">3.  Levels cover those aged 16 and over. </t>
  </si>
  <si>
    <t>2.  ":" indicates data is not available.</t>
  </si>
  <si>
    <t>1.  "x" indicates estimate is below reliability threshold or disclosive (See publication for more details).</t>
  </si>
  <si>
    <t>Notes:</t>
  </si>
  <si>
    <r>
      <t>Source:</t>
    </r>
    <r>
      <rPr>
        <sz val="11"/>
        <rFont val="Arial"/>
        <family val="2"/>
      </rPr>
      <t xml:space="preserve">  Annual Population Survey (Jan to Dec) </t>
    </r>
  </si>
  <si>
    <t>Edinburgh, City of</t>
  </si>
  <si>
    <t>Level</t>
  </si>
  <si>
    <t>Rate
(per cent)</t>
  </si>
  <si>
    <t>Geography 
(Residence Based)</t>
  </si>
  <si>
    <t>Respondents who would like to work longer hours, given the opportunity</t>
  </si>
  <si>
    <t>Return to index</t>
  </si>
  <si>
    <t>Underemployment Rate</t>
  </si>
  <si>
    <t>% of residents employed in Quality Work</t>
  </si>
  <si>
    <t>2020 Volume</t>
  </si>
  <si>
    <t>% premises with available Ultra-fast broadband connection</t>
  </si>
  <si>
    <t>% premises unable to access 10Mb connection</t>
  </si>
  <si>
    <t>% premises with available Fibre broadband connection</t>
  </si>
  <si>
    <t>local authority: county / unitary</t>
  </si>
  <si>
    <t>20 percentile</t>
  </si>
  <si>
    <t>ONS Crown Copyright Reserved [from Nomis on 18 February 2021]</t>
  </si>
  <si>
    <t>% with no qualifications (NVQ) - aged 16-64</t>
  </si>
  <si>
    <t>In 2015, ONS extended the coverage of businesses to include a population of solely PAYE based businesses that were previously excluded because of the risk of duplication. In total, in 2015, 105,000 businesses have been added.Improvements in matching of administrative data and research into those units excluded has indicated that the risk of duplication is very small. The addition of these businesses brings the publication in line with Business Demography and the BIS Business Population Estimates, both of which include these businesses. For more information, see http://www.nomisweb.co.uk/articles/news/files/UKBusinessCoverage.pdf.</t>
  </si>
  <si>
    <t>All figures are rounded to avoid disclosure. Values may be rounded down to zero and so all zeros are not necessarily true zeros. Totals across tables may differ by minor amounts due to the disclosure methods used. Furthermore, figures may differ by small amounts from those published in ONS outputs due to the application of a different rounding methodology.</t>
  </si>
  <si>
    <t>legal status</t>
  </si>
  <si>
    <t>employment sizeband</t>
  </si>
  <si>
    <t>industry</t>
  </si>
  <si>
    <t>UK Business Counts - enterprises by industry and employment size band</t>
  </si>
  <si>
    <t>Aged 16 to 64</t>
  </si>
  <si>
    <t>Population estimates - local authority based by single year of age</t>
  </si>
  <si>
    <t>10 Thou</t>
  </si>
  <si>
    <t>Scottish Government Growth Sector Enterprise Rate (per 10,000 working-age population)</t>
  </si>
  <si>
    <t>Enterprise Rate (per 10,000 working-age population)</t>
  </si>
  <si>
    <t>Local Authority</t>
  </si>
  <si>
    <t>Total Vacant &amp; Derelict Land (Ha)</t>
  </si>
  <si>
    <t>Total Vacant &amp; Derelict Land (Ha) in bottom 15% SIMD areas</t>
  </si>
  <si>
    <t>Aberdeen City Region</t>
  </si>
  <si>
    <t>Edinburgh and South East Scotland City Region</t>
  </si>
  <si>
    <t>Tay Cities Region</t>
  </si>
  <si>
    <t>Housing Affordability Ratio (Average House Price / Gross Disposable Household Income per head)</t>
  </si>
  <si>
    <t>Social Enterprise Rate (per 10,000 total population)</t>
  </si>
  <si>
    <t>Social Enterprise in Scotland Census</t>
  </si>
  <si>
    <t>Social Enterprise</t>
  </si>
  <si>
    <t>Social Enteprise per 10,000</t>
  </si>
  <si>
    <t>National Level</t>
  </si>
  <si>
    <t>% Dwellings in Fuel Poverty</t>
  </si>
  <si>
    <t>Geography</t>
  </si>
  <si>
    <t>% Dwellings with Accessibility Adaptations</t>
  </si>
  <si>
    <t>% Dwellings that fail the Scottish Household Quality Standard</t>
  </si>
  <si>
    <t>% Dwellings that are in Disrepair</t>
  </si>
  <si>
    <t>ECON4 - % of procurement spend spent on local enterprises</t>
  </si>
  <si>
    <t>% of Procurement spend spent on local enterprises</t>
  </si>
  <si>
    <t>Local Government Benchmarking Framework</t>
  </si>
  <si>
    <t>Great Britain</t>
  </si>
  <si>
    <t>Count</t>
  </si>
  <si>
    <t>employment status</t>
  </si>
  <si>
    <t>date</t>
  </si>
  <si>
    <t>ONS Crown Copyright Reserved [from Nomis on 22 February 2021]</t>
  </si>
  <si>
    <t>Business Register and Employment Survey : open access</t>
  </si>
  <si>
    <t>Employees in low paid sectors</t>
  </si>
  <si>
    <t>Employment in low pay sectors (%)</t>
  </si>
  <si>
    <t>Emissions per Capita (CO2 tonnes)</t>
  </si>
  <si>
    <t>2019/20</t>
  </si>
  <si>
    <t>For information on how the coronavirus (COVID-19) pandemic has affected these statistics, see section 1.1 of the main publication.</t>
  </si>
  <si>
    <t>Table L2.1. Percentage of school leavers by initial destination and local authority, 2009/10 to 2019/20</t>
  </si>
  <si>
    <t>Return to contents</t>
  </si>
  <si>
    <t>% of School Leavers in Positive Destinations</t>
  </si>
  <si>
    <t>Scottish Government - Attainment and Initial Leaver Destinations</t>
  </si>
  <si>
    <t>Business Expenditure in R&amp;D (per head of total population)</t>
  </si>
  <si>
    <t>Current Geographies</t>
  </si>
  <si>
    <r>
      <t>Table A1 LA: Households</t>
    </r>
    <r>
      <rPr>
        <b/>
        <vertAlign val="superscript"/>
        <sz val="12"/>
        <color indexed="8"/>
        <rFont val="Arial"/>
        <family val="2"/>
      </rPr>
      <t>1</t>
    </r>
    <r>
      <rPr>
        <b/>
        <sz val="12"/>
        <color indexed="8"/>
        <rFont val="Arial"/>
        <family val="2"/>
      </rPr>
      <t xml:space="preserve"> by combined economic activity status of household members: January-December</t>
    </r>
  </si>
  <si>
    <t>% of Households that are Workless</t>
  </si>
  <si>
    <t>ONS - Households by Combined Economic Activity</t>
  </si>
  <si>
    <t>Vehicles per 1,000 17+ aged population</t>
  </si>
  <si>
    <t>DWP Stat-Xplore</t>
  </si>
  <si>
    <t>Gross Value Added (£m)</t>
  </si>
  <si>
    <t>n/a</t>
  </si>
  <si>
    <t>Employment Rate (%)</t>
  </si>
  <si>
    <t>Unemployment Rate (%)</t>
  </si>
  <si>
    <t>Economic Inactivity Rate (%)</t>
  </si>
  <si>
    <t>Degree-level Qualifications Rate (%)</t>
  </si>
  <si>
    <t>No Qualifications Rate (%)</t>
  </si>
  <si>
    <t>Economic Inactive:  Long-term Sick/Disabled Rate (%)</t>
  </si>
  <si>
    <t>20th Percentile Weekly Earnings (Residence-based, full-time)</t>
  </si>
  <si>
    <t>Proportion of buses that are compliant with the Equalities Act*</t>
  </si>
  <si>
    <t>Modal share of adults travelling to work by public transport or active travel*</t>
  </si>
  <si>
    <t>% of adults who were very satisfied or fairly satisfied with public transport services*</t>
  </si>
  <si>
    <t>CHARTS</t>
  </si>
  <si>
    <t>(Find charts below table)</t>
  </si>
  <si>
    <t xml:space="preserve">Volume Change required to meet Geographical Comparison Area:  </t>
  </si>
  <si>
    <t>No Qualifications (%)</t>
  </si>
  <si>
    <t>Economic Inactive by reason:  Long-term Ill-health (%)</t>
  </si>
  <si>
    <t xml:space="preserve">% Point Change required to meet Geographical Comparison Area:  </t>
  </si>
  <si>
    <t>USER NOTE</t>
  </si>
  <si>
    <t xml:space="preserve">This sheet was provided by Glasgow City Region Intelligence Hub on: </t>
  </si>
  <si>
    <t>Cumulative Net Migration by Age 2008/09 to 2018/19</t>
  </si>
  <si>
    <t>Return to Index RAG</t>
  </si>
  <si>
    <t>Number of Incapacity-based benefits (per 1,000 16-64 population)</t>
  </si>
  <si>
    <t>Member Authority RAG</t>
  </si>
  <si>
    <t>An overview of the workbook's functions can be found on the attached word document:</t>
  </si>
  <si>
    <t>↑</t>
  </si>
  <si>
    <t>↓</t>
  </si>
  <si>
    <t>Business Birth Rate (per 10,000 16-64 Population)</t>
  </si>
  <si>
    <t>New Enterprise Survival Rate % (3 Year)</t>
  </si>
  <si>
    <t>Business Death Rate (per 10,000 16-64 Population)</t>
  </si>
  <si>
    <t xml:space="preserve">Volume Change Required to match Geographic Area - </t>
  </si>
  <si>
    <t>Short-term Performance Against National Trends</t>
  </si>
  <si>
    <t>Current Performance Against National Average</t>
  </si>
  <si>
    <t>Performance Target</t>
  </si>
  <si>
    <t>Index and RAG Analysis</t>
  </si>
  <si>
    <t>Jan 2020-Dec 2020</t>
  </si>
  <si>
    <t>Rate of Housing New Builds (per 10,000 total population)</t>
  </si>
  <si>
    <t>Rate of Social Housing New Builds (per 10,000 total population)</t>
  </si>
  <si>
    <t xml:space="preserve">Gender Employment Gap (% points) </t>
  </si>
  <si>
    <t>Date</t>
  </si>
  <si>
    <t>Pan-Lanarkshire</t>
  </si>
  <si>
    <t>Indicator</t>
  </si>
  <si>
    <t>Percentage Gap</t>
  </si>
  <si>
    <t>% premises unable to access 10Mb connection*</t>
  </si>
  <si>
    <t>% premises with available Ultra-fast broadband connection*</t>
  </si>
  <si>
    <t>% premises with available Fibre broadband connection*</t>
  </si>
  <si>
    <t xml:space="preserve">% Point Change Required to match Geographic Area - </t>
  </si>
  <si>
    <t>LGBF Family Group 1</t>
  </si>
  <si>
    <t>LGBF Family Group 2</t>
  </si>
  <si>
    <t>LGBF Family Group 3</t>
  </si>
  <si>
    <t>LGBF Family Group 4</t>
  </si>
  <si>
    <t>LGBF Family Group 1 Average</t>
  </si>
  <si>
    <t>LGBF Family Group 2 Average</t>
  </si>
  <si>
    <t>LGBF Family Group 3 Average</t>
  </si>
  <si>
    <t>LGBF Family Group 4 Average</t>
  </si>
  <si>
    <t>Children / Housing / Social</t>
  </si>
  <si>
    <t>Environment / Eco Dev</t>
  </si>
  <si>
    <t>Demfries and Galloway</t>
  </si>
  <si>
    <t>{"Perth and Kinross","Stirling","Moray","South Ayrshire","East Ayrshire","East Lothian","North Ayrshire","Fife"}</t>
  </si>
  <si>
    <t>{"Angus","Clackmannanshire","Midlothian","South Lanarkshire","Inverclyde","Renfrewshire","West Lothian","East Renfrewshire"}</t>
  </si>
  <si>
    <t>{"North Lanarkshire","Falkirk","East Dunbartonshire","Aberdeen City","Edinburgh, City of","West Dunbartonshire","Dundee City","Glasgow City"}</t>
  </si>
  <si>
    <t>{"Na h-Eileanan Siar","Argyll and Bute","Shetland Islands","Highland","Orkney Islands","Scottish Borders","Dumfries and Galloway","Aberdeenshire"}</t>
  </si>
  <si>
    <t xml:space="preserve">RAG Performance Geography:  </t>
  </si>
  <si>
    <t xml:space="preserve">RAG Performance Parameter:  </t>
  </si>
  <si>
    <t>Complete</t>
  </si>
  <si>
    <t>In Progress</t>
  </si>
  <si>
    <t>Incomplete</t>
  </si>
  <si>
    <t>19/20</t>
  </si>
  <si>
    <t>ONS Crown Copyright Reserved [from Nomis on 30 September 2021]</t>
  </si>
  <si>
    <t>All Ages</t>
  </si>
  <si>
    <t>City of Edinburgh</t>
  </si>
  <si>
    <t>Table 1.15: Underemployment of population aged 16 and over, by local authority, Scotland, 2004 to 2020</t>
  </si>
  <si>
    <t>Scotland's Labour Market</t>
  </si>
  <si>
    <t>ECON4 2019-20</t>
  </si>
  <si>
    <t>Gap Analysis</t>
  </si>
  <si>
    <t>City Region Aggregate Area</t>
  </si>
  <si>
    <t>LGBF Family Group Averages</t>
  </si>
  <si>
    <t/>
  </si>
  <si>
    <t>Care Inspectorate</t>
  </si>
  <si>
    <t>Children registered with childcare services</t>
  </si>
  <si>
    <t>% Children in Childcare</t>
  </si>
  <si>
    <t>City Region Comparator</t>
  </si>
  <si>
    <t>Childcare LGBF Groups</t>
  </si>
  <si>
    <t>Eco Dev LGBF Groups</t>
  </si>
  <si>
    <t>City Reigon</t>
  </si>
  <si>
    <t>Approximate Volume Gap</t>
  </si>
  <si>
    <t>LGBF Family Group Average</t>
  </si>
  <si>
    <t>% of Household that are workless</t>
  </si>
  <si>
    <t>% of School Leavers in Positive Destination</t>
  </si>
  <si>
    <t>Number of Incpacity Based Benefits (per 1,000 16 - 64 population)</t>
  </si>
  <si>
    <t>20th Percentile Weekly Earning (Residence based, full time)</t>
  </si>
  <si>
    <t>% Employed in SOC 1 Occupations</t>
  </si>
  <si>
    <t>Families with Dependent Children eligible for Child Benefit (%)</t>
  </si>
  <si>
    <t>Claimant Count Rate (%)</t>
  </si>
  <si>
    <t>Participation Rate (%)</t>
  </si>
  <si>
    <t xml:space="preserve"> - </t>
  </si>
  <si>
    <t>NOMIS - Annual Population Survey</t>
  </si>
  <si>
    <t>Gender Employment Gap (% difference between Male and Female Employment Rates)</t>
  </si>
  <si>
    <t>Skills Development Scotland</t>
  </si>
  <si>
    <t>Annual Participation Measure: Count by age 16 and local authority</t>
  </si>
  <si>
    <t>Participation Rate (16-19 Year Olds %)</t>
  </si>
  <si>
    <t>Combination:</t>
  </si>
  <si>
    <t>Table 5 Families receiving Child Benefit in each local Authority, August 2017</t>
  </si>
  <si>
    <t>Table 10 Families that have opted out of receiving Child Benefit in each local authority, August 2017</t>
  </si>
  <si>
    <t>2021 Volume</t>
  </si>
  <si>
    <t>% of Children in Low Income Families</t>
  </si>
  <si>
    <t>Poverty and Child Poverty</t>
  </si>
  <si>
    <t>Labour Market</t>
  </si>
  <si>
    <t>Economy</t>
  </si>
  <si>
    <t>UK Government - Children in Low Income Families</t>
  </si>
  <si>
    <t>DWP - Stat Xplore</t>
  </si>
  <si>
    <t>UK Government - Child Benefit</t>
  </si>
  <si>
    <t>Skills Development Scotland - Participation Measure</t>
  </si>
  <si>
    <t>NOMIS - Annual Survey of Hours and Earnings</t>
  </si>
  <si>
    <t>NOMIS - Business Register and Employment Survey</t>
  </si>
  <si>
    <t>DWP Stat Xplore</t>
  </si>
  <si>
    <t>Scottish Government - Scotland's Labour Market</t>
  </si>
  <si>
    <t>Description:</t>
  </si>
  <si>
    <t>Family Group 1</t>
  </si>
  <si>
    <t>Family Group 2</t>
  </si>
  <si>
    <t>Family Group 3</t>
  </si>
  <si>
    <t>Family Group 4</t>
  </si>
  <si>
    <t>Family Groupings for Children, Social Work and Housing indicators</t>
  </si>
  <si>
    <t>Percentage of children registered with childcare services</t>
  </si>
  <si>
    <t>Percentage of individuals claiming Out-of-work benefits</t>
  </si>
  <si>
    <t>Pecentage of households that are defined as Workless</t>
  </si>
  <si>
    <t>Percentage of School Leavers that entered a positive destination (employment, education, or training)</t>
  </si>
  <si>
    <t>Percentage of 16-19 year olds in a positive destination</t>
  </si>
  <si>
    <t>Percentage of individuals with no formal qualifications</t>
  </si>
  <si>
    <t>Percentage of individuals that have a achieved a NVQ Level 4+ qualification</t>
  </si>
  <si>
    <t>Percentage of individuals classed as Economically Inactive that are inactive because of a long-term health issue or disability</t>
  </si>
  <si>
    <t>Percentage of working-age (16-64) individuals not in employment and not seeking employment</t>
  </si>
  <si>
    <t>Percentage of working-age (16-64) individuals in employment</t>
  </si>
  <si>
    <t>Percentage of economically active working-age (16-64) individuals not in employment, but seeking employment</t>
  </si>
  <si>
    <t>Percentage of children in poverty after housing costs</t>
  </si>
  <si>
    <t>Percentage of families with dependent children eligible for child benefit</t>
  </si>
  <si>
    <t>Percentage point difference between the Male working-age (16-64) employment rate and the Female working-age (16-64) employment rate</t>
  </si>
  <si>
    <t>Estimates of the median weekly wage of residents employed on a full-time basis</t>
  </si>
  <si>
    <t>Estimates of the weekly earnings of residents in the 20th percentile of earnings, whilst in full-time employment</t>
  </si>
  <si>
    <t>Underemployment Rate (%)</t>
  </si>
  <si>
    <t>Underemployment Rate %</t>
  </si>
  <si>
    <t>Percentage of workers who would like to work longer hours if possible</t>
  </si>
  <si>
    <t>% of Procurement spend on Local SMEs</t>
  </si>
  <si>
    <t>Estimate of the GVA produced per hour worked within a local authority</t>
  </si>
  <si>
    <t>Estimate of the total GVA produced in a local authority</t>
  </si>
  <si>
    <t>Estimates of the number of individuals claiming incapacity-related benefits, rated per 1,000 of the working-age population</t>
  </si>
  <si>
    <t>Percentage of individuals employed as a manager, director, or senior officials</t>
  </si>
  <si>
    <t>Education</t>
  </si>
  <si>
    <t>Number of Incapacity Benefit Claimants (per 1,000 16 - 64 pop)</t>
  </si>
  <si>
    <t>A brief overview of each indicator within the Toolkit can be found below.</t>
  </si>
  <si>
    <t>Indicators highlighted in Yellow use LGBF  - Family Group definitions for Children, Social Work, and Housing.</t>
  </si>
  <si>
    <t>Test - National Max Value</t>
  </si>
  <si>
    <t>Test - National Min Value</t>
  </si>
  <si>
    <t>Test - LA Trend Value</t>
  </si>
  <si>
    <t>Test - National Trend Value</t>
  </si>
  <si>
    <t>% Children in Child Poverty after Housing Costs</t>
  </si>
  <si>
    <t>% of Children in Low Income Families - Relative measure</t>
  </si>
  <si>
    <t>Percentage of children living in low-income families - using the relative measure</t>
  </si>
  <si>
    <t>ECON4 2020-21</t>
  </si>
  <si>
    <t>20/21</t>
  </si>
  <si>
    <t>2020/21</t>
  </si>
  <si>
    <t>Jan 2021-Dec 2021</t>
  </si>
  <si>
    <t>ONS Crown Copyright Reserved [from Nomis on 19 April 2022]</t>
  </si>
  <si>
    <t>ONS Crown Copyright Reserved [from Nomis on 21 April 2022]</t>
  </si>
  <si>
    <t>Forth Valley Region</t>
  </si>
  <si>
    <t>2022 Volume</t>
  </si>
  <si>
    <t>Households on Universal Credit (%)</t>
  </si>
  <si>
    <t>Household on Universal Credit (%)</t>
  </si>
  <si>
    <t>Percentage of households claiming Universal Credit</t>
  </si>
  <si>
    <t>Business Register and Employment Survey</t>
  </si>
  <si>
    <t>Satisfactory hours (% of employees)</t>
  </si>
  <si>
    <t>Low pay (% of employees)</t>
  </si>
  <si>
    <t>Zero-hour contracts (% of employees)</t>
  </si>
  <si>
    <t>ONS Job Quality Indicator Tables</t>
  </si>
  <si>
    <t>Households on Universal Credit (I
II
III
IV
z)</t>
  </si>
  <si>
    <t>National - Regional - LA - OAs by Month by Payment Indicator</t>
  </si>
  <si>
    <t>Counting: Households on Universal Credit</t>
  </si>
  <si>
    <t>Filters:</t>
  </si>
  <si>
    <t>Default Summation</t>
  </si>
  <si>
    <t>Households on Universal Credit</t>
  </si>
  <si>
    <t>Payment Indicator</t>
  </si>
  <si>
    <t>Yes</t>
  </si>
  <si>
    <t>Month</t>
  </si>
  <si>
    <t>National - Regional - LA - OAs</t>
  </si>
  <si>
    <t>Quarter</t>
  </si>
  <si>
    <t>Benefit Combinations - Data from August 2021 for Scotland (I
II
III
VII)</t>
  </si>
  <si>
    <t>Counting: Benefit Combinations Scotland</t>
  </si>
  <si>
    <t>Benefit Combinations Scotland</t>
  </si>
  <si>
    <t>INCAP</t>
  </si>
  <si>
    <t>Population/1000</t>
  </si>
  <si>
    <t>Number of Incapacity Based Benefits (per 1,000 16 - 64 population)</t>
  </si>
  <si>
    <t>LA Name</t>
  </si>
  <si>
    <t>Number of Leavers</t>
  </si>
  <si>
    <t>Positive Destination</t>
  </si>
  <si>
    <t>[c]</t>
  </si>
  <si>
    <t>LA &amp; Year</t>
  </si>
  <si>
    <t xml:space="preserve">Year </t>
  </si>
  <si>
    <t>LA code</t>
  </si>
  <si>
    <t>2021/22</t>
  </si>
  <si>
    <t>Years</t>
  </si>
  <si>
    <t>Proportion of total employees employed with satisfactory hours</t>
  </si>
  <si>
    <t>Proportion of total employees employed in low pay</t>
  </si>
  <si>
    <t>Proportion of total employees employed with zero-hour contracts</t>
  </si>
  <si>
    <t>Jan 2022-Dec 2022</t>
  </si>
  <si>
    <t>This datas may be affected by a geographical definition issue. For further information see https://www.nomisweb.co.uk/articles/1199.aspx.</t>
  </si>
  <si>
    <t>Under Universal Credit a broader span of claimants are required to look for work than under Jobseeker's Allowance. As Universal Credit Full Service is rolled out in particular areas, the number of people recorded as being on the Claimant Count is therefore likely to rise.</t>
  </si>
  <si>
    <t>This dataset only includes claimant records with information to sufficiently classify them within the dataset. Totals from this dataset may not tally with the total number of claim records shown elsewhere as a small number of records do not have this information.</t>
  </si>
  <si>
    <t>All data are rounded to the nearest 5 and may not precisely add to the sum of the number of people claiming JSA, published on Nomis, and the number of people claiming Universal Credit required to seek work, published by DWP, due to independent rounding.</t>
  </si>
  <si>
    <t>Rates for local authorities from 2019 onwards are calculated using the mid-2019 resident population aged 16-64.</t>
  </si>
  <si>
    <t>Rates for regions and countries from 2019 onwards are calculated using the mid-2019 resident population aged 16-64.</t>
  </si>
  <si>
    <t>21/22</t>
  </si>
  <si>
    <t>Table 1: Number and Percentage of Children (aged under 16) living in Relative low income families, Local Authority, FYE 2015 to 2022, United Kingdom</t>
  </si>
  <si>
    <t>Table 1: Household estimates for Scotland by council area, June 2001 to 2021 [note 1] [note 2] [note 3]</t>
  </si>
  <si>
    <t>ECON4 2021-22</t>
  </si>
  <si>
    <t>Area Name</t>
  </si>
  <si>
    <t>Year</t>
  </si>
  <si>
    <t>Council Area 2019 Code</t>
  </si>
  <si>
    <t>Total Cohort (16-19)</t>
  </si>
  <si>
    <t>Participating (16-19)</t>
  </si>
  <si>
    <t>Feb</t>
  </si>
  <si>
    <t>ONS Crown Copyright Reserved [from Nomis on 5 September 2023]</t>
  </si>
  <si>
    <t>National - Regional - LA - OAs by Quarter and INCAP</t>
  </si>
  <si>
    <t>Feb-2023 Volume</t>
  </si>
  <si>
    <t>May 2021</t>
  </si>
  <si>
    <t>May 2022</t>
  </si>
  <si>
    <t>May 2023</t>
  </si>
  <si>
    <t>May 2024</t>
  </si>
  <si>
    <t>2023 Volume</t>
  </si>
  <si>
    <t>Jan 2023-Dec 2023</t>
  </si>
  <si>
    <t>2022-23</t>
  </si>
  <si>
    <t>2021-22</t>
  </si>
  <si>
    <t>2020-21</t>
  </si>
  <si>
    <t>2019-20</t>
  </si>
  <si>
    <t>2018-19</t>
  </si>
  <si>
    <t>2017-18</t>
  </si>
  <si>
    <t>2016-17</t>
  </si>
  <si>
    <t>2015-16</t>
  </si>
  <si>
    <t>2014-15</t>
  </si>
  <si>
    <t>2013-14</t>
  </si>
  <si>
    <t>2012-13</t>
  </si>
  <si>
    <t>2011-12</t>
  </si>
  <si>
    <t>2010-11</t>
  </si>
  <si>
    <t>2009-10</t>
  </si>
  <si>
    <t>Percentage of individuals employed in the sectors: Retail and Wholesale, Accommodation and Food Services, and Administrative and Support Services</t>
  </si>
  <si>
    <t>Family Groupings for Environmental, Culture and Leisure, Economic Development, Corporate and Property indicators</t>
  </si>
  <si>
    <t>DWP Stat Xplore and UK Government</t>
  </si>
  <si>
    <t>2022/23</t>
  </si>
  <si>
    <t>Annual Participation Measure: Count by age and local authority (table 1.7)</t>
  </si>
  <si>
    <t>S12000033</t>
  </si>
  <si>
    <t>S12000034</t>
  </si>
  <si>
    <t>S12000041</t>
  </si>
  <si>
    <t>S12000035</t>
  </si>
  <si>
    <t>S12000005</t>
  </si>
  <si>
    <t>S12000006</t>
  </si>
  <si>
    <t>S12000042</t>
  </si>
  <si>
    <t>S12000008</t>
  </si>
  <si>
    <t>S12000045</t>
  </si>
  <si>
    <t>S12000010</t>
  </si>
  <si>
    <t>S12000011</t>
  </si>
  <si>
    <t>S12000036</t>
  </si>
  <si>
    <t>S12000013</t>
  </si>
  <si>
    <t>S12000014</t>
  </si>
  <si>
    <t>S12000047</t>
  </si>
  <si>
    <t>S12000049</t>
  </si>
  <si>
    <t>S12000017</t>
  </si>
  <si>
    <t>S12000018</t>
  </si>
  <si>
    <t>S12000019</t>
  </si>
  <si>
    <t>S12000020</t>
  </si>
  <si>
    <t>S12000021</t>
  </si>
  <si>
    <t>S12000050</t>
  </si>
  <si>
    <t>S12000023</t>
  </si>
  <si>
    <t>S12000048</t>
  </si>
  <si>
    <t>S12000038</t>
  </si>
  <si>
    <t>S12000026</t>
  </si>
  <si>
    <t>S12000027</t>
  </si>
  <si>
    <t>S12000028</t>
  </si>
  <si>
    <t>S12000029</t>
  </si>
  <si>
    <t>S12000030</t>
  </si>
  <si>
    <t>S12000039</t>
  </si>
  <si>
    <t>S12000040</t>
  </si>
  <si>
    <t>ECON4 2022-23</t>
  </si>
  <si>
    <t>22/23</t>
  </si>
  <si>
    <t>Note</t>
  </si>
  <si>
    <t>May 2024 Volume</t>
  </si>
  <si>
    <t>Change from last Publication</t>
  </si>
  <si>
    <t>Updated</t>
  </si>
  <si>
    <t>New terminology</t>
  </si>
  <si>
    <t>No Change</t>
  </si>
  <si>
    <t>Awaiting publication - Scottish Government have been contacted for an update</t>
  </si>
  <si>
    <t>Awaiting publication - ONS have been contacted for an update</t>
  </si>
  <si>
    <t>Data now 3 years out of date with no confirmation of any future publications of the Social Enterprise Census</t>
  </si>
  <si>
    <t>Any queries should be directed to Finn Clasen:</t>
  </si>
  <si>
    <t>Finn.Clasen@glasgow.gov.uk</t>
  </si>
  <si>
    <t>Removed</t>
  </si>
  <si>
    <t>2022/23 Volume</t>
  </si>
  <si>
    <t>Population estimate for  0-15 year olds (NRS mid-2021)</t>
  </si>
  <si>
    <t>Registered places in DCoC services</t>
  </si>
  <si>
    <t>Registered places in childminding services</t>
  </si>
  <si>
    <t>Rate of childminding places per 100 population</t>
  </si>
  <si>
    <t>Rate of DCoC places per 100 population</t>
  </si>
  <si>
    <t>Rate of all ELC places per 100 population</t>
  </si>
  <si>
    <t>outside Scotland</t>
  </si>
  <si>
    <t>Argyll AND Bute</t>
  </si>
  <si>
    <t>Dumfries AND Galloway</t>
  </si>
  <si>
    <t>Perth AND Kinross</t>
  </si>
  <si>
    <t>% of Procurement spend spent on local Enterprises</t>
  </si>
  <si>
    <t>% of Procurement spend on Local Enterprises</t>
  </si>
  <si>
    <t>Percentage of Procurement spent on local enterprises</t>
  </si>
  <si>
    <t>Terminology updated to reflect all enterprises</t>
  </si>
  <si>
    <t>October 2021</t>
  </si>
  <si>
    <t>October 2022</t>
  </si>
  <si>
    <t>October 2023</t>
  </si>
  <si>
    <t>October 2024</t>
  </si>
  <si>
    <t>Oct 24 Volume</t>
  </si>
  <si>
    <t>2024 Volume</t>
  </si>
  <si>
    <t>RQF Level 4+ Qualifications (%)</t>
  </si>
  <si>
    <t>-   Estimates not available</t>
  </si>
  <si>
    <t>Annual Population Survey 2023</t>
  </si>
  <si>
    <t>- Estimate and confidence interval not available since the group sample size is zero or disclosive (0-2).</t>
  </si>
  <si>
    <t>- These figures are suppressed as statistically unreliable.</t>
  </si>
  <si>
    <t>Estimates not available enough for publication or not available.</t>
  </si>
  <si>
    <t>-  Estimates not available enough for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</si>
</sst>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
    <numFmt numFmtId="166" formatCode="0.0%"/>
    <numFmt numFmtId="167" formatCode="0.0"/>
    <numFmt numFmtId="168" formatCode="mmmm\ yyyy"/>
    <numFmt numFmtId="169" formatCode="General_)"/>
    <numFmt numFmtId="170" formatCode="&quot;£&quot;#,##0.0"/>
  </numFmts>
  <fonts count="126">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0"/>
      <name val="Arial"/>
      <family val="2"/>
    </font>
    <font>
      <b/>
      <sz val="10"/>
      <name val="Arial"/>
      <family val="2"/>
    </font>
    <font>
      <b/>
      <sz val="10"/>
      <name val="Arial"/>
      <family val="2"/>
    </font>
    <font>
      <b/>
      <sz val="10"/>
      <name val="Arial"/>
      <family val="2"/>
    </font>
    <font>
      <sz val="10"/>
      <name val="Arial"/>
      <family val="2"/>
    </font>
    <font>
      <sz val="10"/>
      <name val="Arial"/>
      <family val="2"/>
    </font>
    <font>
      <sz val="10"/>
      <name val="Arial"/>
      <family val="2"/>
    </font>
    <font>
      <sz val="10"/>
      <name val="Arial"/>
      <family val="2"/>
    </font>
    <font>
      <u/>
      <sz val="11"/>
      <color theme="10"/>
      <name val="Calibri"/>
      <family val="2"/>
      <scheme val="minor"/>
    </font>
    <font>
      <b/>
      <sz val="10"/>
      <name val="Calibri"/>
      <family val="2"/>
      <scheme val="minor"/>
    </font>
    <font>
      <sz val="10"/>
      <color indexed="8"/>
      <name val="Calibri"/>
      <family val="2"/>
      <scheme val="minor"/>
    </font>
    <font>
      <u/>
      <sz val="10"/>
      <color theme="10"/>
      <name val="Calibri"/>
      <family val="2"/>
      <scheme val="minor"/>
    </font>
    <font>
      <sz val="10"/>
      <name val="Calibri"/>
      <family val="2"/>
      <scheme val="minor"/>
    </font>
    <font>
      <b/>
      <sz val="9"/>
      <name val="Calibri"/>
      <family val="2"/>
      <scheme val="minor"/>
    </font>
    <font>
      <sz val="10"/>
      <name val="Arial"/>
      <family val="2"/>
    </font>
    <font>
      <sz val="11"/>
      <name val="Calibri"/>
      <family val="2"/>
    </font>
    <font>
      <b/>
      <sz val="11"/>
      <color theme="1"/>
      <name val="Calibri"/>
      <family val="2"/>
      <scheme val="minor"/>
    </font>
    <font>
      <sz val="10"/>
      <color theme="1"/>
      <name val="Calibri"/>
      <family val="2"/>
      <scheme val="minor"/>
    </font>
    <font>
      <b/>
      <sz val="10"/>
      <name val="Arial"/>
      <family val="2"/>
    </font>
    <font>
      <b/>
      <sz val="12"/>
      <name val="Arial"/>
      <family val="2"/>
    </font>
    <font>
      <b/>
      <sz val="20"/>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1"/>
      <color indexed="8"/>
      <name val="Calibri"/>
      <family val="2"/>
      <scheme val="minor"/>
    </font>
    <font>
      <sz val="10"/>
      <name val="Arial"/>
      <family val="2"/>
    </font>
    <font>
      <b/>
      <sz val="10"/>
      <name val="Arial"/>
      <family val="2"/>
    </font>
    <font>
      <b/>
      <sz val="12"/>
      <name val="Arial"/>
      <family val="2"/>
    </font>
    <font>
      <sz val="11"/>
      <name val="Arial"/>
      <family val="2"/>
    </font>
    <font>
      <b/>
      <sz val="11"/>
      <name val="Arial"/>
      <family val="2"/>
    </font>
    <font>
      <sz val="10"/>
      <name val="Geneva"/>
    </font>
    <font>
      <sz val="11"/>
      <color theme="1"/>
      <name val="Arial"/>
      <family val="2"/>
    </font>
    <font>
      <i/>
      <sz val="11"/>
      <name val="Arial"/>
      <family val="2"/>
    </font>
    <font>
      <b/>
      <i/>
      <sz val="11"/>
      <color theme="0"/>
      <name val="Arial"/>
      <family val="2"/>
    </font>
    <font>
      <b/>
      <sz val="14"/>
      <color theme="0"/>
      <name val="Arial"/>
      <family val="2"/>
    </font>
    <font>
      <u/>
      <sz val="10"/>
      <color indexed="12"/>
      <name val="Arial"/>
      <family val="2"/>
    </font>
    <font>
      <u/>
      <sz val="11"/>
      <color indexed="12"/>
      <name val="Arial"/>
      <family val="2"/>
    </font>
    <font>
      <b/>
      <sz val="10"/>
      <color theme="1"/>
      <name val="Calibri"/>
      <family val="2"/>
      <scheme val="minor"/>
    </font>
    <font>
      <sz val="10"/>
      <color rgb="FFFF0000"/>
      <name val="Arial"/>
      <family val="2"/>
    </font>
    <font>
      <sz val="8"/>
      <name val="Arial"/>
      <family val="2"/>
    </font>
    <font>
      <u/>
      <sz val="11"/>
      <color theme="1"/>
      <name val="Calibri"/>
      <family val="2"/>
      <scheme val="minor"/>
    </font>
    <font>
      <b/>
      <sz val="14"/>
      <color rgb="FFFF0000"/>
      <name val="Calibri"/>
      <family val="2"/>
      <scheme val="minor"/>
    </font>
    <font>
      <b/>
      <sz val="12"/>
      <color theme="1"/>
      <name val="Arial"/>
      <family val="2"/>
    </font>
    <font>
      <sz val="12"/>
      <name val="Arial"/>
      <family val="2"/>
    </font>
    <font>
      <sz val="10"/>
      <color theme="1"/>
      <name val="Arial"/>
      <family val="2"/>
    </font>
    <font>
      <sz val="10"/>
      <color theme="9"/>
      <name val="Arial"/>
      <family val="2"/>
    </font>
    <font>
      <b/>
      <vertAlign val="superscript"/>
      <sz val="12"/>
      <color indexed="8"/>
      <name val="Arial"/>
      <family val="2"/>
    </font>
    <font>
      <b/>
      <sz val="12"/>
      <color indexed="8"/>
      <name val="Arial"/>
      <family val="2"/>
    </font>
    <font>
      <sz val="12"/>
      <name val="Helv"/>
    </font>
    <font>
      <i/>
      <sz val="10"/>
      <name val="Arial"/>
      <family val="2"/>
    </font>
    <font>
      <sz val="11"/>
      <color rgb="FF000000"/>
      <name val="Calibri"/>
      <family val="2"/>
    </font>
    <font>
      <u/>
      <sz val="11"/>
      <color rgb="FF0563C1"/>
      <name val="Calibri"/>
      <family val="2"/>
    </font>
    <font>
      <sz val="9"/>
      <name val="Calibri"/>
      <family val="2"/>
      <scheme val="minor"/>
    </font>
    <font>
      <b/>
      <sz val="9"/>
      <color theme="1"/>
      <name val="Calibri"/>
      <family val="2"/>
      <scheme val="minor"/>
    </font>
    <font>
      <sz val="9"/>
      <color theme="1"/>
      <name val="Calibri"/>
      <family val="2"/>
      <scheme val="minor"/>
    </font>
    <font>
      <u/>
      <sz val="9"/>
      <color theme="10"/>
      <name val="Calibri"/>
      <family val="2"/>
      <scheme val="minor"/>
    </font>
    <font>
      <sz val="9"/>
      <color indexed="8"/>
      <name val="Calibri"/>
      <family val="2"/>
      <scheme val="minor"/>
    </font>
    <font>
      <b/>
      <sz val="9"/>
      <color indexed="8"/>
      <name val="Calibri"/>
      <family val="2"/>
      <scheme val="minor"/>
    </font>
    <font>
      <b/>
      <sz val="9"/>
      <color theme="0"/>
      <name val="Calibri"/>
      <family val="2"/>
      <scheme val="minor"/>
    </font>
    <font>
      <b/>
      <i/>
      <sz val="9"/>
      <color indexed="8"/>
      <name val="Calibri"/>
      <family val="2"/>
      <scheme val="minor"/>
    </font>
    <font>
      <b/>
      <i/>
      <sz val="10"/>
      <color rgb="FFFF0000"/>
      <name val="Calibri"/>
      <family val="2"/>
      <scheme val="minor"/>
    </font>
    <font>
      <sz val="9"/>
      <color theme="0"/>
      <name val="Calibri"/>
      <family val="2"/>
      <scheme val="minor"/>
    </font>
    <font>
      <sz val="11"/>
      <color theme="0"/>
      <name val="Calibri"/>
      <family val="2"/>
      <scheme val="minor"/>
    </font>
    <font>
      <u/>
      <sz val="11"/>
      <color theme="0"/>
      <name val="Calibri"/>
      <family val="2"/>
      <scheme val="minor"/>
    </font>
    <font>
      <sz val="11"/>
      <name val="Calibri"/>
      <family val="2"/>
      <scheme val="minor"/>
    </font>
    <font>
      <sz val="10"/>
      <name val="Arial"/>
      <family val="2"/>
    </font>
    <font>
      <b/>
      <sz val="14"/>
      <color theme="3"/>
      <name val="Calibri"/>
      <family val="2"/>
    </font>
    <font>
      <b/>
      <sz val="8"/>
      <color theme="0"/>
      <name val="Calibri"/>
      <family val="2"/>
      <scheme val="minor"/>
    </font>
    <font>
      <b/>
      <sz val="14"/>
      <color theme="1"/>
      <name val="Calibri"/>
      <family val="2"/>
      <scheme val="minor"/>
    </font>
    <font>
      <sz val="7"/>
      <color rgb="FF283D3B"/>
      <name val="Arial"/>
      <family val="2"/>
    </font>
    <font>
      <u/>
      <sz val="11"/>
      <color theme="10"/>
      <name val="Arial"/>
      <family val="2"/>
    </font>
    <font>
      <sz val="10"/>
      <name val="Arial"/>
      <family val="2"/>
    </font>
    <font>
      <b/>
      <sz val="10"/>
      <name val="Arial"/>
      <family val="2"/>
    </font>
    <font>
      <b/>
      <sz val="11"/>
      <color rgb="FF000000"/>
      <name val="Arial"/>
      <family val="2"/>
    </font>
    <font>
      <b/>
      <sz val="12"/>
      <color rgb="FF000000"/>
      <name val="Arial"/>
      <family val="2"/>
    </font>
    <font>
      <u/>
      <sz val="12"/>
      <color theme="10"/>
      <name val="Arial"/>
      <family val="2"/>
    </font>
    <font>
      <sz val="11"/>
      <color rgb="FFFF0000"/>
      <name val="Calibri"/>
      <family val="2"/>
      <scheme val="minor"/>
    </font>
    <font>
      <b/>
      <sz val="15"/>
      <color theme="3"/>
      <name val="Calibri"/>
      <family val="2"/>
      <scheme val="minor"/>
    </font>
    <font>
      <b/>
      <sz val="15"/>
      <color rgb="FF000000"/>
      <name val="Arial"/>
      <family val="2"/>
    </font>
    <font>
      <sz val="10"/>
      <name val="Arial"/>
      <family val="2"/>
    </font>
    <font>
      <b/>
      <sz val="10"/>
      <name val="Arial"/>
      <family val="2"/>
    </font>
    <font>
      <b/>
      <sz val="9"/>
      <color rgb="FF283D3B"/>
      <name val="Calibri"/>
      <family val="2"/>
      <scheme val="minor"/>
    </font>
    <font>
      <sz val="9"/>
      <color rgb="FF283D3B"/>
      <name val="Calibri"/>
      <family val="2"/>
      <scheme val="minor"/>
    </font>
    <font>
      <sz val="12"/>
      <name val="Calibri"/>
      <family val="2"/>
      <scheme val="minor"/>
    </font>
    <font>
      <sz val="12"/>
      <color theme="1"/>
      <name val="Arial"/>
      <family val="2"/>
    </font>
    <font>
      <b/>
      <sz val="16"/>
      <name val="Arial"/>
      <family val="2"/>
    </font>
    <font>
      <b/>
      <sz val="14"/>
      <name val="Arial"/>
      <family val="2"/>
    </font>
    <font>
      <u/>
      <sz val="12"/>
      <color theme="4"/>
      <name val="Calibri"/>
      <family val="2"/>
      <scheme val="minor"/>
    </font>
    <font>
      <sz val="10"/>
      <name val="MS Sans Serif"/>
      <family val="2"/>
    </font>
    <font>
      <u/>
      <sz val="10"/>
      <color indexed="12"/>
      <name val="MS Sans Serif"/>
      <family val="2"/>
    </font>
    <font>
      <u/>
      <sz val="11"/>
      <color rgb="FF0066AA"/>
      <name val="Calibri"/>
      <family val="2"/>
      <scheme val="minor"/>
    </font>
    <font>
      <u/>
      <sz val="11"/>
      <color rgb="FF0000FF"/>
      <name val="Calibri"/>
      <family val="2"/>
      <scheme val="minor"/>
    </font>
    <font>
      <sz val="9"/>
      <name val="Arial"/>
      <family val="2"/>
    </font>
    <font>
      <b/>
      <sz val="9"/>
      <name val="Arial"/>
      <family val="2"/>
    </font>
    <font>
      <u/>
      <sz val="10"/>
      <color theme="4"/>
      <name val="Calibri"/>
      <family val="2"/>
      <scheme val="minor"/>
    </font>
    <font>
      <b/>
      <sz val="10"/>
      <name val="Arial"/>
      <family val="2"/>
    </font>
    <font>
      <sz val="10"/>
      <name val="Arial"/>
      <family val="2"/>
    </font>
    <font>
      <sz val="12"/>
      <color rgb="FF000000"/>
      <name val="Arial"/>
      <family val="2"/>
    </font>
    <font>
      <sz val="14"/>
      <color indexed="8"/>
      <name val="Calibri"/>
      <family val="2"/>
      <scheme val="minor"/>
    </font>
    <font>
      <b/>
      <sz val="11"/>
      <color theme="1" tint="0.249977111117893"/>
      <name val="Aptos Narrow"/>
      <family val="2"/>
    </font>
    <font>
      <sz val="11"/>
      <color theme="1" tint="0.249977111117893"/>
      <name val="Aptos Narrow"/>
      <family val="2"/>
    </font>
  </fonts>
  <fills count="2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82358C"/>
        <bgColor indexed="64"/>
      </patternFill>
    </fill>
    <fill>
      <patternFill patternType="solid">
        <fgColor theme="3" tint="0.79998168889431442"/>
        <bgColor indexed="64"/>
      </patternFill>
    </fill>
    <fill>
      <patternFill patternType="solid">
        <fgColor rgb="FFFFFFFF"/>
        <bgColor rgb="FF000000"/>
      </patternFill>
    </fill>
    <fill>
      <patternFill patternType="solid">
        <fgColor indexed="44"/>
        <bgColor indexed="64"/>
      </patternFill>
    </fill>
    <fill>
      <patternFill patternType="solid">
        <fgColor theme="7" tint="0.39997558519241921"/>
        <bgColor indexed="64"/>
      </patternFill>
    </fill>
    <fill>
      <patternFill patternType="solid">
        <fgColor theme="3"/>
        <bgColor indexed="64"/>
      </patternFill>
    </fill>
    <fill>
      <patternFill patternType="solid">
        <fgColor rgb="FFFFFF00"/>
        <bgColor indexed="64"/>
      </patternFill>
    </fill>
    <fill>
      <patternFill patternType="solid">
        <fgColor theme="9"/>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2" tint="-9.9978637043366805E-2"/>
        <bgColor indexed="64"/>
      </patternFill>
    </fill>
    <fill>
      <patternFill patternType="solid">
        <fgColor rgb="FFF1F1F1"/>
        <bgColor indexed="64"/>
      </patternFill>
    </fill>
    <fill>
      <patternFill patternType="solid">
        <fgColor indexed="43"/>
        <bgColor indexed="64"/>
      </patternFill>
    </fill>
    <fill>
      <patternFill patternType="solid">
        <fgColor rgb="FFFBFBF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theme="0" tint="-0.499984740745262"/>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rgb="FF003A60"/>
      </left>
      <right style="medium">
        <color rgb="FF003A60"/>
      </right>
      <top style="medium">
        <color rgb="FF003A60"/>
      </top>
      <bottom/>
      <diagonal/>
    </border>
    <border>
      <left style="medium">
        <color rgb="FF003A60"/>
      </left>
      <right style="medium">
        <color rgb="FF003A60"/>
      </right>
      <top/>
      <bottom/>
      <diagonal/>
    </border>
    <border>
      <left style="medium">
        <color rgb="FF003A60"/>
      </left>
      <right style="medium">
        <color rgb="FF4E778C"/>
      </right>
      <top style="medium">
        <color rgb="FF003A60"/>
      </top>
      <bottom/>
      <diagonal/>
    </border>
    <border>
      <left style="medium">
        <color rgb="FF4E778C"/>
      </left>
      <right style="medium">
        <color rgb="FF003A60"/>
      </right>
      <top/>
      <bottom/>
      <diagonal/>
    </border>
    <border>
      <left style="medium">
        <color rgb="FF003A60"/>
      </left>
      <right style="medium">
        <color rgb="FF4E778C"/>
      </right>
      <top/>
      <bottom/>
      <diagonal/>
    </border>
    <border>
      <left style="medium">
        <color rgb="FF4E778C"/>
      </left>
      <right style="medium">
        <color rgb="FF003A60"/>
      </right>
      <top/>
      <bottom style="medium">
        <color rgb="FF4E778C"/>
      </bottom>
      <diagonal/>
    </border>
    <border>
      <left style="medium">
        <color rgb="FF003A60"/>
      </left>
      <right style="medium">
        <color rgb="FF003A60"/>
      </right>
      <top/>
      <bottom style="medium">
        <color rgb="FF4E778C"/>
      </bottom>
      <diagonal/>
    </border>
    <border>
      <left style="medium">
        <color rgb="FF003A60"/>
      </left>
      <right style="medium">
        <color rgb="FF4E778C"/>
      </right>
      <top/>
      <bottom style="medium">
        <color rgb="FF4E778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4E778C"/>
      </left>
      <right style="medium">
        <color rgb="FF1A3654"/>
      </right>
      <top style="medium">
        <color rgb="FF4E778C"/>
      </top>
      <bottom style="medium">
        <color rgb="FF1A3654"/>
      </bottom>
      <diagonal/>
    </border>
    <border>
      <left style="medium">
        <color rgb="FF1A3654"/>
      </left>
      <right style="medium">
        <color rgb="FF1A3654"/>
      </right>
      <top style="medium">
        <color rgb="FF4E778C"/>
      </top>
      <bottom style="medium">
        <color rgb="FF1A3654"/>
      </bottom>
      <diagonal/>
    </border>
    <border>
      <left style="medium">
        <color rgb="FF1A3654"/>
      </left>
      <right style="medium">
        <color rgb="FF4E778C"/>
      </right>
      <top style="medium">
        <color rgb="FF4E778C"/>
      </top>
      <bottom style="medium">
        <color rgb="FF1A3654"/>
      </bottom>
      <diagonal/>
    </border>
    <border>
      <left style="medium">
        <color rgb="FF4E778C"/>
      </left>
      <right style="medium">
        <color rgb="FF003A60"/>
      </right>
      <top style="medium">
        <color rgb="FF003A60"/>
      </top>
      <bottom/>
      <diagonal/>
    </border>
    <border>
      <left/>
      <right/>
      <top/>
      <bottom style="thick">
        <color theme="4"/>
      </bottom>
      <diagonal/>
    </border>
    <border>
      <left style="medium">
        <color rgb="FFFFFFFF"/>
      </left>
      <right style="medium">
        <color rgb="FFFFFFFF"/>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thin">
        <color rgb="FFF1F1F1"/>
      </left>
      <right style="thin">
        <color rgb="FFF1F1F1"/>
      </right>
      <top style="thin">
        <color rgb="FFFFFFFF"/>
      </top>
      <bottom style="thin">
        <color rgb="FFF1F1F1"/>
      </bottom>
      <diagonal/>
    </border>
    <border>
      <left style="medium">
        <color rgb="FFF1F1F1"/>
      </left>
      <right style="medium">
        <color rgb="FFF1F1F1"/>
      </right>
      <top style="medium">
        <color rgb="FFF1F1F1"/>
      </top>
      <bottom style="medium">
        <color rgb="FFF1F1F1"/>
      </bottom>
      <diagonal/>
    </border>
    <border>
      <left/>
      <right/>
      <top style="thin">
        <color rgb="FF000000"/>
      </top>
      <bottom style="thin">
        <color rgb="FF000000"/>
      </bottom>
      <diagonal/>
    </border>
    <border>
      <left/>
      <right style="medium">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s>
  <cellStyleXfs count="63">
    <xf numFmtId="0" fontId="0" fillId="0" borderId="0"/>
    <xf numFmtId="0" fontId="33" fillId="0" borderId="0" applyNumberFormat="0" applyFill="0" applyBorder="0" applyAlignment="0" applyProtection="0"/>
    <xf numFmtId="0" fontId="24" fillId="0" borderId="0"/>
    <xf numFmtId="9" fontId="39" fillId="0" borderId="0" applyFont="0" applyFill="0" applyBorder="0" applyAlignment="0" applyProtection="0"/>
    <xf numFmtId="0" fontId="40" fillId="0" borderId="0"/>
    <xf numFmtId="0" fontId="22" fillId="0" borderId="0"/>
    <xf numFmtId="0" fontId="21" fillId="0" borderId="0"/>
    <xf numFmtId="0" fontId="20" fillId="0" borderId="0"/>
    <xf numFmtId="0" fontId="49" fillId="0" borderId="0"/>
    <xf numFmtId="0" fontId="19" fillId="0" borderId="0"/>
    <xf numFmtId="0" fontId="50" fillId="0" borderId="0"/>
    <xf numFmtId="0" fontId="55" fillId="0" borderId="0"/>
    <xf numFmtId="0" fontId="60" fillId="0" borderId="0" applyNumberFormat="0" applyFill="0" applyBorder="0" applyAlignment="0" applyProtection="0">
      <alignment vertical="top"/>
      <protection locked="0"/>
    </xf>
    <xf numFmtId="0" fontId="18" fillId="0" borderId="0"/>
    <xf numFmtId="0" fontId="17" fillId="0" borderId="0"/>
    <xf numFmtId="9" fontId="24" fillId="0" borderId="0" applyFont="0" applyFill="0" applyBorder="0" applyAlignment="0" applyProtection="0"/>
    <xf numFmtId="164" fontId="24" fillId="0" borderId="0" applyFont="0" applyFill="0" applyBorder="0" applyAlignment="0" applyProtection="0"/>
    <xf numFmtId="0" fontId="16" fillId="0" borderId="0"/>
    <xf numFmtId="164" fontId="16" fillId="0" borderId="0" applyFont="0" applyFill="0" applyBorder="0" applyAlignment="0" applyProtection="0"/>
    <xf numFmtId="0" fontId="69" fillId="0" borderId="0"/>
    <xf numFmtId="0" fontId="24" fillId="0" borderId="0"/>
    <xf numFmtId="0" fontId="64" fillId="0" borderId="0"/>
    <xf numFmtId="9" fontId="64" fillId="0" borderId="0" applyFont="0" applyFill="0" applyBorder="0" applyAlignment="0" applyProtection="0"/>
    <xf numFmtId="0" fontId="15" fillId="0" borderId="0"/>
    <xf numFmtId="0" fontId="24" fillId="0" borderId="0">
      <alignment vertical="top"/>
    </xf>
    <xf numFmtId="0" fontId="64" fillId="0" borderId="0"/>
    <xf numFmtId="169" fontId="73" fillId="0" borderId="0"/>
    <xf numFmtId="0" fontId="64" fillId="0" borderId="0"/>
    <xf numFmtId="0" fontId="24" fillId="7" borderId="10">
      <alignment horizontal="center" vertical="center"/>
      <protection locked="0"/>
    </xf>
    <xf numFmtId="0" fontId="75" fillId="0" borderId="0"/>
    <xf numFmtId="0" fontId="76" fillId="0" borderId="0" applyNumberFormat="0" applyFill="0" applyBorder="0" applyAlignment="0" applyProtection="0"/>
    <xf numFmtId="0" fontId="14" fillId="0" borderId="0"/>
    <xf numFmtId="0" fontId="49" fillId="0" borderId="0"/>
    <xf numFmtId="0" fontId="90" fillId="0" borderId="0"/>
    <xf numFmtId="0" fontId="10" fillId="0" borderId="0"/>
    <xf numFmtId="0" fontId="95" fillId="0" borderId="0" applyNumberFormat="0" applyFill="0" applyBorder="0" applyAlignment="0" applyProtection="0"/>
    <xf numFmtId="0" fontId="9" fillId="0" borderId="0"/>
    <xf numFmtId="0" fontId="100" fillId="0" borderId="0" applyNumberFormat="0" applyFill="0" applyBorder="0" applyAlignment="0" applyProtection="0"/>
    <xf numFmtId="0" fontId="24" fillId="0" borderId="0"/>
    <xf numFmtId="0" fontId="102" fillId="0" borderId="33" applyNumberFormat="0" applyFill="0" applyAlignment="0" applyProtection="0"/>
    <xf numFmtId="0" fontId="108" fillId="0" borderId="0" applyProtection="0">
      <alignment wrapText="1"/>
    </xf>
    <xf numFmtId="0" fontId="112" fillId="0" borderId="0" applyNumberFormat="0" applyFill="0" applyAlignment="0" applyProtection="0">
      <alignment vertical="top"/>
      <protection locked="0"/>
    </xf>
    <xf numFmtId="0" fontId="60" fillId="0" borderId="0" applyNumberFormat="0" applyFill="0" applyBorder="0" applyAlignment="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110" fillId="0" borderId="0" applyNumberFormat="0" applyFill="0" applyAlignment="0" applyProtection="0"/>
    <xf numFmtId="0" fontId="111" fillId="0" borderId="0" applyNumberFormat="0" applyFill="0" applyAlignment="0" applyProtection="0"/>
    <xf numFmtId="0" fontId="23" fillId="0" borderId="0" applyNumberFormat="0" applyFill="0" applyAlignment="0" applyProtection="0"/>
    <xf numFmtId="0" fontId="56" fillId="0" borderId="0"/>
    <xf numFmtId="164" fontId="56" fillId="0" borderId="0" applyFont="0" applyFill="0" applyBorder="0" applyAlignment="0" applyProtection="0"/>
    <xf numFmtId="0" fontId="95" fillId="0" borderId="0" applyNumberFormat="0" applyFill="0" applyBorder="0" applyAlignment="0" applyProtection="0"/>
    <xf numFmtId="0" fontId="24" fillId="0" borderId="0"/>
    <xf numFmtId="0" fontId="109" fillId="0" borderId="0"/>
    <xf numFmtId="0" fontId="109" fillId="0" borderId="0"/>
    <xf numFmtId="0" fontId="113" fillId="0" borderId="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3" fillId="0" borderId="0"/>
    <xf numFmtId="0" fontId="5" fillId="0" borderId="0"/>
    <xf numFmtId="0" fontId="5" fillId="0" borderId="0"/>
    <xf numFmtId="0" fontId="111" fillId="0" borderId="0">
      <protection locked="0"/>
    </xf>
    <xf numFmtId="0" fontId="24" fillId="20" borderId="0">
      <protection locked="0"/>
    </xf>
  </cellStyleXfs>
  <cellXfs count="482">
    <xf numFmtId="0" fontId="0" fillId="0" borderId="0" xfId="0"/>
    <xf numFmtId="0" fontId="23" fillId="0" borderId="0" xfId="0" applyFont="1" applyAlignment="1">
      <alignment horizontal="left" vertical="center"/>
    </xf>
    <xf numFmtId="0" fontId="24" fillId="0" borderId="0" xfId="0" applyFont="1"/>
    <xf numFmtId="0" fontId="25" fillId="0" borderId="0" xfId="0" applyFont="1" applyAlignment="1">
      <alignment horizontal="left" vertical="top"/>
    </xf>
    <xf numFmtId="0" fontId="27" fillId="0" borderId="0" xfId="0" applyFont="1" applyAlignment="1">
      <alignment horizontal="right" vertical="center"/>
    </xf>
    <xf numFmtId="0" fontId="28" fillId="0" borderId="0" xfId="0" applyFont="1" applyAlignment="1">
      <alignment horizontal="left" vertical="center" wrapText="1"/>
    </xf>
    <xf numFmtId="0" fontId="29" fillId="0" borderId="0" xfId="0" applyFont="1" applyAlignment="1">
      <alignment horizontal="left" vertical="top"/>
    </xf>
    <xf numFmtId="165" fontId="31" fillId="0" borderId="0" xfId="0" applyNumberFormat="1" applyFont="1" applyAlignment="1">
      <alignment horizontal="right" vertical="top"/>
    </xf>
    <xf numFmtId="0" fontId="32" fillId="0" borderId="0" xfId="0" applyFont="1"/>
    <xf numFmtId="0" fontId="37" fillId="0" borderId="1" xfId="0" applyFont="1" applyBorder="1" applyAlignment="1">
      <alignment horizontal="left" vertical="center"/>
    </xf>
    <xf numFmtId="0" fontId="24" fillId="0" borderId="0" xfId="0" applyFont="1" applyAlignment="1">
      <alignment horizontal="left" vertical="top"/>
    </xf>
    <xf numFmtId="0" fontId="33" fillId="0" borderId="0" xfId="1"/>
    <xf numFmtId="167" fontId="0" fillId="0" borderId="0" xfId="0" applyNumberFormat="1"/>
    <xf numFmtId="167" fontId="30" fillId="0" borderId="0" xfId="0" applyNumberFormat="1" applyFont="1" applyAlignment="1">
      <alignment horizontal="right" vertical="top"/>
    </xf>
    <xf numFmtId="165" fontId="24" fillId="0" borderId="0" xfId="0" applyNumberFormat="1" applyFont="1" applyAlignment="1">
      <alignment horizontal="right" vertical="top"/>
    </xf>
    <xf numFmtId="3" fontId="24" fillId="0" borderId="0" xfId="0" applyNumberFormat="1" applyFont="1" applyAlignment="1">
      <alignment horizontal="right" vertical="top"/>
    </xf>
    <xf numFmtId="0" fontId="26" fillId="0" borderId="0" xfId="0" applyFont="1" applyAlignment="1">
      <alignment horizontal="right" vertical="center"/>
    </xf>
    <xf numFmtId="0" fontId="26" fillId="0" borderId="0" xfId="0" applyFont="1" applyAlignment="1">
      <alignment horizontal="left" vertical="center" wrapText="1"/>
    </xf>
    <xf numFmtId="0" fontId="20" fillId="0" borderId="0" xfId="7"/>
    <xf numFmtId="167" fontId="37" fillId="0" borderId="0" xfId="7" applyNumberFormat="1" applyFont="1" applyAlignment="1">
      <alignment vertical="center"/>
    </xf>
    <xf numFmtId="0" fontId="42" fillId="0" borderId="0" xfId="7" applyFont="1"/>
    <xf numFmtId="0" fontId="19" fillId="0" borderId="0" xfId="9"/>
    <xf numFmtId="0" fontId="50" fillId="0" borderId="0" xfId="0" applyFont="1" applyAlignment="1">
      <alignment horizontal="left" vertical="top"/>
    </xf>
    <xf numFmtId="0" fontId="50" fillId="0" borderId="0" xfId="0" applyFont="1"/>
    <xf numFmtId="0" fontId="52" fillId="0" borderId="0" xfId="0" applyFont="1" applyAlignment="1">
      <alignment horizontal="left" vertical="center"/>
    </xf>
    <xf numFmtId="0" fontId="53" fillId="0" borderId="0" xfId="10" applyFont="1"/>
    <xf numFmtId="0" fontId="54" fillId="0" borderId="0" xfId="10" applyFont="1"/>
    <xf numFmtId="1" fontId="53" fillId="0" borderId="0" xfId="11" applyNumberFormat="1" applyFont="1" applyAlignment="1">
      <alignment vertical="top"/>
    </xf>
    <xf numFmtId="0" fontId="54" fillId="0" borderId="0" xfId="10" applyFont="1" applyAlignment="1">
      <alignment horizontal="left" vertical="top" wrapText="1" indent="1"/>
    </xf>
    <xf numFmtId="0" fontId="56" fillId="3" borderId="0" xfId="10" applyFont="1" applyFill="1"/>
    <xf numFmtId="0" fontId="54" fillId="3" borderId="4" xfId="10" applyFont="1" applyFill="1" applyBorder="1" applyAlignment="1">
      <alignment horizontal="left" vertical="top" wrapText="1" indent="1"/>
    </xf>
    <xf numFmtId="3" fontId="53" fillId="3" borderId="0" xfId="11" applyNumberFormat="1" applyFont="1" applyFill="1" applyAlignment="1">
      <alignment horizontal="right"/>
    </xf>
    <xf numFmtId="167" fontId="53" fillId="3" borderId="0" xfId="11" applyNumberFormat="1" applyFont="1" applyFill="1" applyAlignment="1">
      <alignment horizontal="right"/>
    </xf>
    <xf numFmtId="0" fontId="54" fillId="3" borderId="0" xfId="10" applyFont="1" applyFill="1" applyAlignment="1">
      <alignment horizontal="left" vertical="top" wrapText="1" indent="1"/>
    </xf>
    <xf numFmtId="0" fontId="57" fillId="2" borderId="0" xfId="10" applyFont="1" applyFill="1" applyAlignment="1">
      <alignment horizontal="left" vertical="top" wrapText="1"/>
    </xf>
    <xf numFmtId="0" fontId="54" fillId="3" borderId="5" xfId="10" applyFont="1" applyFill="1" applyBorder="1" applyAlignment="1">
      <alignment horizontal="right" wrapText="1"/>
    </xf>
    <xf numFmtId="0" fontId="54" fillId="0" borderId="4" xfId="10" applyFont="1" applyBorder="1" applyAlignment="1">
      <alignment wrapText="1"/>
    </xf>
    <xf numFmtId="0" fontId="53" fillId="3" borderId="0" xfId="10" applyFont="1" applyFill="1"/>
    <xf numFmtId="0" fontId="61" fillId="0" borderId="0" xfId="12" applyFont="1" applyFill="1" applyAlignment="1" applyProtection="1"/>
    <xf numFmtId="0" fontId="60" fillId="0" borderId="0" xfId="12" applyFill="1" applyAlignment="1" applyProtection="1"/>
    <xf numFmtId="0" fontId="54" fillId="0" borderId="0" xfId="10" applyFont="1" applyAlignment="1">
      <alignment horizontal="left"/>
    </xf>
    <xf numFmtId="0" fontId="53" fillId="0" borderId="0" xfId="10" applyFont="1" applyAlignment="1">
      <alignment horizontal="left"/>
    </xf>
    <xf numFmtId="0" fontId="53" fillId="0" borderId="0" xfId="10" quotePrefix="1" applyFont="1" applyAlignment="1">
      <alignment horizontal="left" indent="3"/>
    </xf>
    <xf numFmtId="0" fontId="54" fillId="3" borderId="0" xfId="10" applyFont="1" applyFill="1" applyAlignment="1">
      <alignment wrapText="1"/>
    </xf>
    <xf numFmtId="0" fontId="59" fillId="4" borderId="0" xfId="10" applyFont="1" applyFill="1" applyAlignment="1">
      <alignment vertical="top"/>
    </xf>
    <xf numFmtId="0" fontId="58" fillId="4" borderId="0" xfId="10" applyFont="1" applyFill="1"/>
    <xf numFmtId="0" fontId="26" fillId="0" borderId="0" xfId="0" applyFont="1" applyAlignment="1">
      <alignment horizontal="center" vertical="center" wrapText="1"/>
    </xf>
    <xf numFmtId="3" fontId="50" fillId="0" borderId="0" xfId="10" applyNumberFormat="1"/>
    <xf numFmtId="0" fontId="16" fillId="0" borderId="0" xfId="17"/>
    <xf numFmtId="0" fontId="16" fillId="2" borderId="9" xfId="17" applyFill="1" applyBorder="1"/>
    <xf numFmtId="164" fontId="41" fillId="2" borderId="10" xfId="18" applyFont="1" applyFill="1" applyBorder="1" applyAlignment="1">
      <alignment horizontal="right"/>
    </xf>
    <xf numFmtId="0" fontId="16" fillId="5" borderId="11" xfId="17" applyFill="1" applyBorder="1"/>
    <xf numFmtId="0" fontId="16" fillId="2" borderId="11" xfId="17" applyFill="1" applyBorder="1"/>
    <xf numFmtId="0" fontId="16" fillId="0" borderId="11" xfId="17" applyBorder="1"/>
    <xf numFmtId="164" fontId="41" fillId="2" borderId="12" xfId="18" applyFont="1" applyFill="1" applyBorder="1" applyAlignment="1">
      <alignment horizontal="right"/>
    </xf>
    <xf numFmtId="0" fontId="16" fillId="2" borderId="13" xfId="17" applyFill="1" applyBorder="1"/>
    <xf numFmtId="0" fontId="16" fillId="0" borderId="0" xfId="17" applyAlignment="1">
      <alignment vertical="center"/>
    </xf>
    <xf numFmtId="0" fontId="66" fillId="2" borderId="0" xfId="1" applyFont="1" applyFill="1"/>
    <xf numFmtId="2" fontId="41" fillId="2" borderId="12" xfId="17" applyNumberFormat="1" applyFont="1" applyFill="1" applyBorder="1" applyAlignment="1">
      <alignment horizontal="center" vertical="center" wrapText="1"/>
    </xf>
    <xf numFmtId="2" fontId="41" fillId="2" borderId="13" xfId="17" applyNumberFormat="1" applyFont="1" applyFill="1" applyBorder="1" applyAlignment="1">
      <alignment horizontal="center" vertical="center" wrapText="1"/>
    </xf>
    <xf numFmtId="3" fontId="0" fillId="0" borderId="0" xfId="0" applyNumberFormat="1"/>
    <xf numFmtId="167" fontId="19" fillId="0" borderId="0" xfId="9" applyNumberFormat="1"/>
    <xf numFmtId="0" fontId="69" fillId="2" borderId="0" xfId="19" applyFill="1"/>
    <xf numFmtId="0" fontId="63" fillId="2" borderId="0" xfId="19" applyFont="1" applyFill="1"/>
    <xf numFmtId="0" fontId="63" fillId="2" borderId="0" xfId="19" applyFont="1" applyFill="1" applyAlignment="1">
      <alignment horizontal="right"/>
    </xf>
    <xf numFmtId="3" fontId="0" fillId="2" borderId="0" xfId="20" applyNumberFormat="1" applyFont="1" applyFill="1"/>
    <xf numFmtId="0" fontId="24" fillId="2" borderId="0" xfId="2" applyFill="1"/>
    <xf numFmtId="0" fontId="64" fillId="2" borderId="0" xfId="20" applyFont="1" applyFill="1"/>
    <xf numFmtId="0" fontId="26" fillId="2" borderId="0" xfId="20" applyFont="1" applyFill="1"/>
    <xf numFmtId="0" fontId="60" fillId="2" borderId="0" xfId="12" applyFill="1" applyAlignment="1" applyProtection="1"/>
    <xf numFmtId="0" fontId="70" fillId="2" borderId="0" xfId="19" applyFont="1" applyFill="1"/>
    <xf numFmtId="0" fontId="69" fillId="0" borderId="0" xfId="17" applyFont="1"/>
    <xf numFmtId="0" fontId="69" fillId="0" borderId="0" xfId="17" applyFont="1" applyAlignment="1">
      <alignment horizontal="right"/>
    </xf>
    <xf numFmtId="3" fontId="69" fillId="0" borderId="0" xfId="17" applyNumberFormat="1" applyFont="1" applyAlignment="1">
      <alignment horizontal="right"/>
    </xf>
    <xf numFmtId="165" fontId="69" fillId="0" borderId="0" xfId="17" applyNumberFormat="1" applyFont="1" applyAlignment="1">
      <alignment horizontal="right"/>
    </xf>
    <xf numFmtId="0" fontId="15" fillId="0" borderId="0" xfId="23"/>
    <xf numFmtId="3" fontId="15" fillId="0" borderId="0" xfId="23" applyNumberFormat="1"/>
    <xf numFmtId="0" fontId="67" fillId="0" borderId="7" xfId="23" applyFont="1" applyBorder="1"/>
    <xf numFmtId="0" fontId="62" fillId="0" borderId="1" xfId="5" applyFont="1" applyBorder="1" applyAlignment="1">
      <alignment horizontal="center" vertical="center" wrapText="1"/>
    </xf>
    <xf numFmtId="0" fontId="26" fillId="0" borderId="6" xfId="24" applyFont="1" applyBorder="1" applyAlignment="1">
      <alignment horizontal="center" vertical="center"/>
    </xf>
    <xf numFmtId="0" fontId="68" fillId="0" borderId="0" xfId="24" applyFont="1" applyAlignment="1"/>
    <xf numFmtId="0" fontId="68" fillId="0" borderId="4" xfId="24" applyFont="1" applyBorder="1" applyAlignment="1"/>
    <xf numFmtId="0" fontId="13" fillId="12" borderId="0" xfId="32" applyFont="1" applyFill="1"/>
    <xf numFmtId="0" fontId="41" fillId="12" borderId="0" xfId="32" applyFont="1" applyFill="1"/>
    <xf numFmtId="15" fontId="41" fillId="12" borderId="0" xfId="32" applyNumberFormat="1" applyFont="1" applyFill="1"/>
    <xf numFmtId="0" fontId="87" fillId="12" borderId="0" xfId="32" applyFont="1" applyFill="1"/>
    <xf numFmtId="0" fontId="12" fillId="12" borderId="0" xfId="32" applyFont="1" applyFill="1" applyAlignment="1">
      <alignment vertical="top" wrapText="1"/>
    </xf>
    <xf numFmtId="0" fontId="89" fillId="12" borderId="0" xfId="1" applyFont="1" applyFill="1" applyAlignment="1">
      <alignment vertical="top" wrapText="1"/>
    </xf>
    <xf numFmtId="15" fontId="41" fillId="12" borderId="0" xfId="32" applyNumberFormat="1" applyFont="1" applyFill="1" applyAlignment="1">
      <alignment horizontal="left"/>
    </xf>
    <xf numFmtId="0" fontId="89" fillId="12" borderId="0" xfId="1" applyFont="1" applyFill="1" applyAlignment="1">
      <alignment vertical="top"/>
    </xf>
    <xf numFmtId="9" fontId="0" fillId="0" borderId="0" xfId="0" applyNumberFormat="1"/>
    <xf numFmtId="0" fontId="62" fillId="0" borderId="10" xfId="5" applyFont="1" applyBorder="1" applyAlignment="1">
      <alignment horizontal="center" vertical="center" wrapText="1"/>
    </xf>
    <xf numFmtId="0" fontId="81" fillId="0" borderId="1" xfId="0" applyFont="1" applyBorder="1"/>
    <xf numFmtId="0" fontId="83" fillId="9" borderId="1" xfId="0" applyFont="1" applyFill="1" applyBorder="1" applyAlignment="1">
      <alignment horizontal="right" vertical="center"/>
    </xf>
    <xf numFmtId="0" fontId="83" fillId="9" borderId="1" xfId="0" applyFont="1" applyFill="1" applyBorder="1" applyAlignment="1">
      <alignment horizontal="right" vertical="center" wrapText="1"/>
    </xf>
    <xf numFmtId="0" fontId="81" fillId="0" borderId="2" xfId="0" applyFont="1" applyBorder="1"/>
    <xf numFmtId="0" fontId="94" fillId="0" borderId="0" xfId="0" applyFont="1"/>
    <xf numFmtId="0" fontId="37" fillId="0" borderId="0" xfId="0" applyFont="1" applyAlignment="1">
      <alignment horizontal="left" vertical="center"/>
    </xf>
    <xf numFmtId="0" fontId="0" fillId="10" borderId="0" xfId="0" applyFill="1"/>
    <xf numFmtId="49" fontId="0" fillId="0" borderId="0" xfId="0" applyNumberFormat="1"/>
    <xf numFmtId="0" fontId="11" fillId="5" borderId="11" xfId="17" applyFont="1" applyFill="1" applyBorder="1"/>
    <xf numFmtId="0" fontId="89" fillId="12" borderId="0" xfId="1" applyFont="1" applyFill="1" applyBorder="1" applyAlignment="1">
      <alignment vertical="top" wrapText="1"/>
    </xf>
    <xf numFmtId="3" fontId="56" fillId="3" borderId="0" xfId="10" applyNumberFormat="1" applyFont="1" applyFill="1"/>
    <xf numFmtId="165" fontId="53" fillId="3" borderId="0" xfId="11" applyNumberFormat="1" applyFont="1" applyFill="1" applyAlignment="1">
      <alignment horizontal="right"/>
    </xf>
    <xf numFmtId="3" fontId="96" fillId="0" borderId="0" xfId="0" applyNumberFormat="1" applyFont="1" applyAlignment="1">
      <alignment horizontal="right" vertical="top"/>
    </xf>
    <xf numFmtId="0" fontId="97" fillId="0" borderId="0" xfId="0" applyFont="1" applyAlignment="1">
      <alignment horizontal="center" vertical="center" wrapText="1"/>
    </xf>
    <xf numFmtId="0" fontId="96" fillId="0" borderId="0" xfId="0" applyFont="1" applyAlignment="1">
      <alignment horizontal="left" vertical="top"/>
    </xf>
    <xf numFmtId="0" fontId="0" fillId="0" borderId="0" xfId="0" quotePrefix="1"/>
    <xf numFmtId="0" fontId="24" fillId="0" borderId="0" xfId="9" applyFont="1" applyAlignment="1">
      <alignment horizontal="left" vertical="top"/>
    </xf>
    <xf numFmtId="0" fontId="26" fillId="0" borderId="0" xfId="9" applyFont="1" applyAlignment="1">
      <alignment horizontal="left" vertical="center" wrapText="1"/>
    </xf>
    <xf numFmtId="0" fontId="26" fillId="0" borderId="0" xfId="9" applyFont="1" applyAlignment="1">
      <alignment horizontal="right" vertical="center"/>
    </xf>
    <xf numFmtId="3" fontId="24" fillId="0" borderId="0" xfId="9" applyNumberFormat="1" applyFont="1" applyAlignment="1">
      <alignment horizontal="right" vertical="top"/>
    </xf>
    <xf numFmtId="165" fontId="24" fillId="0" borderId="0" xfId="9" applyNumberFormat="1" applyFont="1" applyAlignment="1">
      <alignment horizontal="right" vertical="top"/>
    </xf>
    <xf numFmtId="3" fontId="19" fillId="0" borderId="0" xfId="9" applyNumberFormat="1"/>
    <xf numFmtId="0" fontId="94" fillId="15" borderId="19" xfId="0" applyFont="1" applyFill="1" applyBorder="1" applyAlignment="1">
      <alignment vertical="center" wrapText="1"/>
    </xf>
    <xf numFmtId="0" fontId="94" fillId="15" borderId="20" xfId="0" applyFont="1" applyFill="1" applyBorder="1" applyAlignment="1">
      <alignment vertical="center" wrapText="1"/>
    </xf>
    <xf numFmtId="0" fontId="94" fillId="15" borderId="21" xfId="0" applyFont="1" applyFill="1" applyBorder="1" applyAlignment="1">
      <alignment vertical="center" wrapText="1"/>
    </xf>
    <xf numFmtId="0" fontId="94" fillId="15" borderId="22" xfId="0" applyFont="1" applyFill="1" applyBorder="1" applyAlignment="1">
      <alignment vertical="center" wrapText="1"/>
    </xf>
    <xf numFmtId="0" fontId="94" fillId="15" borderId="23" xfId="0" applyFont="1" applyFill="1" applyBorder="1" applyAlignment="1">
      <alignment vertical="center" wrapText="1"/>
    </xf>
    <xf numFmtId="0" fontId="94" fillId="15" borderId="24" xfId="0" applyFont="1" applyFill="1" applyBorder="1" applyAlignment="1">
      <alignment vertical="center" wrapText="1"/>
    </xf>
    <xf numFmtId="0" fontId="94" fillId="15" borderId="25" xfId="0" applyFont="1" applyFill="1" applyBorder="1" applyAlignment="1">
      <alignment vertical="center" wrapText="1"/>
    </xf>
    <xf numFmtId="0" fontId="94" fillId="15" borderId="26" xfId="0" applyFont="1" applyFill="1" applyBorder="1" applyAlignment="1">
      <alignment vertical="center" wrapText="1"/>
    </xf>
    <xf numFmtId="0" fontId="54" fillId="0" borderId="0" xfId="10" applyFont="1" applyAlignment="1">
      <alignment wrapText="1"/>
    </xf>
    <xf numFmtId="0" fontId="54" fillId="3" borderId="0" xfId="10" applyFont="1" applyFill="1" applyAlignment="1">
      <alignment horizontal="right" wrapText="1"/>
    </xf>
    <xf numFmtId="0" fontId="0" fillId="2" borderId="0" xfId="0" applyFill="1" applyProtection="1">
      <protection locked="0"/>
    </xf>
    <xf numFmtId="3" fontId="24" fillId="0" borderId="0" xfId="38" applyNumberFormat="1"/>
    <xf numFmtId="0" fontId="41" fillId="12" borderId="0" xfId="32" applyFont="1" applyFill="1" applyAlignment="1">
      <alignment vertical="top" wrapText="1"/>
    </xf>
    <xf numFmtId="0" fontId="41" fillId="12" borderId="0" xfId="32" applyFont="1" applyFill="1" applyAlignment="1">
      <alignment vertical="top"/>
    </xf>
    <xf numFmtId="0" fontId="8" fillId="12" borderId="0" xfId="32" applyFont="1" applyFill="1"/>
    <xf numFmtId="0" fontId="7" fillId="12" borderId="0" xfId="32" applyFont="1" applyFill="1"/>
    <xf numFmtId="0" fontId="46" fillId="16" borderId="3" xfId="32" applyFont="1" applyFill="1" applyBorder="1" applyAlignment="1">
      <alignment vertical="center"/>
    </xf>
    <xf numFmtId="0" fontId="101" fillId="17" borderId="2" xfId="32" applyFont="1" applyFill="1" applyBorder="1" applyAlignment="1">
      <alignment vertical="top" wrapText="1"/>
    </xf>
    <xf numFmtId="0" fontId="101" fillId="17" borderId="6" xfId="32" applyFont="1" applyFill="1" applyBorder="1" applyAlignment="1">
      <alignment vertical="top" wrapText="1"/>
    </xf>
    <xf numFmtId="0" fontId="101" fillId="17" borderId="3" xfId="32" applyFont="1" applyFill="1" applyBorder="1"/>
    <xf numFmtId="0" fontId="0" fillId="2" borderId="0" xfId="0" applyFill="1"/>
    <xf numFmtId="167" fontId="79" fillId="0" borderId="8" xfId="5" applyNumberFormat="1" applyFont="1" applyBorder="1" applyAlignment="1" applyProtection="1">
      <alignment horizontal="center" vertical="center"/>
      <protection locked="0" hidden="1"/>
    </xf>
    <xf numFmtId="3" fontId="79" fillId="0" borderId="8" xfId="5" applyNumberFormat="1" applyFont="1" applyBorder="1" applyAlignment="1" applyProtection="1">
      <alignment horizontal="center" vertical="center"/>
      <protection locked="0" hidden="1"/>
    </xf>
    <xf numFmtId="0" fontId="81" fillId="2" borderId="0" xfId="0" applyFont="1" applyFill="1" applyProtection="1">
      <protection locked="0" hidden="1"/>
    </xf>
    <xf numFmtId="167" fontId="79" fillId="0" borderId="8" xfId="5" applyNumberFormat="1" applyFont="1" applyBorder="1" applyAlignment="1" applyProtection="1">
      <alignment horizontal="center" vertical="center"/>
      <protection hidden="1"/>
    </xf>
    <xf numFmtId="0" fontId="91" fillId="0" borderId="8" xfId="5" applyFont="1" applyBorder="1" applyAlignment="1" applyProtection="1">
      <alignment horizontal="center" vertical="center"/>
      <protection hidden="1"/>
    </xf>
    <xf numFmtId="0" fontId="91" fillId="0" borderId="1" xfId="5" applyFont="1" applyBorder="1" applyAlignment="1" applyProtection="1">
      <alignment horizontal="center" vertical="center"/>
      <protection hidden="1"/>
    </xf>
    <xf numFmtId="3" fontId="79" fillId="0" borderId="8" xfId="5" applyNumberFormat="1" applyFont="1" applyBorder="1" applyAlignment="1" applyProtection="1">
      <alignment horizontal="center" vertical="center"/>
      <protection hidden="1"/>
    </xf>
    <xf numFmtId="0" fontId="79" fillId="2" borderId="0" xfId="5" applyFont="1" applyFill="1" applyProtection="1">
      <protection locked="0"/>
    </xf>
    <xf numFmtId="0" fontId="93" fillId="2" borderId="0" xfId="5" applyFont="1" applyFill="1" applyAlignment="1" applyProtection="1">
      <alignment vertical="center"/>
      <protection locked="0"/>
    </xf>
    <xf numFmtId="0" fontId="79" fillId="2" borderId="0" xfId="5" applyFont="1" applyFill="1" applyAlignment="1" applyProtection="1">
      <alignment vertical="center"/>
      <protection locked="0"/>
    </xf>
    <xf numFmtId="0" fontId="81" fillId="2" borderId="0" xfId="0" applyFont="1" applyFill="1" applyProtection="1">
      <protection locked="0"/>
    </xf>
    <xf numFmtId="0" fontId="79" fillId="2" borderId="0" xfId="5" applyFont="1" applyFill="1" applyAlignment="1" applyProtection="1">
      <alignment horizontal="center" vertical="center"/>
      <protection locked="0"/>
    </xf>
    <xf numFmtId="0" fontId="78" fillId="2" borderId="0" xfId="5" applyFont="1" applyFill="1" applyAlignment="1" applyProtection="1">
      <alignment horizontal="right" vertical="center"/>
      <protection locked="0"/>
    </xf>
    <xf numFmtId="0" fontId="78" fillId="2" borderId="1" xfId="5" applyFont="1" applyFill="1" applyBorder="1" applyAlignment="1" applyProtection="1">
      <alignment horizontal="center" vertical="center"/>
      <protection locked="0"/>
    </xf>
    <xf numFmtId="166" fontId="79" fillId="2" borderId="0" xfId="5" applyNumberFormat="1" applyFont="1" applyFill="1" applyAlignment="1" applyProtection="1">
      <alignment horizontal="center" vertical="center"/>
      <protection locked="0"/>
    </xf>
    <xf numFmtId="9" fontId="83" fillId="13" borderId="1" xfId="5" applyNumberFormat="1" applyFont="1" applyFill="1" applyBorder="1" applyAlignment="1" applyProtection="1">
      <alignment horizontal="center" vertical="center"/>
      <protection locked="0"/>
    </xf>
    <xf numFmtId="0" fontId="83" fillId="9" borderId="16" xfId="5" applyFont="1" applyFill="1" applyBorder="1" applyAlignment="1" applyProtection="1">
      <alignment horizontal="center" vertical="center" wrapText="1"/>
      <protection locked="0"/>
    </xf>
    <xf numFmtId="0" fontId="79" fillId="0" borderId="0" xfId="5" applyFont="1" applyProtection="1">
      <protection locked="0"/>
    </xf>
    <xf numFmtId="0" fontId="79" fillId="2" borderId="0" xfId="5" applyFont="1" applyFill="1" applyAlignment="1" applyProtection="1">
      <alignment horizontal="center" vertical="center" wrapText="1"/>
      <protection locked="0"/>
    </xf>
    <xf numFmtId="0" fontId="83" fillId="9" borderId="27" xfId="5" applyFont="1" applyFill="1" applyBorder="1" applyAlignment="1" applyProtection="1">
      <alignment horizontal="left" vertical="center" wrapText="1"/>
      <protection locked="0"/>
    </xf>
    <xf numFmtId="0" fontId="38" fillId="10" borderId="16" xfId="5" applyFont="1" applyFill="1" applyBorder="1" applyAlignment="1" applyProtection="1">
      <alignment horizontal="center" vertical="center" wrapText="1"/>
      <protection locked="0"/>
    </xf>
    <xf numFmtId="0" fontId="92" fillId="9" borderId="16" xfId="5" applyFont="1" applyFill="1" applyBorder="1" applyAlignment="1" applyProtection="1">
      <alignment horizontal="center" vertical="center" wrapText="1"/>
      <protection locked="0"/>
    </xf>
    <xf numFmtId="0" fontId="83" fillId="9" borderId="18" xfId="5" applyFont="1" applyFill="1" applyBorder="1" applyAlignment="1" applyProtection="1">
      <alignment horizontal="left" vertical="center" wrapText="1"/>
      <protection locked="0"/>
    </xf>
    <xf numFmtId="0" fontId="78" fillId="18" borderId="1" xfId="5" applyFont="1" applyFill="1" applyBorder="1" applyAlignment="1" applyProtection="1">
      <alignment horizontal="center" vertical="center" wrapText="1"/>
      <protection locked="0"/>
    </xf>
    <xf numFmtId="0" fontId="79" fillId="0" borderId="0" xfId="5" applyFont="1" applyAlignment="1" applyProtection="1">
      <alignment horizontal="center" vertical="center" wrapText="1"/>
      <protection locked="0"/>
    </xf>
    <xf numFmtId="0" fontId="77" fillId="0" borderId="1" xfId="1" applyFont="1" applyFill="1" applyBorder="1" applyAlignment="1" applyProtection="1">
      <alignment vertical="center" wrapText="1"/>
      <protection locked="0"/>
    </xf>
    <xf numFmtId="0" fontId="79" fillId="0" borderId="8" xfId="5" applyFont="1" applyBorder="1" applyAlignment="1" applyProtection="1">
      <alignment horizontal="center" vertical="center"/>
      <protection locked="0"/>
    </xf>
    <xf numFmtId="165" fontId="79" fillId="2" borderId="1" xfId="5" applyNumberFormat="1" applyFont="1" applyFill="1" applyBorder="1" applyAlignment="1" applyProtection="1">
      <alignment horizontal="center" vertical="center"/>
      <protection locked="0"/>
    </xf>
    <xf numFmtId="167" fontId="79" fillId="2" borderId="1" xfId="5" applyNumberFormat="1" applyFont="1" applyFill="1" applyBorder="1" applyAlignment="1" applyProtection="1">
      <alignment horizontal="center" vertical="center"/>
      <protection locked="0"/>
    </xf>
    <xf numFmtId="3" fontId="79" fillId="2" borderId="1" xfId="5" applyNumberFormat="1" applyFont="1" applyFill="1" applyBorder="1" applyAlignment="1" applyProtection="1">
      <alignment horizontal="center" vertical="center"/>
      <protection locked="0"/>
    </xf>
    <xf numFmtId="166" fontId="79" fillId="2" borderId="1" xfId="5" applyNumberFormat="1" applyFont="1" applyFill="1" applyBorder="1" applyAlignment="1" applyProtection="1">
      <alignment horizontal="center" vertical="center"/>
      <protection locked="0"/>
    </xf>
    <xf numFmtId="49" fontId="79" fillId="2" borderId="0" xfId="5" applyNumberFormat="1" applyFont="1" applyFill="1" applyProtection="1">
      <protection locked="0"/>
    </xf>
    <xf numFmtId="0" fontId="79" fillId="0" borderId="0" xfId="5" applyFont="1" applyAlignment="1" applyProtection="1">
      <alignment horizontal="center" vertical="center"/>
      <protection locked="0"/>
    </xf>
    <xf numFmtId="0" fontId="79" fillId="0" borderId="0" xfId="5" applyFont="1" applyAlignment="1" applyProtection="1">
      <alignment vertical="center"/>
      <protection locked="0"/>
    </xf>
    <xf numFmtId="0" fontId="81" fillId="0" borderId="0" xfId="0" applyFont="1" applyProtection="1">
      <protection locked="0"/>
    </xf>
    <xf numFmtId="0" fontId="86" fillId="2" borderId="0" xfId="0" applyFont="1" applyFill="1" applyProtection="1">
      <protection locked="0"/>
    </xf>
    <xf numFmtId="0" fontId="34" fillId="2" borderId="0" xfId="0" applyFont="1" applyFill="1" applyAlignment="1" applyProtection="1">
      <alignment horizontal="left" vertical="top"/>
      <protection locked="0"/>
    </xf>
    <xf numFmtId="0" fontId="35" fillId="2" borderId="0" xfId="0" applyFont="1" applyFill="1" applyProtection="1">
      <protection locked="0"/>
    </xf>
    <xf numFmtId="0" fontId="38" fillId="0" borderId="0" xfId="1" applyFont="1" applyFill="1" applyBorder="1" applyAlignment="1" applyProtection="1">
      <alignment vertical="center"/>
      <protection locked="0"/>
    </xf>
    <xf numFmtId="0" fontId="36" fillId="2" borderId="0" xfId="1" applyFont="1" applyFill="1" applyProtection="1">
      <protection locked="0"/>
    </xf>
    <xf numFmtId="0" fontId="85" fillId="2" borderId="0" xfId="0" applyFont="1" applyFill="1" applyAlignment="1" applyProtection="1">
      <alignment horizontal="left" vertical="top"/>
      <protection locked="0"/>
    </xf>
    <xf numFmtId="0" fontId="80" fillId="2" borderId="0" xfId="1" applyFont="1" applyFill="1" applyProtection="1">
      <protection locked="0"/>
    </xf>
    <xf numFmtId="0" fontId="38" fillId="2" borderId="0" xfId="0" applyFont="1" applyFill="1" applyAlignment="1" applyProtection="1">
      <alignment horizontal="left" vertical="center" wrapText="1"/>
      <protection locked="0"/>
    </xf>
    <xf numFmtId="0" fontId="38" fillId="2" borderId="0" xfId="0" applyFont="1" applyFill="1" applyAlignment="1" applyProtection="1">
      <alignment horizontal="center" vertical="center" wrapText="1"/>
      <protection locked="0"/>
    </xf>
    <xf numFmtId="0" fontId="83" fillId="9" borderId="1" xfId="0" applyFont="1" applyFill="1" applyBorder="1" applyAlignment="1" applyProtection="1">
      <alignment horizontal="left" vertical="center"/>
      <protection locked="0"/>
    </xf>
    <xf numFmtId="0" fontId="38" fillId="10" borderId="1" xfId="0" applyFont="1" applyFill="1" applyBorder="1" applyAlignment="1" applyProtection="1">
      <alignment horizontal="left" vertical="center"/>
      <protection locked="0"/>
    </xf>
    <xf numFmtId="0" fontId="83" fillId="9" borderId="1" xfId="0" applyFont="1" applyFill="1" applyBorder="1" applyAlignment="1" applyProtection="1">
      <alignment horizontal="center" vertical="center"/>
      <protection locked="0"/>
    </xf>
    <xf numFmtId="0" fontId="83" fillId="9" borderId="1"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left" vertical="center"/>
      <protection locked="0"/>
    </xf>
    <xf numFmtId="167" fontId="77" fillId="2" borderId="1" xfId="0" applyNumberFormat="1" applyFont="1" applyFill="1" applyBorder="1" applyAlignment="1" applyProtection="1">
      <alignment horizontal="center" vertical="center"/>
      <protection locked="0"/>
    </xf>
    <xf numFmtId="3" fontId="77" fillId="2" borderId="1" xfId="0" applyNumberFormat="1" applyFont="1" applyFill="1" applyBorder="1" applyAlignment="1" applyProtection="1">
      <alignment horizontal="center" vertical="center"/>
      <protection locked="0"/>
    </xf>
    <xf numFmtId="167" fontId="77" fillId="5" borderId="1" xfId="0" applyNumberFormat="1" applyFont="1" applyFill="1" applyBorder="1" applyAlignment="1" applyProtection="1">
      <alignment horizontal="center" vertical="center"/>
      <protection locked="0"/>
    </xf>
    <xf numFmtId="3" fontId="77" fillId="5" borderId="1" xfId="0" applyNumberFormat="1" applyFont="1" applyFill="1" applyBorder="1" applyAlignment="1" applyProtection="1">
      <alignment horizontal="center" vertical="center"/>
      <protection locked="0"/>
    </xf>
    <xf numFmtId="0" fontId="38" fillId="2" borderId="1" xfId="0" applyFont="1" applyFill="1" applyBorder="1" applyAlignment="1" applyProtection="1">
      <alignment horizontal="left" vertical="center"/>
      <protection locked="0"/>
    </xf>
    <xf numFmtId="0" fontId="77" fillId="2" borderId="0" xfId="0" applyFont="1" applyFill="1" applyAlignment="1" applyProtection="1">
      <alignment horizontal="left" vertical="top"/>
      <protection locked="0"/>
    </xf>
    <xf numFmtId="165" fontId="77" fillId="2" borderId="0" xfId="0" applyNumberFormat="1" applyFont="1" applyFill="1" applyAlignment="1" applyProtection="1">
      <alignment horizontal="center" vertical="top"/>
      <protection locked="0"/>
    </xf>
    <xf numFmtId="3" fontId="81" fillId="2" borderId="0" xfId="0" applyNumberFormat="1" applyFont="1" applyFill="1" applyProtection="1">
      <protection locked="0"/>
    </xf>
    <xf numFmtId="3" fontId="86" fillId="2" borderId="0" xfId="0" applyNumberFormat="1" applyFont="1" applyFill="1" applyProtection="1">
      <protection locked="0"/>
    </xf>
    <xf numFmtId="0" fontId="84" fillId="2" borderId="0" xfId="0" applyFont="1" applyFill="1" applyProtection="1">
      <protection locked="0"/>
    </xf>
    <xf numFmtId="165" fontId="77" fillId="2" borderId="0" xfId="0" applyNumberFormat="1" applyFont="1" applyFill="1" applyAlignment="1" applyProtection="1">
      <alignment horizontal="center" vertical="center"/>
      <protection locked="0"/>
    </xf>
    <xf numFmtId="166" fontId="81" fillId="2" borderId="0" xfId="0" applyNumberFormat="1" applyFont="1" applyFill="1" applyProtection="1">
      <protection locked="0"/>
    </xf>
    <xf numFmtId="0" fontId="82" fillId="2" borderId="1" xfId="0" applyFont="1" applyFill="1" applyBorder="1" applyAlignment="1" applyProtection="1">
      <alignment horizontal="center"/>
      <protection locked="0"/>
    </xf>
    <xf numFmtId="3" fontId="38" fillId="5" borderId="1" xfId="0" applyNumberFormat="1" applyFont="1" applyFill="1" applyBorder="1" applyAlignment="1" applyProtection="1">
      <alignment horizontal="center" vertical="center" wrapText="1"/>
      <protection locked="0"/>
    </xf>
    <xf numFmtId="0" fontId="38" fillId="8" borderId="1" xfId="0" applyFont="1" applyFill="1" applyBorder="1" applyAlignment="1" applyProtection="1">
      <alignment horizontal="center" vertical="center" wrapText="1"/>
      <protection locked="0"/>
    </xf>
    <xf numFmtId="165" fontId="77" fillId="2" borderId="1" xfId="0" applyNumberFormat="1" applyFont="1" applyFill="1" applyBorder="1" applyAlignment="1" applyProtection="1">
      <alignment horizontal="center" vertical="center"/>
      <protection locked="0"/>
    </xf>
    <xf numFmtId="0" fontId="35" fillId="2" borderId="0" xfId="0" applyFont="1" applyFill="1" applyAlignment="1" applyProtection="1">
      <alignment vertical="center"/>
      <protection locked="0"/>
    </xf>
    <xf numFmtId="17" fontId="83" fillId="9" borderId="1" xfId="0" applyNumberFormat="1"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83" fillId="9" borderId="1" xfId="0" applyFont="1" applyFill="1" applyBorder="1" applyAlignment="1" applyProtection="1">
      <alignment vertical="center"/>
      <protection locked="0"/>
    </xf>
    <xf numFmtId="0" fontId="82" fillId="2" borderId="0" xfId="0" applyFont="1" applyFill="1" applyAlignment="1" applyProtection="1">
      <alignment vertical="center"/>
      <protection locked="0"/>
    </xf>
    <xf numFmtId="0" fontId="81" fillId="0" borderId="0" xfId="0" applyFont="1" applyAlignment="1" applyProtection="1">
      <alignment vertical="center"/>
      <protection locked="0"/>
    </xf>
    <xf numFmtId="0" fontId="78" fillId="10" borderId="1" xfId="0" applyFont="1" applyFill="1" applyBorder="1" applyAlignment="1" applyProtection="1">
      <alignment horizontal="center" vertical="center" wrapText="1"/>
      <protection locked="0"/>
    </xf>
    <xf numFmtId="0" fontId="38" fillId="14" borderId="1" xfId="0" applyFont="1" applyFill="1" applyBorder="1" applyAlignment="1" applyProtection="1">
      <alignment horizontal="right" vertical="center"/>
      <protection locked="0"/>
    </xf>
    <xf numFmtId="0" fontId="38" fillId="14" borderId="1" xfId="0" applyFont="1" applyFill="1" applyBorder="1" applyAlignment="1" applyProtection="1">
      <alignment horizontal="right" vertical="center" wrapText="1"/>
      <protection locked="0"/>
    </xf>
    <xf numFmtId="167" fontId="81" fillId="0" borderId="1" xfId="0" applyNumberFormat="1" applyFont="1" applyBorder="1" applyAlignment="1" applyProtection="1">
      <alignment horizontal="center" vertical="center"/>
      <protection locked="0" hidden="1"/>
    </xf>
    <xf numFmtId="167" fontId="77" fillId="0" borderId="1" xfId="0" applyNumberFormat="1" applyFont="1" applyBorder="1" applyAlignment="1" applyProtection="1">
      <alignment horizontal="right" vertical="center"/>
      <protection locked="0" hidden="1"/>
    </xf>
    <xf numFmtId="3" fontId="81" fillId="2" borderId="1" xfId="0" applyNumberFormat="1" applyFont="1" applyFill="1" applyBorder="1" applyAlignment="1" applyProtection="1">
      <alignment horizontal="right" vertical="center"/>
      <protection locked="0" hidden="1"/>
    </xf>
    <xf numFmtId="3" fontId="77" fillId="0" borderId="1" xfId="0" applyNumberFormat="1" applyFont="1" applyBorder="1" applyAlignment="1" applyProtection="1">
      <alignment horizontal="right" vertical="center"/>
      <protection locked="0" hidden="1"/>
    </xf>
    <xf numFmtId="3" fontId="81" fillId="0" borderId="1" xfId="0" applyNumberFormat="1" applyFont="1" applyBorder="1" applyAlignment="1" applyProtection="1">
      <alignment horizontal="center" vertical="center"/>
      <protection locked="0" hidden="1"/>
    </xf>
    <xf numFmtId="165" fontId="81" fillId="0" borderId="1" xfId="0" applyNumberFormat="1" applyFont="1" applyBorder="1" applyAlignment="1" applyProtection="1">
      <alignment horizontal="center" vertical="center"/>
      <protection locked="0" hidden="1"/>
    </xf>
    <xf numFmtId="165" fontId="77" fillId="0" borderId="1" xfId="0" applyNumberFormat="1" applyFont="1" applyBorder="1" applyAlignment="1" applyProtection="1">
      <alignment horizontal="right" vertical="center"/>
      <protection locked="0" hidden="1"/>
    </xf>
    <xf numFmtId="0" fontId="77" fillId="2" borderId="1" xfId="0" applyFont="1" applyFill="1" applyBorder="1" applyAlignment="1" applyProtection="1">
      <alignment horizontal="left" vertical="center"/>
      <protection locked="0" hidden="1"/>
    </xf>
    <xf numFmtId="167" fontId="77" fillId="2" borderId="1" xfId="0" applyNumberFormat="1" applyFont="1" applyFill="1" applyBorder="1" applyAlignment="1" applyProtection="1">
      <alignment horizontal="center" vertical="center"/>
      <protection locked="0" hidden="1"/>
    </xf>
    <xf numFmtId="3" fontId="77" fillId="2" borderId="1" xfId="0" applyNumberFormat="1" applyFont="1" applyFill="1" applyBorder="1" applyAlignment="1" applyProtection="1">
      <alignment horizontal="center" vertical="center"/>
      <protection locked="0" hidden="1"/>
    </xf>
    <xf numFmtId="167" fontId="77" fillId="5" borderId="1" xfId="0" applyNumberFormat="1" applyFont="1" applyFill="1" applyBorder="1" applyAlignment="1" applyProtection="1">
      <alignment horizontal="center" vertical="center"/>
      <protection locked="0" hidden="1"/>
    </xf>
    <xf numFmtId="3" fontId="77" fillId="5" borderId="1" xfId="0" applyNumberFormat="1" applyFont="1" applyFill="1" applyBorder="1" applyAlignment="1" applyProtection="1">
      <alignment horizontal="center" vertical="center"/>
      <protection locked="0" hidden="1"/>
    </xf>
    <xf numFmtId="167" fontId="77" fillId="8" borderId="1" xfId="0" applyNumberFormat="1" applyFont="1" applyFill="1" applyBorder="1" applyAlignment="1" applyProtection="1">
      <alignment horizontal="center" vertical="center"/>
      <protection locked="0" hidden="1"/>
    </xf>
    <xf numFmtId="3" fontId="77" fillId="8" borderId="1" xfId="0" applyNumberFormat="1" applyFont="1" applyFill="1" applyBorder="1" applyAlignment="1" applyProtection="1">
      <alignment horizontal="center" vertical="center"/>
      <protection locked="0" hidden="1"/>
    </xf>
    <xf numFmtId="0" fontId="77" fillId="2" borderId="0" xfId="0" applyFont="1" applyFill="1" applyAlignment="1" applyProtection="1">
      <alignment horizontal="left" vertical="center"/>
      <protection locked="0" hidden="1"/>
    </xf>
    <xf numFmtId="3" fontId="77" fillId="2" borderId="0" xfId="0" applyNumberFormat="1" applyFont="1" applyFill="1" applyAlignment="1" applyProtection="1">
      <alignment horizontal="center" vertical="center"/>
      <protection locked="0" hidden="1"/>
    </xf>
    <xf numFmtId="166" fontId="77" fillId="2" borderId="0" xfId="0" applyNumberFormat="1" applyFont="1" applyFill="1" applyAlignment="1" applyProtection="1">
      <alignment horizontal="center" vertical="center"/>
      <protection locked="0" hidden="1"/>
    </xf>
    <xf numFmtId="0" fontId="38" fillId="2" borderId="1" xfId="0" applyFont="1" applyFill="1" applyBorder="1" applyAlignment="1" applyProtection="1">
      <alignment horizontal="left" vertical="center"/>
      <protection locked="0" hidden="1"/>
    </xf>
    <xf numFmtId="49" fontId="77" fillId="2" borderId="1" xfId="0" applyNumberFormat="1" applyFont="1" applyFill="1" applyBorder="1" applyAlignment="1" applyProtection="1">
      <alignment horizontal="left" vertical="center"/>
      <protection locked="0" hidden="1"/>
    </xf>
    <xf numFmtId="166" fontId="77" fillId="5" borderId="1" xfId="0" applyNumberFormat="1" applyFont="1" applyFill="1" applyBorder="1" applyAlignment="1" applyProtection="1">
      <alignment horizontal="center" vertical="center"/>
      <protection locked="0" hidden="1"/>
    </xf>
    <xf numFmtId="165" fontId="77" fillId="5" borderId="1" xfId="0" applyNumberFormat="1" applyFont="1" applyFill="1" applyBorder="1" applyAlignment="1" applyProtection="1">
      <alignment horizontal="center" vertical="center"/>
      <protection locked="0" hidden="1"/>
    </xf>
    <xf numFmtId="166" fontId="77" fillId="8" borderId="1" xfId="0" applyNumberFormat="1" applyFont="1" applyFill="1" applyBorder="1" applyAlignment="1" applyProtection="1">
      <alignment horizontal="center" vertical="center"/>
      <protection locked="0" hidden="1"/>
    </xf>
    <xf numFmtId="165" fontId="77" fillId="2" borderId="0" xfId="0" applyNumberFormat="1" applyFont="1" applyFill="1" applyAlignment="1" applyProtection="1">
      <alignment horizontal="center" vertical="center"/>
      <protection locked="0" hidden="1"/>
    </xf>
    <xf numFmtId="49" fontId="77" fillId="2" borderId="0" xfId="0" applyNumberFormat="1" applyFont="1" applyFill="1" applyAlignment="1" applyProtection="1">
      <alignment horizontal="left"/>
      <protection locked="0" hidden="1"/>
    </xf>
    <xf numFmtId="167" fontId="77" fillId="2" borderId="0" xfId="0" applyNumberFormat="1" applyFont="1" applyFill="1" applyAlignment="1" applyProtection="1">
      <alignment horizontal="center" vertical="center"/>
      <protection locked="0" hidden="1"/>
    </xf>
    <xf numFmtId="165" fontId="77" fillId="2" borderId="1" xfId="0" applyNumberFormat="1" applyFont="1" applyFill="1" applyBorder="1" applyAlignment="1" applyProtection="1">
      <alignment horizontal="center" vertical="center"/>
      <protection locked="0" hidden="1"/>
    </xf>
    <xf numFmtId="0" fontId="103" fillId="0" borderId="0" xfId="39" applyFont="1" applyFill="1" applyBorder="1" applyAlignment="1">
      <alignment vertical="center"/>
    </xf>
    <xf numFmtId="0" fontId="62" fillId="16" borderId="2" xfId="32" applyFont="1" applyFill="1" applyBorder="1" applyAlignment="1">
      <alignment vertical="center"/>
    </xf>
    <xf numFmtId="2" fontId="41" fillId="2" borderId="1" xfId="0" applyNumberFormat="1" applyFont="1" applyFill="1" applyBorder="1" applyAlignment="1">
      <alignment horizontal="center" vertical="center" wrapText="1"/>
    </xf>
    <xf numFmtId="2" fontId="41" fillId="2" borderId="6" xfId="0" applyNumberFormat="1" applyFont="1" applyFill="1" applyBorder="1" applyAlignment="1">
      <alignment horizontal="center" vertical="center" wrapText="1"/>
    </xf>
    <xf numFmtId="3" fontId="24" fillId="0" borderId="0" xfId="0" applyNumberFormat="1" applyFont="1" applyAlignment="1">
      <alignment horizontal="right"/>
    </xf>
    <xf numFmtId="165" fontId="24" fillId="0" borderId="0" xfId="0" applyNumberFormat="1" applyFont="1" applyAlignment="1">
      <alignment horizontal="right"/>
    </xf>
    <xf numFmtId="0" fontId="49" fillId="0" borderId="0" xfId="32"/>
    <xf numFmtId="0" fontId="24" fillId="0" borderId="0" xfId="32" applyFont="1" applyAlignment="1">
      <alignment horizontal="left" vertical="top"/>
    </xf>
    <xf numFmtId="3" fontId="24" fillId="0" borderId="0" xfId="32" applyNumberFormat="1" applyFont="1" applyAlignment="1">
      <alignment horizontal="right" vertical="top"/>
    </xf>
    <xf numFmtId="165" fontId="24" fillId="0" borderId="0" xfId="32" applyNumberFormat="1" applyFont="1" applyAlignment="1">
      <alignment horizontal="right" vertical="top"/>
    </xf>
    <xf numFmtId="0" fontId="64" fillId="6" borderId="0" xfId="2" applyFont="1" applyFill="1" applyAlignment="1">
      <alignment vertical="center"/>
    </xf>
    <xf numFmtId="0" fontId="24" fillId="0" borderId="0" xfId="0" applyFont="1" applyAlignment="1">
      <alignment horizontal="left"/>
    </xf>
    <xf numFmtId="0" fontId="24" fillId="0" borderId="0" xfId="32" applyFont="1"/>
    <xf numFmtId="165" fontId="104" fillId="0" borderId="0" xfId="0" applyNumberFormat="1" applyFont="1" applyAlignment="1">
      <alignment horizontal="right"/>
    </xf>
    <xf numFmtId="0" fontId="105" fillId="0" borderId="0" xfId="0" applyFont="1" applyAlignment="1">
      <alignment horizontal="left" vertical="center" wrapText="1"/>
    </xf>
    <xf numFmtId="0" fontId="105" fillId="0" borderId="0" xfId="0" applyFont="1" applyAlignment="1">
      <alignment horizontal="right" vertical="center"/>
    </xf>
    <xf numFmtId="0" fontId="104" fillId="0" borderId="0" xfId="0" applyFont="1" applyAlignment="1">
      <alignment horizontal="left"/>
    </xf>
    <xf numFmtId="3" fontId="104" fillId="0" borderId="0" xfId="0" applyNumberFormat="1" applyFont="1" applyAlignment="1">
      <alignment horizontal="right"/>
    </xf>
    <xf numFmtId="164" fontId="16" fillId="0" borderId="0" xfId="17" applyNumberFormat="1"/>
    <xf numFmtId="170" fontId="77" fillId="2" borderId="1" xfId="0" applyNumberFormat="1" applyFont="1" applyFill="1" applyBorder="1" applyAlignment="1" applyProtection="1">
      <alignment horizontal="center" vertical="center"/>
      <protection locked="0" hidden="1"/>
    </xf>
    <xf numFmtId="170" fontId="77" fillId="5" borderId="1" xfId="0" applyNumberFormat="1" applyFont="1" applyFill="1" applyBorder="1" applyAlignment="1" applyProtection="1">
      <alignment horizontal="center" vertical="center"/>
      <protection locked="0" hidden="1"/>
    </xf>
    <xf numFmtId="170" fontId="77" fillId="8" borderId="1" xfId="0" applyNumberFormat="1" applyFont="1" applyFill="1" applyBorder="1" applyAlignment="1" applyProtection="1">
      <alignment horizontal="center" vertical="center"/>
      <protection locked="0" hidden="1"/>
    </xf>
    <xf numFmtId="170" fontId="77" fillId="2" borderId="1" xfId="0" applyNumberFormat="1" applyFont="1" applyFill="1" applyBorder="1" applyAlignment="1" applyProtection="1">
      <alignment horizontal="center" vertical="center"/>
      <protection locked="0"/>
    </xf>
    <xf numFmtId="0" fontId="106" fillId="2" borderId="0" xfId="0" applyFont="1" applyFill="1" applyAlignment="1">
      <alignment vertical="center"/>
    </xf>
    <xf numFmtId="0" fontId="81" fillId="2" borderId="0" xfId="0" applyFont="1" applyFill="1"/>
    <xf numFmtId="0" fontId="78" fillId="17" borderId="29" xfId="0" applyFont="1" applyFill="1" applyBorder="1" applyAlignment="1">
      <alignment horizontal="left" vertical="center" wrapText="1"/>
    </xf>
    <xf numFmtId="0" fontId="78" fillId="17" borderId="30" xfId="0" applyFont="1" applyFill="1" applyBorder="1" applyAlignment="1">
      <alignment horizontal="left" vertical="center" wrapText="1"/>
    </xf>
    <xf numFmtId="0" fontId="78" fillId="17" borderId="31" xfId="0" applyFont="1" applyFill="1" applyBorder="1" applyAlignment="1">
      <alignment horizontal="left" vertical="center" wrapText="1"/>
    </xf>
    <xf numFmtId="0" fontId="78" fillId="2" borderId="29" xfId="0" applyFont="1" applyFill="1" applyBorder="1" applyAlignment="1">
      <alignment horizontal="left" vertical="center" wrapText="1"/>
    </xf>
    <xf numFmtId="0" fontId="78" fillId="2" borderId="30" xfId="0" applyFont="1" applyFill="1" applyBorder="1" applyAlignment="1">
      <alignment horizontal="left" vertical="center" wrapText="1"/>
    </xf>
    <xf numFmtId="0" fontId="78" fillId="2" borderId="31" xfId="0" applyFont="1" applyFill="1" applyBorder="1" applyAlignment="1">
      <alignment horizontal="left" vertical="center" wrapText="1"/>
    </xf>
    <xf numFmtId="0" fontId="107" fillId="2" borderId="32" xfId="0" applyFont="1" applyFill="1" applyBorder="1" applyAlignment="1">
      <alignment vertical="center" wrapText="1"/>
    </xf>
    <xf numFmtId="0" fontId="107" fillId="2" borderId="19" xfId="0" applyFont="1" applyFill="1" applyBorder="1" applyAlignment="1">
      <alignment vertical="center" wrapText="1"/>
    </xf>
    <xf numFmtId="0" fontId="107" fillId="2" borderId="21" xfId="0" applyFont="1" applyFill="1" applyBorder="1" applyAlignment="1">
      <alignment vertical="center" wrapText="1"/>
    </xf>
    <xf numFmtId="0" fontId="107" fillId="2" borderId="22" xfId="0" applyFont="1" applyFill="1" applyBorder="1" applyAlignment="1">
      <alignment vertical="center" wrapText="1"/>
    </xf>
    <xf numFmtId="0" fontId="107" fillId="2" borderId="20" xfId="0" applyFont="1" applyFill="1" applyBorder="1" applyAlignment="1">
      <alignment vertical="center" wrapText="1"/>
    </xf>
    <xf numFmtId="0" fontId="107" fillId="2" borderId="23" xfId="0" applyFont="1" applyFill="1" applyBorder="1" applyAlignment="1">
      <alignment vertical="center" wrapText="1"/>
    </xf>
    <xf numFmtId="0" fontId="107" fillId="2" borderId="24" xfId="0" applyFont="1" applyFill="1" applyBorder="1" applyAlignment="1">
      <alignment vertical="center" wrapText="1"/>
    </xf>
    <xf numFmtId="0" fontId="107" fillId="2" borderId="25" xfId="0" applyFont="1" applyFill="1" applyBorder="1" applyAlignment="1">
      <alignment vertical="center" wrapText="1"/>
    </xf>
    <xf numFmtId="0" fontId="107" fillId="2" borderId="26" xfId="0" applyFont="1" applyFill="1" applyBorder="1" applyAlignment="1">
      <alignment vertical="center" wrapText="1"/>
    </xf>
    <xf numFmtId="17" fontId="79" fillId="0" borderId="8" xfId="5" applyNumberFormat="1" applyFont="1" applyBorder="1" applyAlignment="1" applyProtection="1">
      <alignment horizontal="center" vertical="center"/>
      <protection locked="0"/>
    </xf>
    <xf numFmtId="0" fontId="6" fillId="12" borderId="0" xfId="32" applyFont="1" applyFill="1"/>
    <xf numFmtId="0" fontId="105" fillId="0" borderId="0" xfId="0" applyFont="1" applyAlignment="1">
      <alignment horizontal="center" vertical="center" wrapText="1"/>
    </xf>
    <xf numFmtId="0" fontId="24" fillId="0" borderId="0" xfId="0" applyFont="1" applyAlignment="1">
      <alignment vertical="top"/>
    </xf>
    <xf numFmtId="3" fontId="104" fillId="0" borderId="0" xfId="0" applyNumberFormat="1" applyFont="1" applyAlignment="1">
      <alignment vertical="top"/>
    </xf>
    <xf numFmtId="165" fontId="104" fillId="0" borderId="0" xfId="0" applyNumberFormat="1" applyFont="1" applyAlignment="1">
      <alignment vertical="top"/>
    </xf>
    <xf numFmtId="3" fontId="24" fillId="0" borderId="0" xfId="32" applyNumberFormat="1" applyFont="1" applyAlignment="1">
      <alignment vertical="top"/>
    </xf>
    <xf numFmtId="3" fontId="104" fillId="0" borderId="0" xfId="0" applyNumberFormat="1" applyFont="1" applyAlignment="1">
      <alignment horizontal="left"/>
    </xf>
    <xf numFmtId="3" fontId="24" fillId="0" borderId="0" xfId="0" applyNumberFormat="1" applyFont="1" applyAlignment="1">
      <alignment horizontal="left"/>
    </xf>
    <xf numFmtId="0" fontId="77" fillId="0" borderId="8" xfId="1" applyFont="1" applyFill="1" applyBorder="1" applyAlignment="1" applyProtection="1">
      <alignment vertical="center" wrapText="1"/>
      <protection locked="0"/>
    </xf>
    <xf numFmtId="3" fontId="50" fillId="10" borderId="0" xfId="10" applyNumberFormat="1" applyFill="1"/>
    <xf numFmtId="165" fontId="24" fillId="10" borderId="0" xfId="0" applyNumberFormat="1" applyFont="1" applyFill="1" applyAlignment="1">
      <alignment horizontal="right" vertical="top"/>
    </xf>
    <xf numFmtId="3" fontId="24" fillId="10" borderId="0" xfId="0" applyNumberFormat="1" applyFont="1" applyFill="1" applyAlignment="1">
      <alignment horizontal="right" vertical="top"/>
    </xf>
    <xf numFmtId="167" fontId="30" fillId="10" borderId="0" xfId="0" applyNumberFormat="1" applyFont="1" applyFill="1" applyAlignment="1">
      <alignment horizontal="right" vertical="top"/>
    </xf>
    <xf numFmtId="0" fontId="26" fillId="0" borderId="34" xfId="61" applyFont="1" applyBorder="1" applyAlignment="1">
      <alignment vertical="center"/>
      <protection locked="0"/>
    </xf>
    <xf numFmtId="0" fontId="117" fillId="0" borderId="35" xfId="0" applyFont="1" applyBorder="1" applyProtection="1">
      <protection locked="0"/>
    </xf>
    <xf numFmtId="0" fontId="0" fillId="0" borderId="36" xfId="0" applyBorder="1" applyProtection="1">
      <protection locked="0"/>
    </xf>
    <xf numFmtId="49" fontId="118" fillId="19" borderId="0" xfId="28" applyNumberFormat="1" applyFont="1" applyFill="1" applyBorder="1" applyAlignment="1">
      <alignment horizontal="left" vertical="center" wrapText="1"/>
      <protection locked="0"/>
    </xf>
    <xf numFmtId="0" fontId="117" fillId="21" borderId="38" xfId="62" applyFont="1" applyFill="1" applyBorder="1">
      <protection locked="0"/>
    </xf>
    <xf numFmtId="0" fontId="74" fillId="0" borderId="0" xfId="24" applyFont="1" applyAlignment="1"/>
    <xf numFmtId="1" fontId="74" fillId="0" borderId="0" xfId="24" applyNumberFormat="1" applyFont="1" applyAlignment="1"/>
    <xf numFmtId="0" fontId="89" fillId="0" borderId="0" xfId="0" applyFont="1"/>
    <xf numFmtId="3" fontId="30" fillId="10" borderId="0" xfId="0" applyNumberFormat="1" applyFont="1" applyFill="1" applyAlignment="1">
      <alignment horizontal="right" vertical="top"/>
    </xf>
    <xf numFmtId="165" fontId="50" fillId="10" borderId="0" xfId="10" applyNumberFormat="1" applyFill="1"/>
    <xf numFmtId="3" fontId="53" fillId="10" borderId="0" xfId="11" applyNumberFormat="1" applyFont="1" applyFill="1" applyAlignment="1">
      <alignment horizontal="right"/>
    </xf>
    <xf numFmtId="167" fontId="53" fillId="10" borderId="0" xfId="11" applyNumberFormat="1" applyFont="1" applyFill="1" applyAlignment="1">
      <alignment horizontal="right"/>
    </xf>
    <xf numFmtId="0" fontId="49" fillId="10" borderId="0" xfId="32" applyFill="1"/>
    <xf numFmtId="164" fontId="41" fillId="10" borderId="10" xfId="18" applyFont="1" applyFill="1" applyBorder="1" applyAlignment="1">
      <alignment horizontal="right"/>
    </xf>
    <xf numFmtId="4" fontId="50" fillId="10" borderId="0" xfId="10" applyNumberFormat="1" applyFill="1"/>
    <xf numFmtId="0" fontId="24" fillId="10" borderId="0" xfId="0" applyFont="1" applyFill="1" applyAlignment="1">
      <alignment horizontal="left" vertical="top"/>
    </xf>
    <xf numFmtId="0" fontId="69" fillId="10" borderId="0" xfId="19" applyFill="1"/>
    <xf numFmtId="0" fontId="69" fillId="10" borderId="0" xfId="17" applyFont="1" applyFill="1" applyAlignment="1">
      <alignment horizontal="right"/>
    </xf>
    <xf numFmtId="3" fontId="69" fillId="10" borderId="0" xfId="17" applyNumberFormat="1" applyFont="1" applyFill="1" applyAlignment="1">
      <alignment horizontal="right"/>
    </xf>
    <xf numFmtId="165" fontId="69" fillId="10" borderId="0" xfId="17" applyNumberFormat="1" applyFont="1" applyFill="1" applyAlignment="1">
      <alignment horizontal="right"/>
    </xf>
    <xf numFmtId="0" fontId="119" fillId="2" borderId="0" xfId="1" applyFont="1" applyFill="1" applyProtection="1">
      <protection locked="0"/>
    </xf>
    <xf numFmtId="0" fontId="119" fillId="0" borderId="0" xfId="1" applyFont="1" applyFill="1" applyProtection="1">
      <protection locked="0"/>
    </xf>
    <xf numFmtId="0" fontId="119" fillId="2" borderId="0" xfId="1" applyFont="1" applyFill="1"/>
    <xf numFmtId="0" fontId="119" fillId="2" borderId="0" xfId="1" applyFont="1" applyFill="1" applyBorder="1" applyAlignment="1" applyProtection="1">
      <alignment horizontal="left" vertical="center"/>
      <protection locked="0"/>
    </xf>
    <xf numFmtId="0" fontId="120" fillId="0" borderId="0" xfId="0" applyFont="1" applyAlignment="1">
      <alignment horizontal="right" vertical="center"/>
    </xf>
    <xf numFmtId="3" fontId="121" fillId="0" borderId="0" xfId="0" applyNumberFormat="1" applyFont="1" applyAlignment="1">
      <alignment horizontal="right"/>
    </xf>
    <xf numFmtId="165" fontId="121" fillId="0" borderId="0" xfId="0" applyNumberFormat="1" applyFont="1" applyAlignment="1">
      <alignment horizontal="right"/>
    </xf>
    <xf numFmtId="167" fontId="24" fillId="0" borderId="0" xfId="0" applyNumberFormat="1" applyFont="1" applyAlignment="1">
      <alignment horizontal="right" vertical="top"/>
    </xf>
    <xf numFmtId="3" fontId="122" fillId="0" borderId="0" xfId="0" applyNumberFormat="1" applyFont="1" applyAlignment="1">
      <alignment horizontal="right"/>
    </xf>
    <xf numFmtId="0" fontId="123" fillId="0" borderId="0" xfId="0" applyFont="1"/>
    <xf numFmtId="2" fontId="0" fillId="0" borderId="0" xfId="0" applyNumberFormat="1"/>
    <xf numFmtId="167" fontId="24" fillId="10" borderId="0" xfId="0" applyNumberFormat="1" applyFont="1" applyFill="1" applyAlignment="1">
      <alignment horizontal="right" vertical="top"/>
    </xf>
    <xf numFmtId="0" fontId="36" fillId="0" borderId="0" xfId="1" applyFont="1" applyFill="1" applyProtection="1">
      <protection locked="0"/>
    </xf>
    <xf numFmtId="166" fontId="24" fillId="0" borderId="0" xfId="0" applyNumberFormat="1" applyFont="1" applyAlignment="1">
      <alignment horizontal="right" vertical="top"/>
    </xf>
    <xf numFmtId="0" fontId="24" fillId="0" borderId="0" xfId="24" applyAlignment="1"/>
    <xf numFmtId="0" fontId="23" fillId="0" borderId="0" xfId="24" applyFont="1" applyAlignment="1"/>
    <xf numFmtId="0" fontId="24" fillId="0" borderId="7" xfId="24" applyBorder="1" applyAlignment="1"/>
    <xf numFmtId="0" fontId="74" fillId="0" borderId="7" xfId="24" applyFont="1" applyBorder="1" applyAlignment="1">
      <alignment horizontal="center" vertical="center" wrapText="1"/>
    </xf>
    <xf numFmtId="17" fontId="74" fillId="10" borderId="7" xfId="24" applyNumberFormat="1" applyFont="1" applyFill="1" applyBorder="1" applyAlignment="1">
      <alignment horizontal="center" vertical="center" wrapText="1"/>
    </xf>
    <xf numFmtId="0" fontId="24" fillId="0" borderId="4" xfId="24" applyBorder="1" applyAlignment="1"/>
    <xf numFmtId="0" fontId="24" fillId="0" borderId="4" xfId="24" applyBorder="1" applyAlignment="1">
      <alignment horizontal="center" vertical="center"/>
    </xf>
    <xf numFmtId="0" fontId="74" fillId="0" borderId="4" xfId="24" applyFont="1" applyBorder="1" applyAlignment="1">
      <alignment horizontal="center" wrapText="1"/>
    </xf>
    <xf numFmtId="17" fontId="74" fillId="0" borderId="4" xfId="24" applyNumberFormat="1" applyFont="1" applyBorder="1" applyAlignment="1">
      <alignment horizontal="center" wrapText="1"/>
    </xf>
    <xf numFmtId="0" fontId="24" fillId="0" borderId="0" xfId="24" applyAlignment="1">
      <alignment wrapText="1"/>
    </xf>
    <xf numFmtId="3" fontId="24" fillId="10" borderId="0" xfId="26" applyNumberFormat="1" applyFont="1" applyFill="1" applyAlignment="1">
      <alignment horizontal="right" vertical="center"/>
    </xf>
    <xf numFmtId="165" fontId="24" fillId="10" borderId="0" xfId="26" applyNumberFormat="1" applyFont="1" applyFill="1" applyAlignment="1">
      <alignment horizontal="right" vertical="center"/>
    </xf>
    <xf numFmtId="3" fontId="24" fillId="0" borderId="0" xfId="26" applyNumberFormat="1" applyFont="1" applyAlignment="1">
      <alignment horizontal="right" vertical="center"/>
    </xf>
    <xf numFmtId="3" fontId="24" fillId="0" borderId="0" xfId="27" applyNumberFormat="1" applyFont="1"/>
    <xf numFmtId="3" fontId="26" fillId="0" borderId="0" xfId="25" applyNumberFormat="1" applyFont="1"/>
    <xf numFmtId="3" fontId="24" fillId="10" borderId="0" xfId="38" applyNumberFormat="1" applyFill="1"/>
    <xf numFmtId="3" fontId="24" fillId="0" borderId="0" xfId="24" applyNumberFormat="1" applyAlignment="1"/>
    <xf numFmtId="0" fontId="118" fillId="19" borderId="0" xfId="28" applyFont="1" applyFill="1" applyBorder="1" applyAlignment="1">
      <alignment vertical="center" wrapText="1"/>
      <protection locked="0"/>
    </xf>
    <xf numFmtId="168" fontId="26" fillId="0" borderId="0" xfId="0" applyNumberFormat="1" applyFont="1" applyAlignment="1">
      <alignment horizontal="center" vertical="center" wrapText="1"/>
    </xf>
    <xf numFmtId="0" fontId="98" fillId="0" borderId="0" xfId="4" applyFont="1" applyAlignment="1">
      <alignment horizontal="left"/>
    </xf>
    <xf numFmtId="0" fontId="40" fillId="0" borderId="0" xfId="4" applyProtection="1">
      <protection locked="0"/>
    </xf>
    <xf numFmtId="0" fontId="99" fillId="0" borderId="0" xfId="5" applyFont="1" applyAlignment="1">
      <alignment vertical="center"/>
    </xf>
    <xf numFmtId="165" fontId="0" fillId="0" borderId="0" xfId="0" applyNumberFormat="1"/>
    <xf numFmtId="3" fontId="2" fillId="0" borderId="0" xfId="23" applyNumberFormat="1" applyFont="1"/>
    <xf numFmtId="167" fontId="2" fillId="0" borderId="0" xfId="23" applyNumberFormat="1" applyFont="1"/>
    <xf numFmtId="0" fontId="2" fillId="0" borderId="0" xfId="23" applyFont="1"/>
    <xf numFmtId="165" fontId="2" fillId="0" borderId="0" xfId="23" applyNumberFormat="1" applyFont="1"/>
    <xf numFmtId="3" fontId="89" fillId="0" borderId="0" xfId="0" applyNumberFormat="1" applyFont="1" applyAlignment="1">
      <alignment horizontal="right" vertical="top"/>
    </xf>
    <xf numFmtId="165" fontId="89" fillId="0" borderId="0" xfId="0" applyNumberFormat="1" applyFont="1" applyAlignment="1">
      <alignment horizontal="right" vertical="top"/>
    </xf>
    <xf numFmtId="3" fontId="89" fillId="0" borderId="0" xfId="10" applyNumberFormat="1" applyFont="1"/>
    <xf numFmtId="167" fontId="89" fillId="0" borderId="0" xfId="0" applyNumberFormat="1" applyFont="1" applyAlignment="1">
      <alignment horizontal="right" vertical="top"/>
    </xf>
    <xf numFmtId="0" fontId="79" fillId="2" borderId="0" xfId="5" applyFont="1" applyFill="1" applyAlignment="1" applyProtection="1">
      <alignment wrapText="1"/>
      <protection locked="0"/>
    </xf>
    <xf numFmtId="0" fontId="79" fillId="0" borderId="0" xfId="5" applyFont="1" applyAlignment="1" applyProtection="1">
      <alignment wrapText="1"/>
      <protection locked="0"/>
    </xf>
    <xf numFmtId="1" fontId="26" fillId="0" borderId="0" xfId="9" applyNumberFormat="1" applyFont="1" applyAlignment="1">
      <alignment horizontal="center" vertical="center" wrapText="1"/>
    </xf>
    <xf numFmtId="0" fontId="23" fillId="0" borderId="0" xfId="32" applyFont="1" applyAlignment="1">
      <alignment horizontal="left" vertical="center"/>
    </xf>
    <xf numFmtId="0" fontId="26" fillId="0" borderId="0" xfId="32" applyFont="1" applyAlignment="1">
      <alignment horizontal="left" vertical="center" wrapText="1"/>
    </xf>
    <xf numFmtId="0" fontId="26" fillId="0" borderId="0" xfId="32" applyFont="1" applyAlignment="1">
      <alignment vertical="center" wrapText="1"/>
    </xf>
    <xf numFmtId="0" fontId="26" fillId="0" borderId="0" xfId="32" applyFont="1" applyAlignment="1">
      <alignment horizontal="right" vertical="center"/>
    </xf>
    <xf numFmtId="167" fontId="24" fillId="0" borderId="0" xfId="32" applyNumberFormat="1" applyFont="1" applyAlignment="1">
      <alignment horizontal="right" vertical="top"/>
    </xf>
    <xf numFmtId="167" fontId="49" fillId="0" borderId="0" xfId="32" applyNumberFormat="1"/>
    <xf numFmtId="0" fontId="79" fillId="0" borderId="0" xfId="5" applyFont="1" applyAlignment="1" applyProtection="1">
      <alignment horizontal="left" vertical="center" wrapText="1"/>
      <protection locked="0"/>
    </xf>
    <xf numFmtId="0" fontId="98" fillId="0" borderId="0" xfId="0" applyFont="1" applyAlignment="1">
      <alignment horizontal="left"/>
    </xf>
    <xf numFmtId="0" fontId="0" fillId="0" borderId="0" xfId="0" applyProtection="1">
      <protection locked="0"/>
    </xf>
    <xf numFmtId="1" fontId="19" fillId="0" borderId="0" xfId="9" applyNumberFormat="1"/>
    <xf numFmtId="167" fontId="24" fillId="0" borderId="0" xfId="9" applyNumberFormat="1" applyFont="1" applyAlignment="1">
      <alignment horizontal="right" vertical="top"/>
    </xf>
    <xf numFmtId="0" fontId="19" fillId="0" borderId="1" xfId="9" applyBorder="1"/>
    <xf numFmtId="0" fontId="19" fillId="0" borderId="1" xfId="9" applyBorder="1" applyAlignment="1">
      <alignment wrapText="1"/>
    </xf>
    <xf numFmtId="0" fontId="44" fillId="0" borderId="0" xfId="0" applyFont="1" applyAlignment="1">
      <alignment horizontal="left" vertical="center"/>
    </xf>
    <xf numFmtId="0" fontId="39" fillId="0" borderId="0" xfId="0" applyFont="1"/>
    <xf numFmtId="0" fontId="39" fillId="0" borderId="0" xfId="0" applyFont="1" applyAlignment="1">
      <alignment horizontal="left" vertical="top"/>
    </xf>
    <xf numFmtId="0" fontId="43" fillId="0" borderId="0" xfId="0" applyFont="1" applyAlignment="1">
      <alignment horizontal="center" vertical="center" wrapText="1"/>
    </xf>
    <xf numFmtId="0" fontId="43" fillId="0" borderId="0" xfId="0" applyFont="1" applyAlignment="1">
      <alignment horizontal="right" vertical="center"/>
    </xf>
    <xf numFmtId="165" fontId="39" fillId="0" borderId="0" xfId="0" applyNumberFormat="1" applyFont="1" applyAlignment="1">
      <alignment horizontal="right" vertical="top"/>
    </xf>
    <xf numFmtId="165" fontId="24" fillId="0" borderId="0" xfId="38" applyNumberFormat="1"/>
    <xf numFmtId="0" fontId="51"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right" vertical="center"/>
    </xf>
    <xf numFmtId="165" fontId="50" fillId="0" borderId="0" xfId="0" applyNumberFormat="1" applyFont="1" applyAlignment="1">
      <alignment horizontal="right" vertical="top"/>
    </xf>
    <xf numFmtId="3" fontId="50" fillId="0" borderId="0" xfId="0" applyNumberFormat="1" applyFont="1" applyAlignment="1">
      <alignment horizontal="right" vertical="top"/>
    </xf>
    <xf numFmtId="167" fontId="39" fillId="0" borderId="0" xfId="0" applyNumberFormat="1" applyFont="1"/>
    <xf numFmtId="0" fontId="45" fillId="0" borderId="0" xfId="6" applyFont="1"/>
    <xf numFmtId="0" fontId="21" fillId="0" borderId="0" xfId="6"/>
    <xf numFmtId="0" fontId="41" fillId="0" borderId="0" xfId="6" applyFont="1" applyAlignment="1">
      <alignment horizontal="left"/>
    </xf>
    <xf numFmtId="0" fontId="21" fillId="0" borderId="0" xfId="6" applyAlignment="1">
      <alignment horizontal="left"/>
    </xf>
    <xf numFmtId="166" fontId="21" fillId="0" borderId="0" xfId="6" applyNumberFormat="1"/>
    <xf numFmtId="0" fontId="3" fillId="0" borderId="0" xfId="6" applyFont="1" applyAlignment="1">
      <alignment horizontal="left"/>
    </xf>
    <xf numFmtId="3" fontId="21" fillId="0" borderId="0" xfId="6" applyNumberFormat="1" applyAlignment="1">
      <alignment horizontal="right"/>
    </xf>
    <xf numFmtId="3" fontId="37" fillId="0" borderId="1" xfId="0" applyNumberFormat="1" applyFont="1" applyBorder="1" applyAlignment="1">
      <alignment horizontal="center" vertical="center"/>
    </xf>
    <xf numFmtId="0" fontId="47" fillId="0" borderId="0" xfId="7" applyFont="1" applyAlignment="1">
      <alignment vertical="center"/>
    </xf>
    <xf numFmtId="0" fontId="46" fillId="0" borderId="0" xfId="7" applyFont="1" applyAlignment="1">
      <alignment vertical="center"/>
    </xf>
    <xf numFmtId="0" fontId="48" fillId="0" borderId="0" xfId="7" applyFont="1" applyAlignment="1">
      <alignment vertical="center"/>
    </xf>
    <xf numFmtId="0" fontId="47" fillId="0" borderId="0" xfId="7" applyFont="1" applyAlignment="1">
      <alignment horizontal="right" vertical="center"/>
    </xf>
    <xf numFmtId="167" fontId="89" fillId="0" borderId="0" xfId="0" applyNumberFormat="1" applyFont="1" applyAlignment="1">
      <alignment vertical="center"/>
    </xf>
    <xf numFmtId="0" fontId="83" fillId="9" borderId="18" xfId="5" applyFont="1" applyFill="1" applyBorder="1" applyAlignment="1" applyProtection="1">
      <alignment horizontal="center" vertical="center" wrapText="1"/>
      <protection locked="0"/>
    </xf>
    <xf numFmtId="17" fontId="15" fillId="0" borderId="0" xfId="23" applyNumberFormat="1"/>
    <xf numFmtId="165" fontId="15" fillId="0" borderId="0" xfId="23" applyNumberFormat="1"/>
    <xf numFmtId="3" fontId="4" fillId="0" borderId="0" xfId="23" applyNumberFormat="1" applyFont="1"/>
    <xf numFmtId="0" fontId="118" fillId="0" borderId="37" xfId="28" applyFont="1" applyFill="1" applyBorder="1" applyAlignment="1">
      <alignment horizontal="left" vertical="center" wrapText="1"/>
      <protection locked="0"/>
    </xf>
    <xf numFmtId="17" fontId="118" fillId="0" borderId="0" xfId="28" applyNumberFormat="1" applyFont="1" applyFill="1" applyBorder="1" applyAlignment="1">
      <alignment horizontal="center" vertical="center" wrapText="1"/>
      <protection locked="0"/>
    </xf>
    <xf numFmtId="0" fontId="102" fillId="0" borderId="33" xfId="39" applyFill="1"/>
    <xf numFmtId="0" fontId="99" fillId="0" borderId="39" xfId="0" applyFont="1" applyBorder="1" applyAlignment="1">
      <alignment horizontal="left" vertical="top" wrapText="1"/>
    </xf>
    <xf numFmtId="0" fontId="99" fillId="0" borderId="39" xfId="0" applyFont="1" applyBorder="1" applyAlignment="1">
      <alignment horizontal="right" vertical="top" wrapText="1"/>
    </xf>
    <xf numFmtId="49" fontId="118" fillId="0" borderId="0" xfId="28" applyNumberFormat="1" applyFont="1" applyFill="1" applyBorder="1" applyAlignment="1">
      <alignment horizontal="left" vertical="center" wrapText="1"/>
      <protection locked="0"/>
    </xf>
    <xf numFmtId="0" fontId="117" fillId="0" borderId="38" xfId="62" applyFont="1" applyFill="1" applyBorder="1">
      <protection locked="0"/>
    </xf>
    <xf numFmtId="0" fontId="99" fillId="0" borderId="0" xfId="0" applyFont="1"/>
    <xf numFmtId="3" fontId="99" fillId="0" borderId="0" xfId="0" applyNumberFormat="1" applyFont="1"/>
    <xf numFmtId="49" fontId="117" fillId="0" borderId="0" xfId="28" applyNumberFormat="1" applyFont="1" applyFill="1" applyBorder="1" applyAlignment="1">
      <alignment horizontal="left" vertical="center" wrapText="1"/>
      <protection locked="0"/>
    </xf>
    <xf numFmtId="3" fontId="122" fillId="0" borderId="0" xfId="0" applyNumberFormat="1" applyFont="1"/>
    <xf numFmtId="0" fontId="26" fillId="0" borderId="0" xfId="0" applyFont="1" applyAlignment="1">
      <alignment vertical="center" wrapText="1"/>
    </xf>
    <xf numFmtId="167" fontId="79" fillId="0" borderId="0" xfId="5" applyNumberFormat="1" applyFont="1" applyAlignment="1" applyProtection="1">
      <alignment horizontal="center" vertical="center"/>
      <protection locked="0" hidden="1"/>
    </xf>
    <xf numFmtId="167" fontId="79" fillId="0" borderId="1" xfId="5" applyNumberFormat="1" applyFont="1" applyBorder="1" applyAlignment="1" applyProtection="1">
      <alignment horizontal="center" vertical="center"/>
      <protection locked="0" hidden="1"/>
    </xf>
    <xf numFmtId="0" fontId="79" fillId="2" borderId="0" xfId="5" applyFont="1" applyFill="1" applyAlignment="1" applyProtection="1">
      <alignment horizontal="left" vertical="center" indent="1"/>
      <protection locked="0"/>
    </xf>
    <xf numFmtId="0" fontId="83" fillId="9" borderId="16" xfId="5" applyFont="1" applyFill="1" applyBorder="1" applyAlignment="1" applyProtection="1">
      <alignment horizontal="left" vertical="center" wrapText="1" indent="1"/>
      <protection locked="0"/>
    </xf>
    <xf numFmtId="0" fontId="79" fillId="0" borderId="8" xfId="5" applyFont="1" applyBorder="1" applyAlignment="1" applyProtection="1">
      <alignment horizontal="left" vertical="center" indent="1"/>
      <protection locked="0"/>
    </xf>
    <xf numFmtId="17" fontId="79" fillId="0" borderId="8" xfId="5" applyNumberFormat="1" applyFont="1" applyBorder="1" applyAlignment="1" applyProtection="1">
      <alignment horizontal="left" vertical="center" indent="1"/>
      <protection locked="0"/>
    </xf>
    <xf numFmtId="0" fontId="79" fillId="0" borderId="8" xfId="5" applyFont="1" applyBorder="1" applyAlignment="1" applyProtection="1">
      <alignment horizontal="left" vertical="center" wrapText="1" indent="1"/>
      <protection locked="0"/>
    </xf>
    <xf numFmtId="0" fontId="79" fillId="0" borderId="0" xfId="5" applyFont="1" applyAlignment="1" applyProtection="1">
      <alignment horizontal="left" vertical="center" indent="1"/>
      <protection locked="0"/>
    </xf>
    <xf numFmtId="0" fontId="79" fillId="2" borderId="0" xfId="5" applyFont="1" applyFill="1" applyAlignment="1" applyProtection="1">
      <alignment horizontal="left" indent="1"/>
      <protection locked="0"/>
    </xf>
    <xf numFmtId="0" fontId="83" fillId="9" borderId="18" xfId="5" applyFont="1" applyFill="1" applyBorder="1" applyAlignment="1" applyProtection="1">
      <alignment horizontal="left" vertical="center" wrapText="1" indent="1"/>
      <protection locked="0"/>
    </xf>
    <xf numFmtId="0" fontId="77" fillId="0" borderId="1" xfId="0" applyFont="1" applyBorder="1" applyAlignment="1" applyProtection="1">
      <alignment horizontal="left" vertical="center" wrapText="1" indent="1"/>
      <protection locked="0"/>
    </xf>
    <xf numFmtId="0" fontId="77" fillId="0" borderId="8" xfId="0" applyFont="1" applyBorder="1" applyAlignment="1" applyProtection="1">
      <alignment horizontal="left" vertical="center" wrapText="1" indent="1"/>
      <protection locked="0"/>
    </xf>
    <xf numFmtId="0" fontId="79" fillId="0" borderId="0" xfId="5" applyFont="1" applyAlignment="1" applyProtection="1">
      <alignment horizontal="left" indent="1"/>
      <protection locked="0"/>
    </xf>
    <xf numFmtId="0" fontId="93" fillId="2" borderId="0" xfId="5" applyFont="1" applyFill="1" applyAlignment="1" applyProtection="1">
      <alignment horizontal="left" vertical="center" indent="1"/>
      <protection locked="0"/>
    </xf>
    <xf numFmtId="0" fontId="83" fillId="9" borderId="27" xfId="5" applyFont="1" applyFill="1" applyBorder="1" applyAlignment="1" applyProtection="1">
      <alignment horizontal="left" vertical="center" wrapText="1" indent="1"/>
      <protection locked="0"/>
    </xf>
    <xf numFmtId="0" fontId="77" fillId="0" borderId="1" xfId="1" applyFont="1" applyFill="1" applyBorder="1" applyAlignment="1" applyProtection="1">
      <alignment horizontal="left" vertical="center" wrapText="1" indent="1"/>
      <protection locked="0"/>
    </xf>
    <xf numFmtId="0" fontId="77" fillId="0" borderId="8" xfId="1" applyFont="1" applyFill="1" applyBorder="1" applyAlignment="1" applyProtection="1">
      <alignment horizontal="left" vertical="center" wrapText="1" indent="1"/>
      <protection locked="0"/>
    </xf>
    <xf numFmtId="49" fontId="79" fillId="2" borderId="0" xfId="5" applyNumberFormat="1" applyFont="1" applyFill="1" applyAlignment="1" applyProtection="1">
      <alignment horizontal="left" indent="1"/>
      <protection locked="0"/>
    </xf>
    <xf numFmtId="0" fontId="1" fillId="12" borderId="0" xfId="32" applyFont="1" applyFill="1"/>
    <xf numFmtId="0" fontId="88" fillId="12" borderId="0" xfId="1" applyFont="1" applyFill="1" applyAlignment="1"/>
    <xf numFmtId="0" fontId="124" fillId="0" borderId="41" xfId="0" applyFont="1" applyBorder="1" applyAlignment="1">
      <alignment vertical="center" wrapText="1"/>
    </xf>
    <xf numFmtId="167" fontId="124" fillId="0" borderId="41" xfId="0" applyNumberFormat="1" applyFont="1" applyBorder="1" applyAlignment="1">
      <alignment vertical="center" wrapText="1"/>
    </xf>
    <xf numFmtId="0" fontId="125" fillId="0" borderId="41" xfId="0" applyFont="1" applyBorder="1"/>
    <xf numFmtId="3" fontId="125" fillId="0" borderId="41" xfId="0" applyNumberFormat="1" applyFont="1" applyBorder="1"/>
    <xf numFmtId="167" fontId="125" fillId="0" borderId="41" xfId="0" applyNumberFormat="1" applyFont="1" applyBorder="1"/>
    <xf numFmtId="0" fontId="124" fillId="0" borderId="41" xfId="0" applyFont="1" applyBorder="1"/>
    <xf numFmtId="3" fontId="124" fillId="0" borderId="41" xfId="0" applyNumberFormat="1" applyFont="1" applyBorder="1"/>
    <xf numFmtId="167" fontId="124" fillId="0" borderId="41" xfId="0" applyNumberFormat="1" applyFont="1" applyBorder="1"/>
    <xf numFmtId="0" fontId="125" fillId="0" borderId="42" xfId="0" applyFont="1" applyBorder="1" applyAlignment="1">
      <alignment vertical="center"/>
    </xf>
    <xf numFmtId="0" fontId="125" fillId="0" borderId="43" xfId="0" applyFont="1" applyBorder="1" applyAlignment="1">
      <alignment vertical="center"/>
    </xf>
    <xf numFmtId="0" fontId="125" fillId="0" borderId="44" xfId="0" applyFont="1" applyBorder="1" applyAlignment="1">
      <alignment vertical="center"/>
    </xf>
    <xf numFmtId="0" fontId="77" fillId="0" borderId="1" xfId="0" applyFont="1" applyBorder="1" applyAlignment="1" applyProtection="1">
      <alignment vertical="center" wrapText="1"/>
      <protection locked="0"/>
    </xf>
    <xf numFmtId="0" fontId="77" fillId="0" borderId="8" xfId="0" applyFont="1" applyBorder="1" applyAlignment="1" applyProtection="1">
      <alignment vertical="center" wrapText="1"/>
      <protection locked="0"/>
    </xf>
    <xf numFmtId="0" fontId="79" fillId="2" borderId="2" xfId="32" applyFont="1" applyFill="1" applyBorder="1" applyAlignment="1">
      <alignment horizontal="left" vertical="center" wrapText="1"/>
    </xf>
    <xf numFmtId="0" fontId="79" fillId="2" borderId="3" xfId="32" applyFont="1" applyFill="1" applyBorder="1" applyAlignment="1">
      <alignment horizontal="left" vertical="center" wrapText="1"/>
    </xf>
    <xf numFmtId="0" fontId="79" fillId="2" borderId="1" xfId="32" applyFont="1" applyFill="1" applyBorder="1" applyAlignment="1">
      <alignment horizontal="left" vertical="center"/>
    </xf>
    <xf numFmtId="0" fontId="79" fillId="2" borderId="1" xfId="32" applyFont="1" applyFill="1" applyBorder="1" applyAlignment="1">
      <alignment horizontal="left" vertical="center" wrapText="1"/>
    </xf>
    <xf numFmtId="0" fontId="79" fillId="2" borderId="2" xfId="32" applyFont="1" applyFill="1" applyBorder="1" applyAlignment="1">
      <alignment horizontal="left" vertical="center"/>
    </xf>
    <xf numFmtId="0" fontId="79" fillId="2" borderId="6" xfId="32" applyFont="1" applyFill="1" applyBorder="1" applyAlignment="1">
      <alignment horizontal="left" vertical="center"/>
    </xf>
    <xf numFmtId="0" fontId="79" fillId="2" borderId="3" xfId="32" applyFont="1" applyFill="1" applyBorder="1" applyAlignment="1">
      <alignment horizontal="left" vertical="center"/>
    </xf>
    <xf numFmtId="0" fontId="79" fillId="16" borderId="2" xfId="32" applyFont="1" applyFill="1" applyBorder="1" applyAlignment="1">
      <alignment horizontal="left" vertical="center" wrapText="1"/>
    </xf>
    <xf numFmtId="0" fontId="79" fillId="16" borderId="3" xfId="32" applyFont="1" applyFill="1" applyBorder="1" applyAlignment="1">
      <alignment horizontal="left" vertical="center" wrapText="1"/>
    </xf>
    <xf numFmtId="0" fontId="83" fillId="9" borderId="18" xfId="5" applyFont="1" applyFill="1" applyBorder="1" applyAlignment="1" applyProtection="1">
      <alignment horizontal="center" vertical="center" textRotation="90" wrapText="1"/>
      <protection locked="0"/>
    </xf>
    <xf numFmtId="0" fontId="83" fillId="9" borderId="40" xfId="5" applyFont="1" applyFill="1" applyBorder="1" applyAlignment="1" applyProtection="1">
      <alignment horizontal="center" vertical="center" textRotation="90" wrapText="1"/>
      <protection locked="0"/>
    </xf>
    <xf numFmtId="0" fontId="83" fillId="9" borderId="0" xfId="5" applyFont="1" applyFill="1" applyAlignment="1" applyProtection="1">
      <alignment horizontal="center" vertical="center" textRotation="90" wrapText="1"/>
      <protection locked="0"/>
    </xf>
    <xf numFmtId="0" fontId="83" fillId="9" borderId="17" xfId="5" applyFont="1" applyFill="1" applyBorder="1" applyAlignment="1" applyProtection="1">
      <alignment horizontal="center" vertical="center" wrapText="1"/>
      <protection locked="0"/>
    </xf>
    <xf numFmtId="49" fontId="79" fillId="2" borderId="0" xfId="5" applyNumberFormat="1" applyFont="1" applyFill="1" applyAlignment="1" applyProtection="1">
      <alignment horizontal="left" vertical="top" wrapText="1"/>
      <protection locked="0"/>
    </xf>
    <xf numFmtId="0" fontId="38" fillId="10" borderId="2" xfId="0" applyFont="1" applyFill="1" applyBorder="1" applyAlignment="1" applyProtection="1">
      <alignment horizontal="center" vertical="center" wrapText="1"/>
      <protection locked="0"/>
    </xf>
    <xf numFmtId="0" fontId="38" fillId="10" borderId="3" xfId="0" applyFont="1" applyFill="1" applyBorder="1" applyAlignment="1" applyProtection="1">
      <alignment horizontal="center" vertical="center" wrapText="1"/>
      <protection locked="0"/>
    </xf>
    <xf numFmtId="0" fontId="83" fillId="9" borderId="27" xfId="5" applyFont="1" applyFill="1" applyBorder="1" applyAlignment="1" applyProtection="1">
      <alignment horizontal="center" vertical="center" textRotation="90" wrapText="1"/>
      <protection locked="0"/>
    </xf>
    <xf numFmtId="0" fontId="83" fillId="9" borderId="28" xfId="5" applyFont="1" applyFill="1" applyBorder="1" applyAlignment="1" applyProtection="1">
      <alignment horizontal="center" vertical="center" textRotation="90" wrapText="1"/>
      <protection locked="0"/>
    </xf>
    <xf numFmtId="0" fontId="82" fillId="2" borderId="1" xfId="0" applyFont="1" applyFill="1" applyBorder="1" applyAlignment="1" applyProtection="1">
      <alignment horizontal="center"/>
      <protection locked="0"/>
    </xf>
    <xf numFmtId="3" fontId="38" fillId="5" borderId="1" xfId="0" applyNumberFormat="1" applyFont="1" applyFill="1" applyBorder="1" applyAlignment="1" applyProtection="1">
      <alignment horizontal="center" vertical="center" wrapText="1"/>
      <protection locked="0"/>
    </xf>
    <xf numFmtId="3" fontId="77" fillId="5" borderId="1" xfId="0" applyNumberFormat="1" applyFont="1" applyFill="1" applyBorder="1" applyAlignment="1" applyProtection="1">
      <alignment horizontal="center" vertical="center" wrapText="1"/>
      <protection locked="0"/>
    </xf>
    <xf numFmtId="0" fontId="38" fillId="8" borderId="1" xfId="0" applyFont="1" applyFill="1" applyBorder="1" applyAlignment="1" applyProtection="1">
      <alignment horizontal="center" vertical="center" wrapText="1"/>
      <protection locked="0"/>
    </xf>
    <xf numFmtId="0" fontId="38" fillId="11" borderId="2" xfId="1" applyFont="1" applyFill="1" applyBorder="1" applyAlignment="1" applyProtection="1">
      <alignment horizontal="center" vertical="center"/>
      <protection locked="0"/>
    </xf>
    <xf numFmtId="0" fontId="38" fillId="11" borderId="3" xfId="1" applyFont="1" applyFill="1" applyBorder="1" applyAlignment="1" applyProtection="1">
      <alignment horizontal="center" vertical="center"/>
      <protection locked="0"/>
    </xf>
    <xf numFmtId="3" fontId="38" fillId="5" borderId="2" xfId="0" applyNumberFormat="1" applyFont="1" applyFill="1" applyBorder="1" applyAlignment="1" applyProtection="1">
      <alignment horizontal="center" vertical="center" wrapText="1"/>
      <protection locked="0"/>
    </xf>
    <xf numFmtId="3" fontId="38" fillId="5" borderId="3" xfId="0" applyNumberFormat="1" applyFont="1" applyFill="1" applyBorder="1" applyAlignment="1" applyProtection="1">
      <alignment horizontal="center" vertical="center" wrapText="1"/>
      <protection locked="0"/>
    </xf>
    <xf numFmtId="0" fontId="38" fillId="8" borderId="2" xfId="0" applyFont="1" applyFill="1" applyBorder="1" applyAlignment="1" applyProtection="1">
      <alignment horizontal="center" vertical="center" wrapText="1"/>
      <protection locked="0"/>
    </xf>
    <xf numFmtId="0" fontId="38" fillId="8" borderId="3" xfId="0" applyFont="1" applyFill="1" applyBorder="1" applyAlignment="1" applyProtection="1">
      <alignment horizontal="center" vertical="center" wrapText="1"/>
      <protection locked="0"/>
    </xf>
    <xf numFmtId="0" fontId="26" fillId="0" borderId="0" xfId="0" applyFont="1" applyAlignment="1">
      <alignment horizontal="center" vertical="center" wrapText="1"/>
    </xf>
    <xf numFmtId="1" fontId="26" fillId="0" borderId="0" xfId="9" applyNumberFormat="1" applyFont="1" applyAlignment="1">
      <alignment horizontal="center" vertical="center" wrapText="1"/>
    </xf>
    <xf numFmtId="0" fontId="0" fillId="0" borderId="0" xfId="0"/>
    <xf numFmtId="0" fontId="118" fillId="19" borderId="37" xfId="28" applyFont="1" applyFill="1" applyBorder="1" applyAlignment="1">
      <alignment horizontal="left" vertical="center" wrapText="1"/>
      <protection locked="0"/>
    </xf>
    <xf numFmtId="0" fontId="0" fillId="2" borderId="0" xfId="0" applyFill="1" applyProtection="1">
      <protection locked="0"/>
    </xf>
    <xf numFmtId="0" fontId="120" fillId="0" borderId="0" xfId="0" applyFont="1" applyAlignment="1">
      <alignment horizontal="center" vertical="center" wrapText="1"/>
    </xf>
    <xf numFmtId="0" fontId="65" fillId="0" borderId="15" xfId="17" applyFont="1" applyBorder="1" applyAlignment="1">
      <alignment horizontal="center" vertical="center" wrapText="1"/>
    </xf>
    <xf numFmtId="0" fontId="65" fillId="0" borderId="6" xfId="17" applyFont="1" applyBorder="1" applyAlignment="1">
      <alignment horizontal="center" vertical="center" wrapText="1"/>
    </xf>
    <xf numFmtId="0" fontId="65" fillId="0" borderId="14" xfId="17" applyFont="1" applyBorder="1" applyAlignment="1">
      <alignment horizontal="center" vertical="center" wrapText="1"/>
    </xf>
  </cellXfs>
  <cellStyles count="63">
    <cellStyle name="% 2" xfId="20" xr:uid="{00000000-0005-0000-0000-000000000000}"/>
    <cellStyle name="cells" xfId="62" xr:uid="{FEB9FE77-E274-4B1A-8601-D2BF9317F34E}"/>
    <cellStyle name="column field" xfId="28" xr:uid="{00000000-0005-0000-0000-000001000000}"/>
    <cellStyle name="Comma 2" xfId="16" xr:uid="{00000000-0005-0000-0000-000002000000}"/>
    <cellStyle name="Comma 2 2" xfId="49" xr:uid="{EECC565E-D5B5-47B9-8FED-AE3875A4E940}"/>
    <cellStyle name="Comma 3" xfId="18" xr:uid="{00000000-0005-0000-0000-000003000000}"/>
    <cellStyle name="heading" xfId="61" xr:uid="{E1D9A0FB-728D-4BFF-965B-933960386CF4}"/>
    <cellStyle name="Heading 1" xfId="39" builtinId="16"/>
    <cellStyle name="Heading 1 2" xfId="45" xr:uid="{926232B6-EC7D-4560-AAA2-4BE769C8D487}"/>
    <cellStyle name="Heading 2 2" xfId="46" xr:uid="{DEF45BD7-A101-49C4-A784-5386050393E2}"/>
    <cellStyle name="Heading 3 2" xfId="47" xr:uid="{AA59B35D-256A-49DE-9CC9-4793D0396CB6}"/>
    <cellStyle name="Hyperlink" xfId="1" builtinId="8"/>
    <cellStyle name="Hyperlink 2" xfId="12" xr:uid="{00000000-0005-0000-0000-000005000000}"/>
    <cellStyle name="Hyperlink 2 2" xfId="42" xr:uid="{389CC4D3-1B4F-4752-97C7-DE2D397BE47A}"/>
    <cellStyle name="Hyperlink 2 2 2" xfId="57" xr:uid="{4EDFC734-1223-481D-91FF-A78E6ADE38A0}"/>
    <cellStyle name="Hyperlink 2 3" xfId="56" xr:uid="{DAC5DF99-030B-4A30-8E28-EC38C5C8C458}"/>
    <cellStyle name="Hyperlink 2 4" xfId="41" xr:uid="{CD5F0FE6-6FF5-462D-80CF-E20195469405}"/>
    <cellStyle name="Hyperlink 3" xfId="30" xr:uid="{00000000-0005-0000-0000-000006000000}"/>
    <cellStyle name="Hyperlink 3 2" xfId="50" xr:uid="{86566540-2375-4D79-9E3B-BC7F5560E2CF}"/>
    <cellStyle name="Hyperlink 4" xfId="35" xr:uid="{8BFF646D-A448-421D-AB2E-DADF422D97DC}"/>
    <cellStyle name="Hyperlink 4 2" xfId="55" xr:uid="{932CA24B-52DD-47AB-B111-37F695125412}"/>
    <cellStyle name="Hyperlink 5" xfId="37" xr:uid="{E8DC68C4-7135-49C2-9323-2E013CA031FE}"/>
    <cellStyle name="Normal" xfId="0" builtinId="0"/>
    <cellStyle name="Normal 10" xfId="21" xr:uid="{00000000-0005-0000-0000-000008000000}"/>
    <cellStyle name="Normal 10 2" xfId="51" xr:uid="{91808D59-CF8C-4D20-B21C-5EDC6690B03A}"/>
    <cellStyle name="Normal 11" xfId="23" xr:uid="{00000000-0005-0000-0000-000009000000}"/>
    <cellStyle name="Normal 12" xfId="24" xr:uid="{00000000-0005-0000-0000-00000A000000}"/>
    <cellStyle name="Normal 13" xfId="29" xr:uid="{00000000-0005-0000-0000-00000B000000}"/>
    <cellStyle name="Normal 14" xfId="31" xr:uid="{00000000-0005-0000-0000-00000C000000}"/>
    <cellStyle name="Normal 15" xfId="33" xr:uid="{00000000-0005-0000-0000-00000D000000}"/>
    <cellStyle name="Normal 16" xfId="34" xr:uid="{83BEA8F9-4C2D-42CA-8024-B0467AF9F388}"/>
    <cellStyle name="Normal 17" xfId="14" xr:uid="{00000000-0005-0000-0000-00000E000000}"/>
    <cellStyle name="Normal 18" xfId="40" xr:uid="{30A8BD35-C613-41AD-AFCE-EC6E04904B7B}"/>
    <cellStyle name="Normal 2" xfId="2" xr:uid="{00000000-0005-0000-0000-00000F000000}"/>
    <cellStyle name="Normal 2 2" xfId="4" xr:uid="{00000000-0005-0000-0000-000010000000}"/>
    <cellStyle name="Normal 2 2 2" xfId="58" xr:uid="{C8E12010-D563-4F2D-AF5A-B4F2B4ECF370}"/>
    <cellStyle name="Normal 2 3" xfId="32" xr:uid="{00000000-0005-0000-0000-000011000000}"/>
    <cellStyle name="Normal 2 4" xfId="48" xr:uid="{7359487B-75ED-4B6A-9699-9B8280D4395C}"/>
    <cellStyle name="Normal 2 7" xfId="44" xr:uid="{2CC68E48-F1C6-4751-A3B0-1A9599B95191}"/>
    <cellStyle name="Normal 2 8" xfId="43" xr:uid="{93EAA53B-8A13-4E67-825D-FFC8860AF6AA}"/>
    <cellStyle name="Normal 3" xfId="5" xr:uid="{00000000-0005-0000-0000-000012000000}"/>
    <cellStyle name="Normal 3 2" xfId="36" xr:uid="{885B8B92-944B-4015-80F5-69AC7B6080FB}"/>
    <cellStyle name="Normal 3 2 2" xfId="59" xr:uid="{6701F7AE-E5B5-45AB-A342-C30DEF25AFA3}"/>
    <cellStyle name="Normal 3 3" xfId="8" xr:uid="{00000000-0005-0000-0000-000013000000}"/>
    <cellStyle name="Normal 3 4" xfId="52" xr:uid="{9F6B5BB3-9F22-483F-A56B-67DD4ED1BF92}"/>
    <cellStyle name="Normal 4" xfId="6" xr:uid="{00000000-0005-0000-0000-000014000000}"/>
    <cellStyle name="Normal 4 2" xfId="7" xr:uid="{00000000-0005-0000-0000-000015000000}"/>
    <cellStyle name="Normal 4 3" xfId="53" xr:uid="{D325F339-CD59-43C0-9144-6C975205CC84}"/>
    <cellStyle name="Normal 5" xfId="9" xr:uid="{00000000-0005-0000-0000-000016000000}"/>
    <cellStyle name="Normal 5 2" xfId="54" xr:uid="{AD87CC71-A233-43B6-B40F-45C1E6C60E39}"/>
    <cellStyle name="Normal 6" xfId="10" xr:uid="{00000000-0005-0000-0000-000017000000}"/>
    <cellStyle name="Normal 6 2" xfId="38" xr:uid="{64618C82-DAB6-463B-BFCF-494D56EDE41B}"/>
    <cellStyle name="Normal 7" xfId="13" xr:uid="{00000000-0005-0000-0000-000018000000}"/>
    <cellStyle name="Normal 7 2" xfId="60" xr:uid="{276EF8FC-023D-44A9-85A1-6D043E7373BE}"/>
    <cellStyle name="Normal 8" xfId="17" xr:uid="{00000000-0005-0000-0000-000019000000}"/>
    <cellStyle name="Normal 9" xfId="19" xr:uid="{00000000-0005-0000-0000-00001A000000}"/>
    <cellStyle name="Normal_T4" xfId="26" xr:uid="{00000000-0005-0000-0000-00001B000000}"/>
    <cellStyle name="Normal_Table 1" xfId="11" xr:uid="{00000000-0005-0000-0000-00001C000000}"/>
    <cellStyle name="Normal_TABLE2" xfId="25" xr:uid="{00000000-0005-0000-0000-00001D000000}"/>
    <cellStyle name="Normal_TABLE4" xfId="27" xr:uid="{00000000-0005-0000-0000-00001E000000}"/>
    <cellStyle name="Percent 2" xfId="3" xr:uid="{00000000-0005-0000-0000-00001F000000}"/>
    <cellStyle name="Percent 3" xfId="15" xr:uid="{00000000-0005-0000-0000-000020000000}"/>
    <cellStyle name="Percent 4" xfId="22" xr:uid="{00000000-0005-0000-0000-000021000000}"/>
  </cellStyles>
  <dxfs count="129">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FF00"/>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4F81BD"/>
        </patternFill>
      </fill>
    </dxf>
    <dxf>
      <fill>
        <patternFill>
          <bgColor rgb="FFDCE6F1"/>
        </patternFill>
      </fill>
    </dxf>
    <dxf>
      <fill>
        <patternFill patternType="solid">
          <fgColor indexed="64"/>
          <bgColor rgb="FFB8CCE4"/>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B8CCE4"/>
        </patternFill>
      </fill>
    </dxf>
    <dxf>
      <fill>
        <patternFill>
          <bgColor rgb="FF4F81BD"/>
        </patternFill>
      </fill>
    </dxf>
    <dxf>
      <fill>
        <patternFill>
          <bgColor rgb="FFDCE6F1"/>
        </patternFill>
      </fill>
    </dxf>
    <dxf>
      <fill>
        <patternFill patternType="solid">
          <fgColor indexed="64"/>
          <bgColor rgb="FFB8CCE4"/>
        </patternFill>
      </fill>
    </dxf>
    <dxf>
      <fill>
        <patternFill>
          <bgColor rgb="FFB8CCE4"/>
        </patternFill>
      </fill>
    </dxf>
    <dxf>
      <fill>
        <patternFill>
          <bgColor rgb="FF4F81BD"/>
        </patternFill>
      </fill>
    </dxf>
    <dxf>
      <fill>
        <patternFill>
          <bgColor rgb="FFDCE6F1"/>
        </patternFill>
      </fill>
    </dxf>
    <dxf>
      <fill>
        <patternFill patternType="solid">
          <fgColor indexed="64"/>
          <bgColor rgb="FFB8CCE4"/>
        </patternFill>
      </fill>
    </dxf>
    <dxf>
      <fill>
        <patternFill>
          <bgColor rgb="FFFFFF00"/>
        </patternFill>
      </fill>
    </dxf>
    <dxf>
      <fill>
        <patternFill>
          <bgColor rgb="FFFFFF00"/>
        </patternFill>
      </fill>
    </dxf>
    <dxf>
      <fill>
        <patternFill>
          <bgColor rgb="FFB8CCE4"/>
        </patternFill>
      </fill>
    </dxf>
    <dxf>
      <fill>
        <patternFill>
          <bgColor rgb="FF4F81BD"/>
        </patternFill>
      </fill>
    </dxf>
    <dxf>
      <fill>
        <patternFill patternType="solid">
          <fgColor indexed="64"/>
          <bgColor rgb="FFB8CCE4"/>
        </patternFill>
      </fill>
    </dxf>
    <dxf>
      <fill>
        <patternFill>
          <bgColor rgb="FFDCE6F1"/>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4F81BD"/>
        </patternFill>
      </fill>
    </dxf>
    <dxf>
      <fill>
        <patternFill>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4F81BD"/>
        </patternFill>
      </fill>
    </dxf>
    <dxf>
      <fill>
        <patternFill>
          <bgColor rgb="FFDCE6F1"/>
        </patternFill>
      </fill>
    </dxf>
    <dxf>
      <fill>
        <patternFill patternType="solid">
          <fgColor indexed="64"/>
          <bgColor rgb="FFB8CCE4"/>
        </patternFill>
      </fill>
    </dxf>
    <dxf>
      <fill>
        <patternFill>
          <bgColor rgb="FFB8CCE4"/>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rgb="FF9C5700"/>
      </font>
      <fill>
        <patternFill>
          <bgColor rgb="FFFFEB9C"/>
        </patternFill>
      </fill>
    </dxf>
    <dxf>
      <fill>
        <patternFill>
          <bgColor theme="0" tint="-0.14996795556505021"/>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ill>
        <patternFill>
          <bgColor theme="2"/>
        </patternFill>
      </fill>
    </dxf>
    <dxf>
      <font>
        <color rgb="FF9C5700"/>
      </font>
      <fill>
        <patternFill>
          <bgColor rgb="FFFFEB9C"/>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ill>
        <patternFill>
          <bgColor theme="2"/>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rgb="FF00B0F0"/>
        </patternFill>
      </fill>
    </dxf>
    <dxf>
      <fill>
        <patternFill>
          <bgColor rgb="FFFFCCFF"/>
        </patternFill>
      </fill>
    </dxf>
    <dxf>
      <fill>
        <patternFill>
          <bgColor theme="2"/>
        </patternFill>
      </fill>
    </dxf>
    <dxf>
      <fill>
        <patternFill>
          <bgColor them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2CC"/>
      <color rgb="FFFFCCFF"/>
      <color rgb="FFFFEBFF"/>
      <color rgb="FF8AE4E2"/>
      <color rgb="FFFF6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Poverty'!$C$1</c:f>
          <c:strCache>
            <c:ptCount val="1"/>
            <c:pt idx="0">
              <c:v>% Children in Child Poverty after Housing Costs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 Poverty'!$G$6</c:f>
              <c:strCache>
                <c:ptCount val="1"/>
                <c:pt idx="0">
                  <c:v>2022/23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Poverty'!$C$7:$C$21</c:f>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2 Average</c:v>
                </c:pt>
                <c:pt idx="12">
                  <c:v>Glasgow City Region</c:v>
                </c:pt>
                <c:pt idx="13">
                  <c:v>Scotland</c:v>
                </c:pt>
                <c:pt idx="14">
                  <c:v>United Kingdom</c:v>
                </c:pt>
              </c:strCache>
            </c:strRef>
          </c:cat>
          <c:val>
            <c:numRef>
              <c:f>'Child Poverty'!$G$7:$G$21</c:f>
              <c:numCache>
                <c:formatCode>0.0</c:formatCode>
                <c:ptCount val="15"/>
                <c:pt idx="0">
                  <c:v>14.000661671161652</c:v>
                </c:pt>
                <c:pt idx="1">
                  <c:v>15.729714930057526</c:v>
                </c:pt>
                <c:pt idx="2">
                  <c:v>16.483284533023834</c:v>
                </c:pt>
                <c:pt idx="3">
                  <c:v>20.395955443382263</c:v>
                </c:pt>
                <c:pt idx="4">
                  <c:v>21.721845865249634</c:v>
                </c:pt>
                <c:pt idx="5">
                  <c:v>21.806700527667999</c:v>
                </c:pt>
                <c:pt idx="6">
                  <c:v>16.375871002674103</c:v>
                </c:pt>
                <c:pt idx="7">
                  <c:v>19.339099526405334</c:v>
                </c:pt>
                <c:pt idx="10">
                  <c:v>14.000661671161652</c:v>
                </c:pt>
                <c:pt idx="11">
                  <c:v>23.092344551065015</c:v>
                </c:pt>
                <c:pt idx="12">
                  <c:v>26.406732004366955</c:v>
                </c:pt>
                <c:pt idx="13">
                  <c:v>24.473927977812586</c:v>
                </c:pt>
                <c:pt idx="14">
                  <c:v>28.936021126269207</c:v>
                </c:pt>
              </c:numCache>
            </c:numRef>
          </c:val>
          <c:extLst>
            <c:ext xmlns:c16="http://schemas.microsoft.com/office/drawing/2014/chart" uri="{C3380CC4-5D6E-409C-BE32-E72D297353CC}">
              <c16:uniqueId val="{00000000-B11D-4B9B-A172-BA3344E28ED2}"/>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 Poverty'!$L$6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'Child Poverty'!$C$7:$C$21</c15:sqref>
                        </c15:formulaRef>
                      </c:ext>
                    </c:extLst>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2 Average</c:v>
                      </c:pt>
                      <c:pt idx="12">
                        <c:v>Glasgow City Region</c:v>
                      </c:pt>
                      <c:pt idx="13">
                        <c:v>Scotland</c:v>
                      </c:pt>
                      <c:pt idx="14">
                        <c:v>United Kingdom</c:v>
                      </c:pt>
                    </c:strCache>
                  </c:strRef>
                </c:cat>
                <c:val>
                  <c:numRef>
                    <c:extLst>
                      <c:ext uri="{02D57815-91ED-43cb-92C2-25804820EDAC}">
                        <c15:formulaRef>
                          <c15:sqref>'Child Poverty'!$L$7:$L$21</c15:sqref>
                        </c15:formulaRef>
                      </c:ext>
                    </c:extLst>
                    <c:numCache>
                      <c:formatCode>#,##0</c:formatCode>
                      <c:ptCount val="15"/>
                      <c:pt idx="0">
                        <c:v>0</c:v>
                      </c:pt>
                      <c:pt idx="1">
                        <c:v>-300</c:v>
                      </c:pt>
                      <c:pt idx="2">
                        <c:v>-1300</c:v>
                      </c:pt>
                      <c:pt idx="3">
                        <c:v>-5600</c:v>
                      </c:pt>
                      <c:pt idx="4">
                        <c:v>-2100</c:v>
                      </c:pt>
                      <c:pt idx="5">
                        <c:v>-3100</c:v>
                      </c:pt>
                      <c:pt idx="6">
                        <c:v>-100</c:v>
                      </c:pt>
                      <c:pt idx="7">
                        <c:v>-200</c:v>
                      </c:pt>
                    </c:numCache>
                  </c:numRef>
                </c:val>
                <c:extLst>
                  <c:ext xmlns:c16="http://schemas.microsoft.com/office/drawing/2014/chart" uri="{C3380CC4-5D6E-409C-BE32-E72D297353CC}">
                    <c16:uniqueId val="{00000002-B11D-4B9B-A172-BA3344E28ED2}"/>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Benefit'!$F$23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 Benefit'!$L$6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Benefit'!$C$7:$C$21</c15:sqref>
                  </c15:fullRef>
                </c:ext>
              </c:extLst>
              <c:f>('Child Benefit'!$C$7:$C$14,'Child Benefit'!$C$21)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Benefit'!$L$7:$L$21</c15:sqref>
                  </c15:fullRef>
                </c:ext>
              </c:extLst>
              <c:f>('Child Benefit'!$L$7:$L$14,'Child Benefit'!$L$21)</c:f>
              <c:numCache>
                <c:formatCode>#,##0</c:formatCode>
                <c:ptCount val="9"/>
                <c:pt idx="0">
                  <c:v>-100</c:v>
                </c:pt>
                <c:pt idx="1">
                  <c:v>-300</c:v>
                </c:pt>
                <c:pt idx="2">
                  <c:v>0</c:v>
                </c:pt>
                <c:pt idx="3">
                  <c:v>-2500</c:v>
                </c:pt>
                <c:pt idx="4">
                  <c:v>-1700</c:v>
                </c:pt>
                <c:pt idx="5">
                  <c:v>-1300</c:v>
                </c:pt>
                <c:pt idx="6">
                  <c:v>-300</c:v>
                </c:pt>
                <c:pt idx="7">
                  <c:v>-400</c:v>
                </c:pt>
              </c:numCache>
            </c:numRef>
          </c:val>
          <c:extLst>
            <c:ext xmlns:c16="http://schemas.microsoft.com/office/drawing/2014/chart" uri="{C3380CC4-5D6E-409C-BE32-E72D297353CC}">
              <c16:uniqueId val="{00000000-CF14-4F9F-ADD7-95DF94A26667}"/>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 Benefit'!$G$6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 Benefit'!$C$7:$C$21</c15:sqref>
                        </c15:fullRef>
                        <c15:formulaRef>
                          <c15:sqref>('Child Benefit'!$C$7:$C$14,'Child Benefit'!$C$21)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 Benefit'!$G$7:$G$21</c15:sqref>
                        </c15:fullRef>
                        <c15:formulaRef>
                          <c15:sqref>('Child Benefit'!$G$7:$G$14,'Child Benefit'!$G$21)</c15:sqref>
                        </c15:formulaRef>
                      </c:ext>
                    </c:extLst>
                    <c:numCache>
                      <c:formatCode>0.0</c:formatCode>
                      <c:ptCount val="9"/>
                      <c:pt idx="0">
                        <c:v>79.517543859649123</c:v>
                      </c:pt>
                      <c:pt idx="1">
                        <c:v>81.205821205821209</c:v>
                      </c:pt>
                      <c:pt idx="2">
                        <c:v>79.171094580233785</c:v>
                      </c:pt>
                      <c:pt idx="3">
                        <c:v>84.65280849181778</c:v>
                      </c:pt>
                      <c:pt idx="4">
                        <c:v>90.133943155831432</c:v>
                      </c:pt>
                      <c:pt idx="5">
                        <c:v>85.728518057285186</c:v>
                      </c:pt>
                      <c:pt idx="6">
                        <c:v>89.804772234273315</c:v>
                      </c:pt>
                      <c:pt idx="7">
                        <c:v>94.939759036144579</c:v>
                      </c:pt>
                      <c:pt idx="8">
                        <c:v>90.308408343628869</c:v>
                      </c:pt>
                    </c:numCache>
                  </c:numRef>
                </c:val>
                <c:extLst>
                  <c:ext xmlns:c16="http://schemas.microsoft.com/office/drawing/2014/chart" uri="{C3380CC4-5D6E-409C-BE32-E72D297353CC}">
                    <c16:uniqueId val="{00000001-CF14-4F9F-ADD7-95DF94A2666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 Benefit'!$K$6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Benefit'!$C$7:$C$21</c15:sqref>
                        </c15:fullRef>
                        <c15:formulaRef>
                          <c15:sqref>('Child Benefit'!$C$7:$C$14,'Child Benefit'!$C$21)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Benefit'!$K$7:$K$21</c15:sqref>
                        </c15:fullRef>
                        <c15:formulaRef>
                          <c15:sqref>('Child Benefit'!$K$7:$K$14,'Child Benefit'!$K$21)</c15:sqref>
                        </c15:formulaRef>
                      </c:ext>
                    </c:extLst>
                    <c:numCache>
                      <c:formatCode>0.0</c:formatCode>
                      <c:ptCount val="9"/>
                      <c:pt idx="0">
                        <c:v>-0.34644927941533865</c:v>
                      </c:pt>
                      <c:pt idx="1">
                        <c:v>-2.0347266255874246</c:v>
                      </c:pt>
                      <c:pt idx="2">
                        <c:v>0</c:v>
                      </c:pt>
                      <c:pt idx="3">
                        <c:v>-5.481713911583995</c:v>
                      </c:pt>
                      <c:pt idx="4">
                        <c:v>-10.962848575597647</c:v>
                      </c:pt>
                      <c:pt idx="5">
                        <c:v>-6.5574234770514011</c:v>
                      </c:pt>
                      <c:pt idx="6">
                        <c:v>-10.633677654039531</c:v>
                      </c:pt>
                      <c:pt idx="7">
                        <c:v>-15.768664455910795</c:v>
                      </c:pt>
                    </c:numCache>
                  </c:numRef>
                </c:val>
                <c:extLst xmlns:c15="http://schemas.microsoft.com/office/drawing/2012/chart">
                  <c:ext xmlns:c16="http://schemas.microsoft.com/office/drawing/2014/chart" uri="{C3380CC4-5D6E-409C-BE32-E72D297353CC}">
                    <c16:uniqueId val="{00000002-CF14-4F9F-ADD7-95DF94A26667}"/>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Count'!$C$1</c:f>
          <c:strCache>
            <c:ptCount val="1"/>
            <c:pt idx="0">
              <c:v>Claimant Count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'Claimant Count'!$G$6</c:f>
              <c:strCache>
                <c:ptCount val="1"/>
                <c:pt idx="0">
                  <c:v>October 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'Claimant Count'!$C$7:$C$21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Shetland Islands</c:v>
                </c:pt>
                <c:pt idx="11">
                  <c:v>LGBF Family Group 1 Average</c:v>
                </c:pt>
                <c:pt idx="12">
                  <c:v>Edinburgh and South East Scotland City Region</c:v>
                </c:pt>
                <c:pt idx="13">
                  <c:v>Scotland</c:v>
                </c:pt>
                <c:pt idx="14">
                  <c:v>United Kingdom</c:v>
                </c:pt>
              </c:strCache>
            </c:strRef>
          </c:cat>
          <c:val>
            <c:numRef>
              <c:f>'Claimant Count'!$G$7:$G$21</c:f>
              <c:numCache>
                <c:formatCode>0.0</c:formatCode>
                <c:ptCount val="15"/>
                <c:pt idx="0">
                  <c:v>1.8</c:v>
                </c:pt>
                <c:pt idx="1">
                  <c:v>2.6</c:v>
                </c:pt>
                <c:pt idx="2">
                  <c:v>1.5</c:v>
                </c:pt>
                <c:pt idx="3">
                  <c:v>2.2999999999999998</c:v>
                </c:pt>
                <c:pt idx="4">
                  <c:v>1.6</c:v>
                </c:pt>
                <c:pt idx="5">
                  <c:v>3.1</c:v>
                </c:pt>
                <c:pt idx="6">
                  <c:v>3</c:v>
                </c:pt>
                <c:pt idx="7">
                  <c:v>1.8</c:v>
                </c:pt>
                <c:pt idx="10">
                  <c:v>1.5</c:v>
                </c:pt>
                <c:pt idx="11">
                  <c:v>2.3320106343853486</c:v>
                </c:pt>
                <c:pt idx="12">
                  <c:v>2.7545456202903029</c:v>
                </c:pt>
                <c:pt idx="13">
                  <c:v>3.2</c:v>
                </c:pt>
                <c:pt idx="14">
                  <c:v>4.2</c:v>
                </c:pt>
              </c:numCache>
            </c:numRef>
          </c:val>
          <c:extLst>
            <c:ext xmlns:c16="http://schemas.microsoft.com/office/drawing/2014/chart" uri="{C3380CC4-5D6E-409C-BE32-E72D297353CC}">
              <c16:uniqueId val="{00000000-FAF5-45A7-8E1C-8511C111AF29}"/>
            </c:ext>
          </c:extLst>
        </c:ser>
        <c:dLbls>
          <c:showLegendKey val="0"/>
          <c:showVal val="0"/>
          <c:showCatName val="0"/>
          <c:showSerName val="0"/>
          <c:showPercent val="0"/>
          <c:showBubbleSize val="0"/>
        </c:dLbls>
        <c:gapWidth val="219"/>
        <c:overlap val="-27"/>
        <c:axId val="472120664"/>
        <c:axId val="472121056"/>
        <c:extLst>
          <c:ext xmlns:c15="http://schemas.microsoft.com/office/drawing/2012/chart" uri="{02D57815-91ED-43cb-92C2-25804820EDAC}">
            <c15:filteredBarSeries>
              <c15:ser>
                <c:idx val="8"/>
                <c:order val="1"/>
                <c:tx>
                  <c:strRef>
                    <c:extLst>
                      <c:ext uri="{02D57815-91ED-43cb-92C2-25804820EDAC}">
                        <c15:formulaRef>
                          <c15:sqref>'Claimant Count'!$L$6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'Claimant Count'!$C$7:$C$21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Shetland Islands</c:v>
                      </c:pt>
                      <c:pt idx="11">
                        <c:v>LGBF Family Group 1 Average</c:v>
                      </c:pt>
                      <c:pt idx="12">
                        <c:v>Edinburgh and South East Scotland City Region</c:v>
                      </c:pt>
                      <c:pt idx="13">
                        <c:v>Scotland</c:v>
                      </c:pt>
                      <c:pt idx="14">
                        <c:v>United Kingdom</c:v>
                      </c:pt>
                    </c:strCache>
                  </c:strRef>
                </c:cat>
                <c:val>
                  <c:numRef>
                    <c:extLst>
                      <c:ext uri="{02D57815-91ED-43cb-92C2-25804820EDAC}">
                        <c15:formulaRef>
                          <c15:sqref>'Claimant Count'!$L$7:$L$21</c15:sqref>
                        </c15:formulaRef>
                      </c:ext>
                    </c:extLst>
                    <c:numCache>
                      <c:formatCode>#,##0</c:formatCode>
                      <c:ptCount val="15"/>
                      <c:pt idx="0">
                        <c:v>-100</c:v>
                      </c:pt>
                      <c:pt idx="1">
                        <c:v>-500</c:v>
                      </c:pt>
                      <c:pt idx="2">
                        <c:v>0</c:v>
                      </c:pt>
                      <c:pt idx="3">
                        <c:v>-1100</c:v>
                      </c:pt>
                      <c:pt idx="4">
                        <c:v>0</c:v>
                      </c:pt>
                      <c:pt idx="5">
                        <c:v>-1100</c:v>
                      </c:pt>
                      <c:pt idx="6">
                        <c:v>-1300</c:v>
                      </c:pt>
                      <c:pt idx="7">
                        <c:v>-500</c:v>
                      </c:pt>
                    </c:numCache>
                  </c:numRef>
                </c:val>
                <c:extLst>
                  <c:ext xmlns:c16="http://schemas.microsoft.com/office/drawing/2014/chart" uri="{C3380CC4-5D6E-409C-BE32-E72D297353CC}">
                    <c16:uniqueId val="{00000002-FAF5-45A7-8E1C-8511C111AF29}"/>
                  </c:ext>
                </c:extLst>
              </c15:ser>
            </c15:filteredBarSeries>
          </c:ext>
        </c:extLst>
      </c:barChart>
      <c:catAx>
        <c:axId val="47212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1056"/>
        <c:crosses val="autoZero"/>
        <c:auto val="1"/>
        <c:lblAlgn val="ctr"/>
        <c:lblOffset val="100"/>
        <c:noMultiLvlLbl val="0"/>
      </c:catAx>
      <c:valAx>
        <c:axId val="47212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'Claimant Count'!$L$6</c:f>
              <c:strCache>
                <c:ptCount val="1"/>
                <c:pt idx="0">
                  <c:v>Volume Change Required</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Count'!$C$7:$C$21</c15:sqref>
                  </c15:fullRef>
                </c:ext>
              </c:extLst>
              <c:f>('Claimant Count'!$C$7:$C$14,'Claimant Count'!$C$21)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'Claimant Count'!$L$7:$L$21</c15:sqref>
                  </c15:fullRef>
                </c:ext>
              </c:extLst>
              <c:f>('Claimant Count'!$L$7:$L$14,'Claimant Count'!$L$21)</c:f>
              <c:numCache>
                <c:formatCode>#,##0</c:formatCode>
                <c:ptCount val="9"/>
                <c:pt idx="0">
                  <c:v>-100</c:v>
                </c:pt>
                <c:pt idx="1">
                  <c:v>-500</c:v>
                </c:pt>
                <c:pt idx="2">
                  <c:v>0</c:v>
                </c:pt>
                <c:pt idx="3">
                  <c:v>-1100</c:v>
                </c:pt>
                <c:pt idx="4">
                  <c:v>0</c:v>
                </c:pt>
                <c:pt idx="5">
                  <c:v>-1100</c:v>
                </c:pt>
                <c:pt idx="6">
                  <c:v>-1300</c:v>
                </c:pt>
                <c:pt idx="7">
                  <c:v>-500</c:v>
                </c:pt>
              </c:numCache>
            </c:numRef>
          </c:val>
          <c:extLst>
            <c:ext xmlns:c16="http://schemas.microsoft.com/office/drawing/2014/chart" uri="{C3380CC4-5D6E-409C-BE32-E72D297353CC}">
              <c16:uniqueId val="{00000000-5FFC-4E9B-A30A-B2D2638872AA}"/>
            </c:ext>
          </c:extLst>
        </c:ser>
        <c:dLbls>
          <c:showLegendKey val="0"/>
          <c:showVal val="0"/>
          <c:showCatName val="0"/>
          <c:showSerName val="0"/>
          <c:showPercent val="0"/>
          <c:showBubbleSize val="0"/>
        </c:dLbls>
        <c:gapWidth val="219"/>
        <c:axId val="472932320"/>
        <c:axId val="472932712"/>
        <c:extLst>
          <c:ext xmlns:c15="http://schemas.microsoft.com/office/drawing/2012/chart" uri="{02D57815-91ED-43cb-92C2-25804820EDAC}">
            <c15:filteredBarSeries>
              <c15:ser>
                <c:idx val="3"/>
                <c:order val="0"/>
                <c:tx>
                  <c:strRef>
                    <c:extLst>
                      <c:ext uri="{02D57815-91ED-43cb-92C2-25804820EDAC}">
                        <c15:formulaRef>
                          <c15:sqref>'Claimant Count'!$G$6</c15:sqref>
                        </c15:formulaRef>
                      </c:ext>
                    </c:extLst>
                    <c:strCache>
                      <c:ptCount val="1"/>
                      <c:pt idx="0">
                        <c:v>October 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'Claimant Count'!$C$7:$C$21</c15:sqref>
                        </c15:fullRef>
                        <c15:formulaRef>
                          <c15:sqref>('Claimant Count'!$C$7:$C$14,'Claimant Count'!$C$21)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'Claimant Count'!$G$7:$G$21</c15:sqref>
                        </c15:fullRef>
                        <c15:formulaRef>
                          <c15:sqref>('Claimant Count'!$G$7:$G$14,'Claimant Count'!$G$21)</c15:sqref>
                        </c15:formulaRef>
                      </c:ext>
                    </c:extLst>
                    <c:numCache>
                      <c:formatCode>0.0</c:formatCode>
                      <c:ptCount val="9"/>
                      <c:pt idx="0">
                        <c:v>1.8</c:v>
                      </c:pt>
                      <c:pt idx="1">
                        <c:v>2.6</c:v>
                      </c:pt>
                      <c:pt idx="2">
                        <c:v>1.5</c:v>
                      </c:pt>
                      <c:pt idx="3">
                        <c:v>2.2999999999999998</c:v>
                      </c:pt>
                      <c:pt idx="4">
                        <c:v>1.6</c:v>
                      </c:pt>
                      <c:pt idx="5">
                        <c:v>3.1</c:v>
                      </c:pt>
                      <c:pt idx="6">
                        <c:v>3</c:v>
                      </c:pt>
                      <c:pt idx="7">
                        <c:v>1.8</c:v>
                      </c:pt>
                      <c:pt idx="8">
                        <c:v>4.2</c:v>
                      </c:pt>
                    </c:numCache>
                  </c:numRef>
                </c:val>
                <c:extLst>
                  <c:ext xmlns:c16="http://schemas.microsoft.com/office/drawing/2014/chart" uri="{C3380CC4-5D6E-409C-BE32-E72D297353CC}">
                    <c16:uniqueId val="{00000001-5FFC-4E9B-A30A-B2D2638872A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'Claimant Count'!$K$6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Count'!$C$7:$C$21</c15:sqref>
                        </c15:fullRef>
                        <c15:formulaRef>
                          <c15:sqref>('Claimant Count'!$C$7:$C$14,'Claimant Count'!$C$21)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'Claimant Count'!$K$7:$K$21</c15:sqref>
                        </c15:fullRef>
                        <c15:formulaRef>
                          <c15:sqref>('Claimant Count'!$K$7:$K$14,'Claimant Count'!$K$21)</c15:sqref>
                        </c15:formulaRef>
                      </c:ext>
                    </c:extLst>
                    <c:numCache>
                      <c:formatCode>0.0</c:formatCode>
                      <c:ptCount val="9"/>
                      <c:pt idx="0">
                        <c:v>-0.30000000000000004</c:v>
                      </c:pt>
                      <c:pt idx="1">
                        <c:v>-1.1000000000000001</c:v>
                      </c:pt>
                      <c:pt idx="2">
                        <c:v>0</c:v>
                      </c:pt>
                      <c:pt idx="3">
                        <c:v>-0.79999999999999982</c:v>
                      </c:pt>
                      <c:pt idx="4">
                        <c:v>-0.10000000000000009</c:v>
                      </c:pt>
                      <c:pt idx="5">
                        <c:v>-1.6</c:v>
                      </c:pt>
                      <c:pt idx="6">
                        <c:v>-1.5</c:v>
                      </c:pt>
                      <c:pt idx="7">
                        <c:v>-0.30000000000000004</c:v>
                      </c:pt>
                    </c:numCache>
                  </c:numRef>
                </c:val>
                <c:extLst xmlns:c15="http://schemas.microsoft.com/office/drawing/2012/chart">
                  <c:ext xmlns:c16="http://schemas.microsoft.com/office/drawing/2014/chart" uri="{C3380CC4-5D6E-409C-BE32-E72D297353CC}">
                    <c16:uniqueId val="{00000002-5FFC-4E9B-A30A-B2D2638872AA}"/>
                  </c:ext>
                </c:extLst>
              </c15:ser>
            </c15:filteredBarSeries>
          </c:ext>
        </c:extLst>
      </c:barChart>
      <c:catAx>
        <c:axId val="47293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712"/>
        <c:crosses val="autoZero"/>
        <c:auto val="1"/>
        <c:lblAlgn val="ctr"/>
        <c:lblOffset val="100"/>
        <c:noMultiLvlLbl val="0"/>
      </c:catAx>
      <c:valAx>
        <c:axId val="47293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Households'!$C$1</c:f>
          <c:strCache>
            <c:ptCount val="1"/>
            <c:pt idx="0">
              <c:v>% of Households that are Workless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'Workless Households'!$G$6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'Workless Households'!$C$7:$C$21</c15:sqref>
                  </c15:fullRef>
                </c:ext>
              </c:extLst>
              <c:f>('Workless Households'!$C$7:$C$14,'Workless Households'!$C$16:$C$21)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'Workless Households'!$G$7:$G$21</c15:sqref>
                  </c15:fullRef>
                </c:ext>
              </c:extLst>
              <c:f>('Workless Households'!$G$7:$G$14,'Workless Households'!$G$16:$G$21)</c:f>
              <c:numCache>
                <c:formatCode>0.0</c:formatCode>
                <c:ptCount val="14"/>
                <c:pt idx="0">
                  <c:v>10.901499922684398</c:v>
                </c:pt>
                <c:pt idx="1">
                  <c:v>18.605204319490035</c:v>
                </c:pt>
                <c:pt idx="2">
                  <c:v>14.829226113272806</c:v>
                </c:pt>
                <c:pt idx="3">
                  <c:v>15.929937626621149</c:v>
                </c:pt>
                <c:pt idx="4">
                  <c:v>11.742722265932336</c:v>
                </c:pt>
                <c:pt idx="5">
                  <c:v>15.412589834617716</c:v>
                </c:pt>
                <c:pt idx="6">
                  <c:v>22.484107130562506</c:v>
                </c:pt>
                <c:pt idx="7">
                  <c:v>12.758333866530169</c:v>
                </c:pt>
                <c:pt idx="9">
                  <c:v>15.764046082637929</c:v>
                </c:pt>
                <c:pt idx="10">
                  <c:v>15.986432706922491</c:v>
                </c:pt>
                <c:pt idx="11">
                  <c:v>15.668793774319067</c:v>
                </c:pt>
                <c:pt idx="12">
                  <c:v>17.78044039903768</c:v>
                </c:pt>
                <c:pt idx="13">
                  <c:v>13.923926041194438</c:v>
                </c:pt>
              </c:numCache>
            </c:numRef>
          </c:val>
          <c:extLst>
            <c:ext xmlns:c16="http://schemas.microsoft.com/office/drawing/2014/chart" uri="{C3380CC4-5D6E-409C-BE32-E72D297353CC}">
              <c16:uniqueId val="{00000000-F5DA-48BE-A3BC-96CC69E44847}"/>
            </c:ext>
          </c:extLst>
        </c:ser>
        <c:dLbls>
          <c:showLegendKey val="0"/>
          <c:showVal val="0"/>
          <c:showCatName val="0"/>
          <c:showSerName val="0"/>
          <c:showPercent val="0"/>
          <c:showBubbleSize val="0"/>
        </c:dLbls>
        <c:gapWidth val="219"/>
        <c:overlap val="-27"/>
        <c:axId val="472933496"/>
        <c:axId val="47293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'Workless Households'!$C$7:$C$21</c15:sqref>
                        </c15:fullRef>
                        <c15:formulaRef>
                          <c15:sqref>('Workless Households'!$C$7:$C$14,'Workless Households'!$C$16:$C$21)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Aberdeen City Region</c:v>
                      </c:pt>
                      <c:pt idx="12">
                        <c:v>Scotland</c:v>
                      </c:pt>
                      <c:pt idx="13">
                        <c:v>United Kingdom</c:v>
                      </c:pt>
                    </c:strCache>
                  </c:strRef>
                </c:cat>
                <c:val>
                  <c:numRef>
                    <c:extLst>
                      <c:ext uri="{02D57815-91ED-43cb-92C2-25804820EDAC}">
                        <c15:fullRef>
                          <c15:sqref>Employment!$L$7:$L$21</c15:sqref>
                        </c15:fullRef>
                        <c15:formulaRef>
                          <c15:sqref>(Employment!$L$7:$L$14,Employment!$L$16:$L$21)</c15:sqref>
                        </c15:formulaRef>
                      </c:ext>
                    </c:extLst>
                    <c:numCache>
                      <c:formatCode>#,##0</c:formatCode>
                      <c:ptCount val="14"/>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F5DA-48BE-A3BC-96CC69E44847}"/>
                  </c:ext>
                </c:extLst>
              </c15:ser>
            </c15:filteredBarSeries>
          </c:ext>
        </c:extLst>
      </c:barChart>
      <c:catAx>
        <c:axId val="47293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888"/>
        <c:crosses val="autoZero"/>
        <c:auto val="1"/>
        <c:lblAlgn val="ctr"/>
        <c:lblOffset val="100"/>
        <c:noMultiLvlLbl val="0"/>
      </c:catAx>
      <c:valAx>
        <c:axId val="47293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'Workless Households'!$L$6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'Workless Households'!$L$7:$L$14</c15:sqref>
                  </c15:fullRef>
                </c:ext>
              </c:extLst>
              <c:f>'Workless Households'!$L$7:$L$14</c:f>
              <c:numCache>
                <c:formatCode>#,##0</c:formatCode>
                <c:ptCount val="8"/>
                <c:pt idx="0">
                  <c:v>0</c:v>
                </c:pt>
                <c:pt idx="1">
                  <c:v>-600</c:v>
                </c:pt>
                <c:pt idx="2">
                  <c:v>0</c:v>
                </c:pt>
                <c:pt idx="3">
                  <c:v>-100</c:v>
                </c:pt>
                <c:pt idx="4">
                  <c:v>0</c:v>
                </c:pt>
                <c:pt idx="5">
                  <c:v>0</c:v>
                </c:pt>
                <c:pt idx="6">
                  <c:v>-2900</c:v>
                </c:pt>
                <c:pt idx="7">
                  <c:v>0</c:v>
                </c:pt>
              </c:numCache>
            </c:numRef>
          </c:val>
          <c:extLst>
            <c:ext xmlns:c16="http://schemas.microsoft.com/office/drawing/2014/chart" uri="{C3380CC4-5D6E-409C-BE32-E72D297353CC}">
              <c16:uniqueId val="{00000000-3F9F-4410-8B70-AC8938A3E6F7}"/>
            </c:ext>
          </c:extLst>
        </c:ser>
        <c:dLbls>
          <c:showLegendKey val="0"/>
          <c:showVal val="0"/>
          <c:showCatName val="0"/>
          <c:showSerName val="0"/>
          <c:showPercent val="0"/>
          <c:showBubbleSize val="0"/>
        </c:dLbls>
        <c:gapWidth val="219"/>
        <c:axId val="472934672"/>
        <c:axId val="47293506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3F9F-4410-8B70-AC8938A3E6F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3F9F-4410-8B70-AC8938A3E6F7}"/>
                  </c:ext>
                </c:extLst>
              </c15:ser>
            </c15:filteredBarSeries>
          </c:ext>
        </c:extLst>
      </c:barChart>
      <c:catAx>
        <c:axId val="47293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5064"/>
        <c:crosses val="autoZero"/>
        <c:auto val="1"/>
        <c:lblAlgn val="ctr"/>
        <c:lblOffset val="100"/>
        <c:noMultiLvlLbl val="0"/>
      </c:catAx>
      <c:valAx>
        <c:axId val="47293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SLDR!$C$1</c:f>
          <c:strCache>
            <c:ptCount val="1"/>
            <c:pt idx="0">
              <c:v>% of School Leavers in Positive Destinations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SLDR!$G$6</c:f>
              <c:strCache>
                <c:ptCount val="1"/>
                <c:pt idx="0">
                  <c:v>2022/23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ext>
              </c:extLst>
              <c:f>(SLDR!$C$7:$C$14,SLDR!$C$16:$C$20)</c:f>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East Renfrewshire</c:v>
                </c:pt>
                <c:pt idx="10">
                  <c:v>LGBF Family Group 1 Average</c:v>
                </c:pt>
                <c:pt idx="11">
                  <c:v>Aberdeen City Region</c:v>
                </c:pt>
                <c:pt idx="12">
                  <c:v>Scotland</c:v>
                </c:pt>
              </c:strCache>
            </c:strRef>
          </c:cat>
          <c:val>
            <c:numRef>
              <c:extLst>
                <c:ext xmlns:c15="http://schemas.microsoft.com/office/drawing/2012/chart" uri="{02D57815-91ED-43cb-92C2-25804820EDAC}">
                  <c15:fullRef>
                    <c15:sqref>SLDR!$G$7:$G$21</c15:sqref>
                  </c15:fullRef>
                </c:ext>
              </c:extLst>
              <c:f>(SLDR!$G$7:$G$14,SLDR!$G$16:$G$20)</c:f>
              <c:numCache>
                <c:formatCode>0.0</c:formatCode>
                <c:ptCount val="13"/>
                <c:pt idx="0">
                  <c:v>98.322147651006702</c:v>
                </c:pt>
                <c:pt idx="1">
                  <c:v>95.558639833448993</c:v>
                </c:pt>
                <c:pt idx="2">
                  <c:v>95.09954058192956</c:v>
                </c:pt>
                <c:pt idx="3">
                  <c:v>96.525885558583099</c:v>
                </c:pt>
                <c:pt idx="4">
                  <c:v>94.734215123533815</c:v>
                </c:pt>
                <c:pt idx="5">
                  <c:v>96.40198511166254</c:v>
                </c:pt>
                <c:pt idx="6">
                  <c:v>95.346534653465341</c:v>
                </c:pt>
                <c:pt idx="7">
                  <c:v>97.723187537447572</c:v>
                </c:pt>
                <c:pt idx="9">
                  <c:v>98.743532889874359</c:v>
                </c:pt>
                <c:pt idx="10">
                  <c:v>95.762948012986058</c:v>
                </c:pt>
                <c:pt idx="11">
                  <c:v>94.8181750399865</c:v>
                </c:pt>
                <c:pt idx="12">
                  <c:v>95.866138136382745</c:v>
                </c:pt>
              </c:numCache>
            </c:numRef>
          </c:val>
          <c:extLst>
            <c:ext xmlns:c16="http://schemas.microsoft.com/office/drawing/2014/chart" uri="{C3380CC4-5D6E-409C-BE32-E72D297353CC}">
              <c16:uniqueId val="{00000000-D762-48AA-B7B9-CC5E50ED661A}"/>
            </c:ext>
          </c:extLst>
        </c:ser>
        <c:dLbls>
          <c:showLegendKey val="0"/>
          <c:showVal val="0"/>
          <c:showCatName val="0"/>
          <c:showSerName val="0"/>
          <c:showPercent val="0"/>
          <c:showBubbleSize val="0"/>
        </c:dLbls>
        <c:gapWidth val="219"/>
        <c:overlap val="-27"/>
        <c:axId val="472931928"/>
        <c:axId val="476721536"/>
        <c:extLst>
          <c:ext xmlns:c15="http://schemas.microsoft.com/office/drawing/2012/chart" uri="{02D57815-91ED-43cb-92C2-25804820EDAC}">
            <c15:filteredBarSeries>
              <c15:ser>
                <c:idx val="8"/>
                <c:order val="1"/>
                <c:tx>
                  <c:strRef>
                    <c:extLst>
                      <c:ext uri="{02D57815-91ED-43cb-92C2-25804820EDAC}">
                        <c15:formulaRef>
                          <c15:sqref>SLDR!$L$6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SLDR!$C$7:$C$21</c15:sqref>
                        </c15:fullRef>
                        <c15:formulaRef>
                          <c15:sqref>(SLDR!$C$7:$C$14,SLDR!$C$16:$C$20)</c15:sqref>
                        </c15:formulaRef>
                      </c:ext>
                    </c:extLst>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East Renfrewshire</c:v>
                      </c:pt>
                      <c:pt idx="10">
                        <c:v>LGBF Family Group 1 Average</c:v>
                      </c:pt>
                      <c:pt idx="11">
                        <c:v>Aberdeen City Region</c:v>
                      </c:pt>
                      <c:pt idx="12">
                        <c:v>Scotland</c:v>
                      </c:pt>
                    </c:strCache>
                  </c:strRef>
                </c:cat>
                <c:val>
                  <c:numRef>
                    <c:extLst>
                      <c:ext uri="{02D57815-91ED-43cb-92C2-25804820EDAC}">
                        <c15:fullRef>
                          <c15:sqref>SLDR!$L$7:$L$21</c15:sqref>
                        </c15:fullRef>
                        <c15:formulaRef>
                          <c15:sqref>(SLDR!$L$7:$L$14,SLDR!$L$16:$L$20)</c15:sqref>
                        </c15:formulaRef>
                      </c:ext>
                    </c:extLst>
                    <c:numCache>
                      <c:formatCode>#,##0</c:formatCode>
                      <c:ptCount val="13"/>
                      <c:pt idx="0">
                        <c:v>0</c:v>
                      </c:pt>
                      <c:pt idx="1">
                        <c:v>100</c:v>
                      </c:pt>
                      <c:pt idx="2">
                        <c:v>100</c:v>
                      </c:pt>
                      <c:pt idx="3">
                        <c:v>0</c:v>
                      </c:pt>
                      <c:pt idx="4">
                        <c:v>200</c:v>
                      </c:pt>
                      <c:pt idx="5">
                        <c:v>0</c:v>
                      </c:pt>
                      <c:pt idx="6">
                        <c:v>0</c:v>
                      </c:pt>
                      <c:pt idx="7">
                        <c:v>100</c:v>
                      </c:pt>
                    </c:numCache>
                  </c:numRef>
                </c:val>
                <c:extLst>
                  <c:ext xmlns:c16="http://schemas.microsoft.com/office/drawing/2014/chart" uri="{C3380CC4-5D6E-409C-BE32-E72D297353CC}">
                    <c16:uniqueId val="{00000002-D762-48AA-B7B9-CC5E50ED661A}"/>
                  </c:ext>
                </c:extLst>
              </c15:ser>
            </c15:filteredBarSeries>
          </c:ext>
        </c:extLst>
      </c:barChart>
      <c:catAx>
        <c:axId val="47293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1536"/>
        <c:crosses val="autoZero"/>
        <c:auto val="1"/>
        <c:lblAlgn val="ctr"/>
        <c:lblOffset val="100"/>
        <c:noMultiLvlLbl val="0"/>
      </c:catAx>
      <c:valAx>
        <c:axId val="47672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SLDR!$L$6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ext>
              </c:extLst>
              <c:f>(SLDR!$C$7:$C$14,SLDR!$C$21)</c:f>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SLDR!$L$7:$L$21</c15:sqref>
                  </c15:fullRef>
                </c:ext>
              </c:extLst>
              <c:f>(SLDR!$L$7:$L$14,SLDR!$L$21)</c:f>
              <c:numCache>
                <c:formatCode>#,##0</c:formatCode>
                <c:ptCount val="9"/>
                <c:pt idx="0">
                  <c:v>0</c:v>
                </c:pt>
                <c:pt idx="1">
                  <c:v>100</c:v>
                </c:pt>
                <c:pt idx="2">
                  <c:v>100</c:v>
                </c:pt>
                <c:pt idx="3">
                  <c:v>0</c:v>
                </c:pt>
                <c:pt idx="4">
                  <c:v>200</c:v>
                </c:pt>
                <c:pt idx="5">
                  <c:v>0</c:v>
                </c:pt>
                <c:pt idx="6">
                  <c:v>0</c:v>
                </c:pt>
                <c:pt idx="7">
                  <c:v>100</c:v>
                </c:pt>
              </c:numCache>
            </c:numRef>
          </c:val>
          <c:extLst>
            <c:ext xmlns:c16="http://schemas.microsoft.com/office/drawing/2014/chart" uri="{C3380CC4-5D6E-409C-BE32-E72D297353CC}">
              <c16:uniqueId val="{00000000-5291-440F-943B-479BBF4A05F3}"/>
            </c:ext>
          </c:extLst>
        </c:ser>
        <c:dLbls>
          <c:showLegendKey val="0"/>
          <c:showVal val="0"/>
          <c:showCatName val="0"/>
          <c:showSerName val="0"/>
          <c:showPercent val="0"/>
          <c:showBubbleSize val="0"/>
        </c:dLbls>
        <c:gapWidth val="219"/>
        <c:axId val="476722320"/>
        <c:axId val="476722712"/>
        <c:extLst>
          <c:ext xmlns:c15="http://schemas.microsoft.com/office/drawing/2012/chart" uri="{02D57815-91ED-43cb-92C2-25804820EDAC}">
            <c15:filteredBarSeries>
              <c15:ser>
                <c:idx val="3"/>
                <c:order val="0"/>
                <c:tx>
                  <c:strRef>
                    <c:extLst>
                      <c:ext uri="{02D57815-91ED-43cb-92C2-25804820EDAC}">
                        <c15:formulaRef>
                          <c15:sqref>SLDR!$G$6</c15:sqref>
                        </c15:formulaRef>
                      </c:ext>
                    </c:extLst>
                    <c:strCache>
                      <c:ptCount val="1"/>
                      <c:pt idx="0">
                        <c:v>2022/23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SLDR!$C$7:$C$21</c15:sqref>
                        </c15:fullRef>
                        <c15:formulaRef>
                          <c15:sqref>(SLDR!$C$7:$C$14,SLDR!$C$21)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uri="{02D57815-91ED-43cb-92C2-25804820EDAC}">
                        <c15:fullRef>
                          <c15:sqref>SLDR!$G$7:$G$21</c15:sqref>
                        </c15:fullRef>
                        <c15:formulaRef>
                          <c15:sqref>(SLDR!$G$7:$G$14,SLDR!$G$21)</c15:sqref>
                        </c15:formulaRef>
                      </c:ext>
                    </c:extLst>
                    <c:numCache>
                      <c:formatCode>0.0</c:formatCode>
                      <c:ptCount val="9"/>
                      <c:pt idx="0">
                        <c:v>98.322147651006702</c:v>
                      </c:pt>
                      <c:pt idx="1">
                        <c:v>95.558639833448993</c:v>
                      </c:pt>
                      <c:pt idx="2">
                        <c:v>95.09954058192956</c:v>
                      </c:pt>
                      <c:pt idx="3">
                        <c:v>96.525885558583099</c:v>
                      </c:pt>
                      <c:pt idx="4">
                        <c:v>94.734215123533815</c:v>
                      </c:pt>
                      <c:pt idx="5">
                        <c:v>96.40198511166254</c:v>
                      </c:pt>
                      <c:pt idx="6">
                        <c:v>95.346534653465341</c:v>
                      </c:pt>
                      <c:pt idx="7">
                        <c:v>97.723187537447572</c:v>
                      </c:pt>
                      <c:pt idx="8">
                        <c:v>0</c:v>
                      </c:pt>
                    </c:numCache>
                  </c:numRef>
                </c:val>
                <c:extLst>
                  <c:ext xmlns:c16="http://schemas.microsoft.com/office/drawing/2014/chart" uri="{C3380CC4-5D6E-409C-BE32-E72D297353CC}">
                    <c16:uniqueId val="{00000001-5291-440F-943B-479BBF4A05F3}"/>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SLDR!$K$6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15:formulaRef>
                          <c15:sqref>(SLDR!$C$7:$C$14,SLDR!$C$21)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SLDR!$K$7:$K$21</c15:sqref>
                        </c15:fullRef>
                        <c15:formulaRef>
                          <c15:sqref>(SLDR!$K$7:$K$14,SLDR!$K$21)</c15:sqref>
                        </c15:formulaRef>
                      </c:ext>
                    </c:extLst>
                    <c:numCache>
                      <c:formatCode>0.0</c:formatCode>
                      <c:ptCount val="9"/>
                      <c:pt idx="0">
                        <c:v>0.42138523886765711</c:v>
                      </c:pt>
                      <c:pt idx="1">
                        <c:v>3.1848930564253664</c:v>
                      </c:pt>
                      <c:pt idx="2">
                        <c:v>3.6439923079447993</c:v>
                      </c:pt>
                      <c:pt idx="3">
                        <c:v>2.2176473312912606</c:v>
                      </c:pt>
                      <c:pt idx="4">
                        <c:v>4.0093177663405442</c:v>
                      </c:pt>
                      <c:pt idx="5">
                        <c:v>2.3415477782118188</c:v>
                      </c:pt>
                      <c:pt idx="6">
                        <c:v>3.3969982364090185</c:v>
                      </c:pt>
                      <c:pt idx="7">
                        <c:v>1.0203453524267871</c:v>
                      </c:pt>
                    </c:numCache>
                  </c:numRef>
                </c:val>
                <c:extLst xmlns:c15="http://schemas.microsoft.com/office/drawing/2012/chart">
                  <c:ext xmlns:c16="http://schemas.microsoft.com/office/drawing/2014/chart" uri="{C3380CC4-5D6E-409C-BE32-E72D297353CC}">
                    <c16:uniqueId val="{00000002-5291-440F-943B-479BBF4A05F3}"/>
                  </c:ext>
                </c:extLst>
              </c15:ser>
            </c15:filteredBarSeries>
          </c:ext>
        </c:extLst>
      </c:barChart>
      <c:catAx>
        <c:axId val="4767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712"/>
        <c:crosses val="autoZero"/>
        <c:auto val="1"/>
        <c:lblAlgn val="ctr"/>
        <c:lblOffset val="100"/>
        <c:noMultiLvlLbl val="0"/>
      </c:catAx>
      <c:valAx>
        <c:axId val="47672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'Participation Rate'!$C$1</c:f>
          <c:strCache>
            <c:ptCount val="1"/>
            <c:pt idx="0">
              <c:v>Participation Rate (16-19 Year Olds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'Participation Rate'!$G$6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ext>
              </c:extLst>
              <c:f>('Participation Rate'!$C$7:$C$19,'Participation Rate'!$C$21)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Shetland Islands</c:v>
                </c:pt>
                <c:pt idx="11">
                  <c:v>LGBF Family Group 1 Average</c:v>
                </c:pt>
                <c:pt idx="12">
                  <c:v>Aberdeen City Region</c:v>
                </c:pt>
                <c:pt idx="13">
                  <c:v>United Kingdom</c:v>
                </c:pt>
              </c:strCache>
            </c:strRef>
          </c:cat>
          <c:val>
            <c:numRef>
              <c:extLst>
                <c:ext xmlns:c15="http://schemas.microsoft.com/office/drawing/2012/chart" uri="{02D57815-91ED-43cb-92C2-25804820EDAC}">
                  <c15:fullRef>
                    <c15:sqref>'Participation Rate'!$G$7:$G$21</c15:sqref>
                  </c15:fullRef>
                </c:ext>
              </c:extLst>
              <c:f>('Participation Rate'!$G$7:$G$19,'Participation Rate'!$G$21)</c:f>
              <c:numCache>
                <c:formatCode>0.0</c:formatCode>
                <c:ptCount val="14"/>
                <c:pt idx="0">
                  <c:v>96.880871852686951</c:v>
                </c:pt>
                <c:pt idx="1">
                  <c:v>96.147276523059404</c:v>
                </c:pt>
                <c:pt idx="2">
                  <c:v>91.821463156968036</c:v>
                </c:pt>
                <c:pt idx="3">
                  <c:v>93.517718236819363</c:v>
                </c:pt>
                <c:pt idx="4">
                  <c:v>92.5420168067227</c:v>
                </c:pt>
                <c:pt idx="5">
                  <c:v>90.116118330107824</c:v>
                </c:pt>
                <c:pt idx="6">
                  <c:v>97.777777777777771</c:v>
                </c:pt>
                <c:pt idx="7">
                  <c:v>93.478260869565219</c:v>
                </c:pt>
                <c:pt idx="10">
                  <c:v>97.777777777777771</c:v>
                </c:pt>
                <c:pt idx="11">
                  <c:v>93.597151996697974</c:v>
                </c:pt>
                <c:pt idx="12">
                  <c:v>91.157962674124676</c:v>
                </c:pt>
                <c:pt idx="13">
                  <c:v>0</c:v>
                </c:pt>
              </c:numCache>
            </c:numRef>
          </c:val>
          <c:extLst>
            <c:ext xmlns:c16="http://schemas.microsoft.com/office/drawing/2014/chart" uri="{C3380CC4-5D6E-409C-BE32-E72D297353CC}">
              <c16:uniqueId val="{00000000-4F4F-44E9-8D10-83030F22D25F}"/>
            </c:ext>
          </c:extLst>
        </c:ser>
        <c:dLbls>
          <c:showLegendKey val="0"/>
          <c:showVal val="0"/>
          <c:showCatName val="0"/>
          <c:showSerName val="0"/>
          <c:showPercent val="0"/>
          <c:showBubbleSize val="0"/>
        </c:dLbls>
        <c:gapWidth val="219"/>
        <c:overlap val="-27"/>
        <c:axId val="472931928"/>
        <c:axId val="476721536"/>
        <c:extLst>
          <c:ext xmlns:c15="http://schemas.microsoft.com/office/drawing/2012/chart" uri="{02D57815-91ED-43cb-92C2-25804820EDAC}">
            <c15:filteredBarSeries>
              <c15:ser>
                <c:idx val="8"/>
                <c:order val="1"/>
                <c:tx>
                  <c:strRef>
                    <c:extLst>
                      <c:ext uri="{02D57815-91ED-43cb-92C2-25804820EDAC}">
                        <c15:formulaRef>
                          <c15:sqref>'Participation Rate'!$L$6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'Participation Rate'!$C$7:$C$21</c15:sqref>
                        </c15:fullRef>
                        <c15:formulaRef>
                          <c15:sqref>('Participation Rate'!$C$7:$C$19,'Participation Rate'!$C$21)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Shetland Islands</c:v>
                      </c:pt>
                      <c:pt idx="11">
                        <c:v>LGBF Family Group 1 Average</c:v>
                      </c:pt>
                      <c:pt idx="12">
                        <c:v>Aberdeen City Region</c:v>
                      </c:pt>
                      <c:pt idx="13">
                        <c:v>United Kingdom</c:v>
                      </c:pt>
                    </c:strCache>
                  </c:strRef>
                </c:cat>
                <c:val>
                  <c:numRef>
                    <c:extLst>
                      <c:ext uri="{02D57815-91ED-43cb-92C2-25804820EDAC}">
                        <c15:fullRef>
                          <c15:sqref>'Participation Rate'!$L$7:$L$21</c15:sqref>
                        </c15:fullRef>
                        <c15:formulaRef>
                          <c15:sqref>('Participation Rate'!$L$7:$L$19,'Participation Rate'!$L$21)</c15:sqref>
                        </c15:formulaRef>
                      </c:ext>
                    </c:extLst>
                    <c:numCache>
                      <c:formatCode>#,##0</c:formatCode>
                      <c:ptCount val="14"/>
                      <c:pt idx="0">
                        <c:v>0</c:v>
                      </c:pt>
                      <c:pt idx="1">
                        <c:v>100</c:v>
                      </c:pt>
                      <c:pt idx="2">
                        <c:v>700</c:v>
                      </c:pt>
                      <c:pt idx="3">
                        <c:v>600</c:v>
                      </c:pt>
                      <c:pt idx="4">
                        <c:v>300</c:v>
                      </c:pt>
                      <c:pt idx="5">
                        <c:v>600</c:v>
                      </c:pt>
                      <c:pt idx="6">
                        <c:v>0</c:v>
                      </c:pt>
                      <c:pt idx="7">
                        <c:v>0</c:v>
                      </c:pt>
                    </c:numCache>
                  </c:numRef>
                </c:val>
                <c:extLst>
                  <c:ext xmlns:c16="http://schemas.microsoft.com/office/drawing/2014/chart" uri="{C3380CC4-5D6E-409C-BE32-E72D297353CC}">
                    <c16:uniqueId val="{00000001-4F4F-44E9-8D10-83030F22D25F}"/>
                  </c:ext>
                </c:extLst>
              </c15:ser>
            </c15:filteredBarSeries>
          </c:ext>
        </c:extLst>
      </c:barChart>
      <c:catAx>
        <c:axId val="47293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1536"/>
        <c:crosses val="autoZero"/>
        <c:auto val="1"/>
        <c:lblAlgn val="ctr"/>
        <c:lblOffset val="100"/>
        <c:noMultiLvlLbl val="0"/>
      </c:catAx>
      <c:valAx>
        <c:axId val="47672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'Participation Rate'!$F$23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'Participation Rate'!$L$6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ext>
              </c:extLst>
              <c:f>('Participation Rate'!$C$7:$C$14,'Participation Rate'!$C$21)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'Participation Rate'!$L$7:$L$21</c15:sqref>
                  </c15:fullRef>
                </c:ext>
              </c:extLst>
              <c:f>('Participation Rate'!$L$7:$L$14,'Participation Rate'!$L$21)</c:f>
              <c:numCache>
                <c:formatCode>#,##0</c:formatCode>
                <c:ptCount val="9"/>
                <c:pt idx="0">
                  <c:v>0</c:v>
                </c:pt>
                <c:pt idx="1">
                  <c:v>100</c:v>
                </c:pt>
                <c:pt idx="2">
                  <c:v>700</c:v>
                </c:pt>
                <c:pt idx="3">
                  <c:v>600</c:v>
                </c:pt>
                <c:pt idx="4">
                  <c:v>300</c:v>
                </c:pt>
                <c:pt idx="5">
                  <c:v>600</c:v>
                </c:pt>
                <c:pt idx="6">
                  <c:v>0</c:v>
                </c:pt>
                <c:pt idx="7">
                  <c:v>0</c:v>
                </c:pt>
              </c:numCache>
            </c:numRef>
          </c:val>
          <c:extLst>
            <c:ext xmlns:c16="http://schemas.microsoft.com/office/drawing/2014/chart" uri="{C3380CC4-5D6E-409C-BE32-E72D297353CC}">
              <c16:uniqueId val="{00000000-00F2-44E1-A558-4E5E117B9A5E}"/>
            </c:ext>
          </c:extLst>
        </c:ser>
        <c:dLbls>
          <c:showLegendKey val="0"/>
          <c:showVal val="0"/>
          <c:showCatName val="0"/>
          <c:showSerName val="0"/>
          <c:showPercent val="0"/>
          <c:showBubbleSize val="0"/>
        </c:dLbls>
        <c:gapWidth val="219"/>
        <c:axId val="476722320"/>
        <c:axId val="476722712"/>
        <c:extLst>
          <c:ext xmlns:c15="http://schemas.microsoft.com/office/drawing/2012/chart" uri="{02D57815-91ED-43cb-92C2-25804820EDAC}">
            <c15:filteredBarSeries>
              <c15:ser>
                <c:idx val="3"/>
                <c:order val="0"/>
                <c:tx>
                  <c:strRef>
                    <c:extLst>
                      <c:ext uri="{02D57815-91ED-43cb-92C2-25804820EDAC}">
                        <c15:formulaRef>
                          <c15:sqref>'Participation Rate'!$G$6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'Participation Rate'!$C$7:$C$21</c15:sqref>
                        </c15:fullRef>
                        <c15:formulaRef>
                          <c15:sqref>('Participation Rate'!$C$7:$C$14,'Participation Rate'!$C$21)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'Participation Rate'!$G$7:$G$21</c15:sqref>
                        </c15:fullRef>
                        <c15:formulaRef>
                          <c15:sqref>('Participation Rate'!$G$7:$G$14,'Participation Rate'!$G$21)</c15:sqref>
                        </c15:formulaRef>
                      </c:ext>
                    </c:extLst>
                    <c:numCache>
                      <c:formatCode>0.0</c:formatCode>
                      <c:ptCount val="9"/>
                      <c:pt idx="0">
                        <c:v>96.880871852686951</c:v>
                      </c:pt>
                      <c:pt idx="1">
                        <c:v>96.147276523059404</c:v>
                      </c:pt>
                      <c:pt idx="2">
                        <c:v>91.821463156968036</c:v>
                      </c:pt>
                      <c:pt idx="3">
                        <c:v>93.517718236819363</c:v>
                      </c:pt>
                      <c:pt idx="4">
                        <c:v>92.5420168067227</c:v>
                      </c:pt>
                      <c:pt idx="5">
                        <c:v>90.116118330107824</c:v>
                      </c:pt>
                      <c:pt idx="6">
                        <c:v>97.777777777777771</c:v>
                      </c:pt>
                      <c:pt idx="7">
                        <c:v>93.478260869565219</c:v>
                      </c:pt>
                      <c:pt idx="8">
                        <c:v>0</c:v>
                      </c:pt>
                    </c:numCache>
                  </c:numRef>
                </c:val>
                <c:extLst>
                  <c:ext xmlns:c16="http://schemas.microsoft.com/office/drawing/2014/chart" uri="{C3380CC4-5D6E-409C-BE32-E72D297353CC}">
                    <c16:uniqueId val="{00000001-00F2-44E1-A558-4E5E117B9A5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'Participation Rate'!$K$6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15:formulaRef>
                          <c15:sqref>('Participation Rate'!$C$7:$C$14,'Participation Rate'!$C$21)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'Participation Rate'!$K$7:$K$21</c15:sqref>
                        </c15:fullRef>
                        <c15:formulaRef>
                          <c15:sqref>('Participation Rate'!$K$7:$K$14,'Participation Rate'!$K$21)</c15:sqref>
                        </c15:formulaRef>
                      </c:ext>
                    </c:extLst>
                    <c:numCache>
                      <c:formatCode>0.0</c:formatCode>
                      <c:ptCount val="9"/>
                      <c:pt idx="0">
                        <c:v>0.89690592509082023</c:v>
                      </c:pt>
                      <c:pt idx="1">
                        <c:v>1.6305012547183679</c:v>
                      </c:pt>
                      <c:pt idx="2">
                        <c:v>5.9563146208097351</c:v>
                      </c:pt>
                      <c:pt idx="3">
                        <c:v>4.2600595409584088</c:v>
                      </c:pt>
                      <c:pt idx="4">
                        <c:v>5.2357609710550719</c:v>
                      </c:pt>
                      <c:pt idx="5">
                        <c:v>7.6616594476699476</c:v>
                      </c:pt>
                      <c:pt idx="6">
                        <c:v>0</c:v>
                      </c:pt>
                      <c:pt idx="7">
                        <c:v>4.2995169082125528</c:v>
                      </c:pt>
                    </c:numCache>
                  </c:numRef>
                </c:val>
                <c:extLst xmlns:c15="http://schemas.microsoft.com/office/drawing/2012/chart">
                  <c:ext xmlns:c16="http://schemas.microsoft.com/office/drawing/2014/chart" uri="{C3380CC4-5D6E-409C-BE32-E72D297353CC}">
                    <c16:uniqueId val="{00000002-00F2-44E1-A558-4E5E117B9A5E}"/>
                  </c:ext>
                </c:extLst>
              </c15:ser>
            </c15:filteredBarSeries>
          </c:ext>
        </c:extLst>
      </c:barChart>
      <c:catAx>
        <c:axId val="4767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712"/>
        <c:crosses val="autoZero"/>
        <c:auto val="1"/>
        <c:lblAlgn val="ctr"/>
        <c:lblOffset val="100"/>
        <c:noMultiLvlLbl val="0"/>
      </c:catAx>
      <c:valAx>
        <c:axId val="47672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'Degree Quals'!$C$1</c:f>
          <c:strCache>
            <c:ptCount val="1"/>
            <c:pt idx="0">
              <c:v>RQF Level 4+ Qualifications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'Degree Quals'!$G$6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'Degree Quals'!$C$7:$C$21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Renfrewshire</c:v>
                </c:pt>
                <c:pt idx="11">
                  <c:v>LGBF Family Group 3 Average</c:v>
                </c:pt>
                <c:pt idx="12">
                  <c:v>Edinburgh and South East Scotland City Region</c:v>
                </c:pt>
                <c:pt idx="13">
                  <c:v>Scotland</c:v>
                </c:pt>
                <c:pt idx="14">
                  <c:v>United Kingdom</c:v>
                </c:pt>
              </c:strCache>
            </c:strRef>
          </c:cat>
          <c:val>
            <c:numRef>
              <c:f>'Degree Quals'!$G$7:$G$21</c:f>
              <c:numCache>
                <c:formatCode>0.0</c:formatCode>
                <c:ptCount val="15"/>
                <c:pt idx="0">
                  <c:v>51</c:v>
                </c:pt>
                <c:pt idx="1">
                  <c:v>49</c:v>
                </c:pt>
                <c:pt idx="2">
                  <c:v>39.1</c:v>
                </c:pt>
                <c:pt idx="3">
                  <c:v>48.7</c:v>
                </c:pt>
                <c:pt idx="4">
                  <c:v>34.6</c:v>
                </c:pt>
                <c:pt idx="5">
                  <c:v>47.6</c:v>
                </c:pt>
                <c:pt idx="6">
                  <c:v>53</c:v>
                </c:pt>
                <c:pt idx="7">
                  <c:v>50.1</c:v>
                </c:pt>
                <c:pt idx="10">
                  <c:v>70.099999999999994</c:v>
                </c:pt>
                <c:pt idx="11">
                  <c:v>53.82517800333283</c:v>
                </c:pt>
                <c:pt idx="12">
                  <c:v>59.925917351545323</c:v>
                </c:pt>
                <c:pt idx="13">
                  <c:v>55.1</c:v>
                </c:pt>
                <c:pt idx="14">
                  <c:v>47.1</c:v>
                </c:pt>
              </c:numCache>
            </c:numRef>
          </c:val>
          <c:extLst>
            <c:ext xmlns:c16="http://schemas.microsoft.com/office/drawing/2014/chart" uri="{C3380CC4-5D6E-409C-BE32-E72D297353CC}">
              <c16:uniqueId val="{00000000-3D5E-42F8-94D6-6886453870B8}"/>
            </c:ext>
          </c:extLst>
        </c:ser>
        <c:dLbls>
          <c:showLegendKey val="0"/>
          <c:showVal val="0"/>
          <c:showCatName val="0"/>
          <c:showSerName val="0"/>
          <c:showPercent val="0"/>
          <c:showBubbleSize val="0"/>
        </c:dLbls>
        <c:gapWidth val="219"/>
        <c:overlap val="-27"/>
        <c:axId val="476723496"/>
        <c:axId val="47672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'Degree Quals'!$C$7:$C$21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Renfrewshire</c:v>
                      </c:pt>
                      <c:pt idx="11">
                        <c:v>LGBF Family Group 3 Average</c:v>
                      </c:pt>
                      <c:pt idx="12">
                        <c:v>Edinburgh and South East Scotland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3D5E-42F8-94D6-6886453870B8}"/>
                  </c:ext>
                </c:extLst>
              </c15:ser>
            </c15:filteredBarSeries>
          </c:ext>
        </c:extLst>
      </c:barChart>
      <c:catAx>
        <c:axId val="47672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888"/>
        <c:crosses val="autoZero"/>
        <c:auto val="1"/>
        <c:lblAlgn val="ctr"/>
        <c:lblOffset val="100"/>
        <c:noMultiLvlLbl val="0"/>
      </c:catAx>
      <c:valAx>
        <c:axId val="47672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 Poverty'!$L$6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Poverty'!$C$7:$C$21</c15:sqref>
                  </c15:fullRef>
                </c:ext>
              </c:extLst>
              <c:f>('Child Poverty'!$C$7:$C$14,'Child Poverty'!$C$21)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Poverty'!$L$7:$L$21</c15:sqref>
                  </c15:fullRef>
                </c:ext>
              </c:extLst>
              <c:f>('Child Poverty'!$L$7:$L$14,'Child Poverty'!$L$21)</c:f>
              <c:numCache>
                <c:formatCode>#,##0</c:formatCode>
                <c:ptCount val="9"/>
                <c:pt idx="0">
                  <c:v>0</c:v>
                </c:pt>
                <c:pt idx="1">
                  <c:v>-300</c:v>
                </c:pt>
                <c:pt idx="2">
                  <c:v>-1300</c:v>
                </c:pt>
                <c:pt idx="3">
                  <c:v>-5600</c:v>
                </c:pt>
                <c:pt idx="4">
                  <c:v>-2100</c:v>
                </c:pt>
                <c:pt idx="5">
                  <c:v>-3100</c:v>
                </c:pt>
                <c:pt idx="6">
                  <c:v>-100</c:v>
                </c:pt>
                <c:pt idx="7">
                  <c:v>-200</c:v>
                </c:pt>
              </c:numCache>
            </c:numRef>
          </c:val>
          <c:extLst>
            <c:ext xmlns:c16="http://schemas.microsoft.com/office/drawing/2014/chart" uri="{C3380CC4-5D6E-409C-BE32-E72D297353CC}">
              <c16:uniqueId val="{00000000-25CE-4EE9-852A-F7DEEF22FBD8}"/>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 Poverty'!$G$6</c15:sqref>
                        </c15:formulaRef>
                      </c:ext>
                    </c:extLst>
                    <c:strCache>
                      <c:ptCount val="1"/>
                      <c:pt idx="0">
                        <c:v>2022/23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 Poverty'!$C$7:$C$21</c15:sqref>
                        </c15:fullRef>
                        <c15:formulaRef>
                          <c15:sqref>('Child Poverty'!$C$7:$C$14,'Child Poverty'!$C$21)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 Poverty'!$G$7:$G$21</c15:sqref>
                        </c15:fullRef>
                        <c15:formulaRef>
                          <c15:sqref>('Child Poverty'!$G$7:$G$14,'Child Poverty'!$G$21)</c15:sqref>
                        </c15:formulaRef>
                      </c:ext>
                    </c:extLst>
                    <c:numCache>
                      <c:formatCode>0.0</c:formatCode>
                      <c:ptCount val="9"/>
                      <c:pt idx="0">
                        <c:v>14.000661671161652</c:v>
                      </c:pt>
                      <c:pt idx="1">
                        <c:v>15.729714930057526</c:v>
                      </c:pt>
                      <c:pt idx="2">
                        <c:v>16.483284533023834</c:v>
                      </c:pt>
                      <c:pt idx="3">
                        <c:v>20.395955443382263</c:v>
                      </c:pt>
                      <c:pt idx="4">
                        <c:v>21.721845865249634</c:v>
                      </c:pt>
                      <c:pt idx="5">
                        <c:v>21.806700527667999</c:v>
                      </c:pt>
                      <c:pt idx="6">
                        <c:v>16.375871002674103</c:v>
                      </c:pt>
                      <c:pt idx="7">
                        <c:v>19.339099526405334</c:v>
                      </c:pt>
                      <c:pt idx="8">
                        <c:v>28.936021126269207</c:v>
                      </c:pt>
                    </c:numCache>
                  </c:numRef>
                </c:val>
                <c:extLst>
                  <c:ext xmlns:c16="http://schemas.microsoft.com/office/drawing/2014/chart" uri="{C3380CC4-5D6E-409C-BE32-E72D297353CC}">
                    <c16:uniqueId val="{00000001-25CE-4EE9-852A-F7DEEF22FBD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 Poverty'!$K$6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Poverty'!$C$7:$C$21</c15:sqref>
                        </c15:fullRef>
                        <c15:formulaRef>
                          <c15:sqref>('Child Poverty'!$C$7:$C$14,'Child Poverty'!$C$21)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Poverty'!$K$7:$K$21</c15:sqref>
                        </c15:fullRef>
                        <c15:formulaRef>
                          <c15:sqref>('Child Poverty'!$K$7:$K$14,'Child Poverty'!$K$21)</c15:sqref>
                        </c15:formulaRef>
                      </c:ext>
                    </c:extLst>
                    <c:numCache>
                      <c:formatCode>0.0</c:formatCode>
                      <c:ptCount val="9"/>
                      <c:pt idx="0">
                        <c:v>0</c:v>
                      </c:pt>
                      <c:pt idx="1">
                        <c:v>-1.729053258895874</c:v>
                      </c:pt>
                      <c:pt idx="2">
                        <c:v>-2.4826228618621826</c:v>
                      </c:pt>
                      <c:pt idx="3">
                        <c:v>-6.3952937722206116</c:v>
                      </c:pt>
                      <c:pt idx="4">
                        <c:v>-7.7211841940879822</c:v>
                      </c:pt>
                      <c:pt idx="5">
                        <c:v>-7.8060388565063477</c:v>
                      </c:pt>
                      <c:pt idx="6">
                        <c:v>-2.3752093315124512</c:v>
                      </c:pt>
                      <c:pt idx="7">
                        <c:v>-5.3384378552436829</c:v>
                      </c:pt>
                    </c:numCache>
                  </c:numRef>
                </c:val>
                <c:extLst xmlns:c15="http://schemas.microsoft.com/office/drawing/2012/chart">
                  <c:ext xmlns:c16="http://schemas.microsoft.com/office/drawing/2014/chart" uri="{C3380CC4-5D6E-409C-BE32-E72D297353CC}">
                    <c16:uniqueId val="{00000002-25CE-4EE9-852A-F7DEEF22FBD8}"/>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'Degree Quals'!$F$23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'Degree Quals'!$C$7:$C$14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'Degree Quals'!$L$7:$L$14</c:f>
              <c:numCache>
                <c:formatCode>#,##0</c:formatCode>
                <c:ptCount val="8"/>
                <c:pt idx="0">
                  <c:v>2800</c:v>
                </c:pt>
                <c:pt idx="1">
                  <c:v>9900</c:v>
                </c:pt>
                <c:pt idx="2">
                  <c:v>4400</c:v>
                </c:pt>
                <c:pt idx="3">
                  <c:v>30600</c:v>
                </c:pt>
                <c:pt idx="4">
                  <c:v>4600</c:v>
                </c:pt>
                <c:pt idx="5">
                  <c:v>14400</c:v>
                </c:pt>
                <c:pt idx="6">
                  <c:v>14200</c:v>
                </c:pt>
                <c:pt idx="7">
                  <c:v>33000</c:v>
                </c:pt>
              </c:numCache>
            </c:numRef>
          </c:val>
          <c:extLst>
            <c:ext xmlns:c16="http://schemas.microsoft.com/office/drawing/2014/chart" uri="{C3380CC4-5D6E-409C-BE32-E72D297353CC}">
              <c16:uniqueId val="{00000005-84E7-4F7B-ABDF-5FD46F0F4999}"/>
            </c:ext>
          </c:extLst>
        </c:ser>
        <c:dLbls>
          <c:showLegendKey val="0"/>
          <c:showVal val="0"/>
          <c:showCatName val="0"/>
          <c:showSerName val="0"/>
          <c:showPercent val="0"/>
          <c:showBubbleSize val="0"/>
        </c:dLbls>
        <c:gapWidth val="219"/>
        <c:axId val="476724672"/>
        <c:axId val="469451024"/>
        <c:extLst/>
      </c:barChart>
      <c:catAx>
        <c:axId val="47672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1024"/>
        <c:crosses val="autoZero"/>
        <c:auto val="1"/>
        <c:lblAlgn val="ctr"/>
        <c:lblOffset val="100"/>
        <c:noMultiLvlLbl val="0"/>
      </c:catAx>
      <c:valAx>
        <c:axId val="46945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Qualifications'!$C$1</c:f>
          <c:strCache>
            <c:ptCount val="1"/>
            <c:pt idx="0">
              <c:v>No Qualifications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'No Qualifications'!$G$6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'No Qualifications'!$C$7:$C$21</c15:sqref>
                  </c15:fullRef>
                </c:ext>
              </c:extLst>
              <c:f>('No Qualifications'!$C$7:$C$14,'No Qualifications'!$C$16:$C$21)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Aberdeen City</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'No Qualifications'!$G$7:$G$21</c15:sqref>
                  </c15:fullRef>
                </c:ext>
              </c:extLst>
              <c:f>('No Qualifications'!$G$7:$G$14,'No Qualifications'!$G$16:$G$21)</c:f>
              <c:numCache>
                <c:formatCode>#,##0.0</c:formatCode>
                <c:ptCount val="14"/>
                <c:pt idx="0">
                  <c:v>4.9000000000000004</c:v>
                </c:pt>
                <c:pt idx="1">
                  <c:v>6.2</c:v>
                </c:pt>
                <c:pt idx="2">
                  <c:v>0</c:v>
                </c:pt>
                <c:pt idx="3">
                  <c:v>8.6999999999999993</c:v>
                </c:pt>
                <c:pt idx="4">
                  <c:v>0</c:v>
                </c:pt>
                <c:pt idx="5">
                  <c:v>4.3</c:v>
                </c:pt>
                <c:pt idx="6">
                  <c:v>7</c:v>
                </c:pt>
                <c:pt idx="7">
                  <c:v>6.9</c:v>
                </c:pt>
                <c:pt idx="9">
                  <c:v>2.1</c:v>
                </c:pt>
                <c:pt idx="10">
                  <c:v>6.6041206769683587</c:v>
                </c:pt>
                <c:pt idx="11">
                  <c:v>4.5398009950248754</c:v>
                </c:pt>
                <c:pt idx="12">
                  <c:v>8.1999999999999993</c:v>
                </c:pt>
                <c:pt idx="13">
                  <c:v>6.6</c:v>
                </c:pt>
              </c:numCache>
            </c:numRef>
          </c:val>
          <c:extLst>
            <c:ext xmlns:c16="http://schemas.microsoft.com/office/drawing/2014/chart" uri="{C3380CC4-5D6E-409C-BE32-E72D297353CC}">
              <c16:uniqueId val="{00000003-71B7-4831-BA47-3D65FC5ABA9A}"/>
            </c:ext>
          </c:extLst>
        </c:ser>
        <c:dLbls>
          <c:showLegendKey val="0"/>
          <c:showVal val="0"/>
          <c:showCatName val="0"/>
          <c:showSerName val="0"/>
          <c:showPercent val="0"/>
          <c:showBubbleSize val="0"/>
        </c:dLbls>
        <c:gapWidth val="219"/>
        <c:overlap val="-27"/>
        <c:axId val="469450240"/>
        <c:axId val="469449848"/>
        <c:extLst>
          <c:ext xmlns:c15="http://schemas.microsoft.com/office/drawing/2012/chart" uri="{02D57815-91ED-43cb-92C2-25804820EDAC}">
            <c15:filteredBarSeries>
              <c15:ser>
                <c:idx val="8"/>
                <c:order val="1"/>
                <c:tx>
                  <c:strRef>
                    <c:extLst>
                      <c:ext uri="{02D57815-91ED-43cb-92C2-25804820EDAC}">
                        <c15:formulaRef>
                          <c15:sqref>'No Qualifications'!$L$6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'No Qualifications'!$C$7:$C$21</c15:sqref>
                        </c15:fullRef>
                        <c15:formulaRef>
                          <c15:sqref>('No Qualifications'!$C$7:$C$14,'No Qualifications'!$C$16:$C$21)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Aberdeen City</c:v>
                      </c:pt>
                      <c:pt idx="10">
                        <c:v>LGBF Family Group 1 Average</c:v>
                      </c:pt>
                      <c:pt idx="11">
                        <c:v>Aberdeen City Region</c:v>
                      </c:pt>
                      <c:pt idx="12">
                        <c:v>Scotland</c:v>
                      </c:pt>
                      <c:pt idx="13">
                        <c:v>United Kingdom</c:v>
                      </c:pt>
                    </c:strCache>
                  </c:strRef>
                </c:cat>
                <c:val>
                  <c:numRef>
                    <c:extLst>
                      <c:ext uri="{02D57815-91ED-43cb-92C2-25804820EDAC}">
                        <c15:fullRef>
                          <c15:sqref>'No Qualifications'!$L$7:$L$21</c15:sqref>
                        </c15:fullRef>
                        <c15:formulaRef>
                          <c15:sqref>('No Qualifications'!$L$7:$L$14,'No Qualifications'!$L$16:$L$21)</c15:sqref>
                        </c15:formulaRef>
                      </c:ext>
                    </c:extLst>
                    <c:numCache>
                      <c:formatCode>#,##0</c:formatCode>
                      <c:ptCount val="14"/>
                      <c:pt idx="0">
                        <c:v>-400</c:v>
                      </c:pt>
                      <c:pt idx="1">
                        <c:v>-1900</c:v>
                      </c:pt>
                      <c:pt idx="2">
                        <c:v>0</c:v>
                      </c:pt>
                      <c:pt idx="3">
                        <c:v>-9400</c:v>
                      </c:pt>
                      <c:pt idx="4">
                        <c:v>0</c:v>
                      </c:pt>
                      <c:pt idx="5">
                        <c:v>-1400</c:v>
                      </c:pt>
                      <c:pt idx="6">
                        <c:v>-4000</c:v>
                      </c:pt>
                      <c:pt idx="7">
                        <c:v>-7900</c:v>
                      </c:pt>
                    </c:numCache>
                  </c:numRef>
                </c:val>
                <c:extLst>
                  <c:ext xmlns:c16="http://schemas.microsoft.com/office/drawing/2014/chart" uri="{C3380CC4-5D6E-409C-BE32-E72D297353CC}">
                    <c16:uniqueId val="{00000008-71B7-4831-BA47-3D65FC5ABA9A}"/>
                  </c:ext>
                </c:extLst>
              </c15:ser>
            </c15:filteredBarSeries>
          </c:ext>
        </c:extLst>
      </c:barChart>
      <c:catAx>
        <c:axId val="469450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49848"/>
        <c:crosses val="autoZero"/>
        <c:auto val="1"/>
        <c:lblAlgn val="ctr"/>
        <c:lblOffset val="100"/>
        <c:noMultiLvlLbl val="0"/>
      </c:catAx>
      <c:valAx>
        <c:axId val="469449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Qualifications'!$C$7:$C$14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'No Qualifications'!$L$7:$L$14</c:f>
              <c:numCache>
                <c:formatCode>#,##0</c:formatCode>
                <c:ptCount val="8"/>
                <c:pt idx="0">
                  <c:v>-400</c:v>
                </c:pt>
                <c:pt idx="1">
                  <c:v>-1900</c:v>
                </c:pt>
                <c:pt idx="2">
                  <c:v>0</c:v>
                </c:pt>
                <c:pt idx="3">
                  <c:v>-9400</c:v>
                </c:pt>
                <c:pt idx="4">
                  <c:v>0</c:v>
                </c:pt>
                <c:pt idx="5">
                  <c:v>-1400</c:v>
                </c:pt>
                <c:pt idx="6">
                  <c:v>-4000</c:v>
                </c:pt>
                <c:pt idx="7">
                  <c:v>-7900</c:v>
                </c:pt>
              </c:numCache>
            </c:numRef>
          </c:val>
          <c:extLst>
            <c:ext xmlns:c16="http://schemas.microsoft.com/office/drawing/2014/chart" uri="{C3380CC4-5D6E-409C-BE32-E72D297353CC}">
              <c16:uniqueId val="{00000005-0FE5-4271-AA9A-200AA21FE667}"/>
            </c:ext>
          </c:extLst>
        </c:ser>
        <c:dLbls>
          <c:showLegendKey val="0"/>
          <c:showVal val="0"/>
          <c:showCatName val="0"/>
          <c:showSerName val="0"/>
          <c:showPercent val="0"/>
          <c:showBubbleSize val="0"/>
        </c:dLbls>
        <c:gapWidth val="219"/>
        <c:axId val="531517224"/>
        <c:axId val="531517616"/>
        <c:extLst/>
      </c:barChart>
      <c:catAx>
        <c:axId val="531517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616"/>
        <c:crosses val="autoZero"/>
        <c:auto val="1"/>
        <c:lblAlgn val="ctr"/>
        <c:lblOffset val="100"/>
        <c:noMultiLvlLbl val="0"/>
      </c:catAx>
      <c:valAx>
        <c:axId val="53151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Incapacity!$C$1</c:f>
          <c:strCache>
            <c:ptCount val="1"/>
            <c:pt idx="0">
              <c:v>Number of Incapacity-based benefits (per 1,000 16-64 population)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Incapacity!$G$6</c:f>
              <c:strCache>
                <c:ptCount val="1"/>
                <c:pt idx="0">
                  <c:v>Feb-24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Incapacity!$C$7:$C$21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Aberdeenshire</c:v>
                </c:pt>
                <c:pt idx="11">
                  <c:v>LGBF Family Group 1 Average</c:v>
                </c:pt>
                <c:pt idx="12">
                  <c:v>Glasgow City Region</c:v>
                </c:pt>
                <c:pt idx="13">
                  <c:v>Scotland</c:v>
                </c:pt>
                <c:pt idx="14">
                  <c:v>Great Britain</c:v>
                </c:pt>
              </c:strCache>
            </c:strRef>
          </c:cat>
          <c:val>
            <c:numRef>
              <c:f>Incapacity!$G$7:$G$21</c:f>
              <c:numCache>
                <c:formatCode>0.0</c:formatCode>
                <c:ptCount val="15"/>
                <c:pt idx="0">
                  <c:v>42.300748001031728</c:v>
                </c:pt>
                <c:pt idx="1">
                  <c:v>43.037527940080778</c:v>
                </c:pt>
                <c:pt idx="2">
                  <c:v>33.35250143760782</c:v>
                </c:pt>
                <c:pt idx="3">
                  <c:v>34.304037151189313</c:v>
                </c:pt>
                <c:pt idx="4">
                  <c:v>36.588086562058457</c:v>
                </c:pt>
                <c:pt idx="5">
                  <c:v>39.47251707518997</c:v>
                </c:pt>
                <c:pt idx="6">
                  <c:v>50.830380098672777</c:v>
                </c:pt>
                <c:pt idx="7">
                  <c:v>27.81395059036107</c:v>
                </c:pt>
                <c:pt idx="10">
                  <c:v>27.81395059036107</c:v>
                </c:pt>
                <c:pt idx="11">
                  <c:v>36.69416227592766</c:v>
                </c:pt>
                <c:pt idx="12">
                  <c:v>57.490333454509404</c:v>
                </c:pt>
                <c:pt idx="13">
                  <c:v>46.20753025382335</c:v>
                </c:pt>
                <c:pt idx="14">
                  <c:v>0</c:v>
                </c:pt>
              </c:numCache>
            </c:numRef>
          </c:val>
          <c:extLst>
            <c:ext xmlns:c16="http://schemas.microsoft.com/office/drawing/2014/chart" uri="{C3380CC4-5D6E-409C-BE32-E72D297353CC}">
              <c16:uniqueId val="{00000000-8776-4C50-B27B-788488B52626}"/>
            </c:ext>
          </c:extLst>
        </c:ser>
        <c:dLbls>
          <c:showLegendKey val="0"/>
          <c:showVal val="0"/>
          <c:showCatName val="0"/>
          <c:showSerName val="0"/>
          <c:showPercent val="0"/>
          <c:showBubbleSize val="0"/>
        </c:dLbls>
        <c:gapWidth val="219"/>
        <c:overlap val="-27"/>
        <c:axId val="531518400"/>
        <c:axId val="5315187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Incapacity!$C$7:$C$21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Aberdeenshire</c:v>
                      </c:pt>
                      <c:pt idx="11">
                        <c:v>LGBF Family Group 1 Average</c:v>
                      </c:pt>
                      <c:pt idx="12">
                        <c:v>Glasgow City Region</c:v>
                      </c:pt>
                      <c:pt idx="13">
                        <c:v>Scotland</c:v>
                      </c:pt>
                      <c:pt idx="14">
                        <c:v>Great Britain</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8776-4C50-B27B-788488B52626}"/>
                  </c:ext>
                </c:extLst>
              </c15:ser>
            </c15:filteredBarSeries>
          </c:ext>
        </c:extLst>
      </c:barChart>
      <c:catAx>
        <c:axId val="531518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792"/>
        <c:crosses val="autoZero"/>
        <c:auto val="1"/>
        <c:lblAlgn val="ctr"/>
        <c:lblOffset val="100"/>
        <c:noMultiLvlLbl val="0"/>
      </c:catAx>
      <c:valAx>
        <c:axId val="531518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Incapacity!$L$6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ext>
              </c:extLst>
              <c:f>Incapacity!$C$7:$C$14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xmlns:c15="http://schemas.microsoft.com/office/drawing/2012/chart" uri="{02D57815-91ED-43cb-92C2-25804820EDAC}">
                  <c15:fullRef>
                    <c15:sqref>Incapacity!$L$7:$L$14</c15:sqref>
                  </c15:fullRef>
                </c:ext>
              </c:extLst>
              <c:f>Incapacity!$L$7:$L$14</c:f>
              <c:numCache>
                <c:formatCode>#,##0</c:formatCode>
                <c:ptCount val="8"/>
                <c:pt idx="0">
                  <c:v>-300</c:v>
                </c:pt>
                <c:pt idx="1">
                  <c:v>-800</c:v>
                </c:pt>
                <c:pt idx="2">
                  <c:v>-100</c:v>
                </c:pt>
                <c:pt idx="3">
                  <c:v>-1000</c:v>
                </c:pt>
                <c:pt idx="4">
                  <c:v>-100</c:v>
                </c:pt>
                <c:pt idx="5">
                  <c:v>-800</c:v>
                </c:pt>
                <c:pt idx="6">
                  <c:v>-2000</c:v>
                </c:pt>
                <c:pt idx="7">
                  <c:v>0</c:v>
                </c:pt>
              </c:numCache>
            </c:numRef>
          </c:val>
          <c:extLst>
            <c:ext xmlns:c16="http://schemas.microsoft.com/office/drawing/2014/chart" uri="{C3380CC4-5D6E-409C-BE32-E72D297353CC}">
              <c16:uniqueId val="{00000000-82E6-4BCB-8B42-697874FC7FF8}"/>
            </c:ext>
          </c:extLst>
        </c:ser>
        <c:dLbls>
          <c:showLegendKey val="0"/>
          <c:showVal val="0"/>
          <c:showCatName val="0"/>
          <c:showSerName val="0"/>
          <c:showPercent val="0"/>
          <c:showBubbleSize val="0"/>
        </c:dLbls>
        <c:gapWidth val="219"/>
        <c:axId val="531519576"/>
        <c:axId val="53151996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Incapacity!$C$7:$C$14</c15:sqref>
                        </c15:fullRef>
                        <c15:formulaRef>
                          <c15:sqref>Incapacity!$C$7:$C$14</c15:sqref>
                        </c15:formulaRef>
                      </c:ext>
                    </c:extLst>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82E6-4BCB-8B42-697874FC7FF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15:formulaRef>
                          <c15:sqref>Incapacity!$C$7:$C$14</c15:sqref>
                        </c15:formulaRef>
                      </c:ext>
                    </c:extLst>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82E6-4BCB-8B42-697874FC7FF8}"/>
                  </c:ext>
                </c:extLst>
              </c15:ser>
            </c15:filteredBarSeries>
          </c:ext>
        </c:extLst>
      </c:barChart>
      <c:catAx>
        <c:axId val="531519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968"/>
        <c:crosses val="autoZero"/>
        <c:auto val="1"/>
        <c:lblAlgn val="ctr"/>
        <c:lblOffset val="100"/>
        <c:noMultiLvlLbl val="0"/>
      </c:catAx>
      <c:valAx>
        <c:axId val="53151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Health'!$C$1</c:f>
          <c:strCache>
            <c:ptCount val="1"/>
            <c:pt idx="0">
              <c:v>Economic Inactive by reason:  Long-term Ill-health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'Ill Health'!$G$6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ext>
              </c:extLst>
              <c:f>('Ill Health'!$C$7:$C$14,'Ill Health'!$C$16:$C$21)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Edinburgh, City of</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'Ill Health'!$G$7:$G$21</c15:sqref>
                  </c15:fullRef>
                </c:ext>
              </c:extLst>
              <c:f>('Ill Health'!$G$7:$G$14,'Ill Health'!$G$16:$G$21)</c:f>
              <c:numCache>
                <c:formatCode>#,##0.0</c:formatCode>
                <c:ptCount val="14"/>
                <c:pt idx="0">
                  <c:v>35</c:v>
                </c:pt>
                <c:pt idx="1">
                  <c:v>37.700000000000003</c:v>
                </c:pt>
                <c:pt idx="2">
                  <c:v>0</c:v>
                </c:pt>
                <c:pt idx="3">
                  <c:v>39.5</c:v>
                </c:pt>
                <c:pt idx="4">
                  <c:v>0</c:v>
                </c:pt>
                <c:pt idx="5">
                  <c:v>22.1</c:v>
                </c:pt>
                <c:pt idx="6">
                  <c:v>42.9</c:v>
                </c:pt>
                <c:pt idx="7">
                  <c:v>20.8</c:v>
                </c:pt>
                <c:pt idx="9">
                  <c:v>19.899999999999999</c:v>
                </c:pt>
                <c:pt idx="10">
                  <c:v>32.448630136986303</c:v>
                </c:pt>
                <c:pt idx="11">
                  <c:v>27.241962774957702</c:v>
                </c:pt>
                <c:pt idx="12">
                  <c:v>31.6</c:v>
                </c:pt>
                <c:pt idx="13">
                  <c:v>27.5</c:v>
                </c:pt>
              </c:numCache>
            </c:numRef>
          </c:val>
          <c:extLst>
            <c:ext xmlns:c16="http://schemas.microsoft.com/office/drawing/2014/chart" uri="{C3380CC4-5D6E-409C-BE32-E72D297353CC}">
              <c16:uniqueId val="{00000009-B1F4-486E-A18F-966BC3CD8FE8}"/>
            </c:ext>
          </c:extLst>
        </c:ser>
        <c:dLbls>
          <c:showLegendKey val="0"/>
          <c:showVal val="0"/>
          <c:showCatName val="0"/>
          <c:showSerName val="0"/>
          <c:showPercent val="0"/>
          <c:showBubbleSize val="0"/>
        </c:dLbls>
        <c:gapWidth val="219"/>
        <c:overlap val="-27"/>
        <c:axId val="531520752"/>
        <c:axId val="531521144"/>
        <c:extLst>
          <c:ext xmlns:c15="http://schemas.microsoft.com/office/drawing/2012/chart" uri="{02D57815-91ED-43cb-92C2-25804820EDAC}">
            <c15:filteredBarSeries>
              <c15:ser>
                <c:idx val="8"/>
                <c:order val="1"/>
                <c:tx>
                  <c:strRef>
                    <c:extLst>
                      <c:ext uri="{02D57815-91ED-43cb-92C2-25804820EDAC}">
                        <c15:formulaRef>
                          <c15:sqref>'Ill Health'!$L$6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'Ill Health'!$C$7:$C$21</c15:sqref>
                        </c15:fullRef>
                        <c15:formulaRef>
                          <c15:sqref>('Ill Health'!$C$7:$C$14,'Ill Health'!$C$16:$C$21)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Edinburgh, City of</c:v>
                      </c:pt>
                      <c:pt idx="10">
                        <c:v>LGBF Family Group 1 Average</c:v>
                      </c:pt>
                      <c:pt idx="11">
                        <c:v>Aberdeen City Region</c:v>
                      </c:pt>
                      <c:pt idx="12">
                        <c:v>Scotland</c:v>
                      </c:pt>
                      <c:pt idx="13">
                        <c:v>United Kingdom</c:v>
                      </c:pt>
                    </c:strCache>
                  </c:strRef>
                </c:cat>
                <c:val>
                  <c:numRef>
                    <c:extLst>
                      <c:ext uri="{02D57815-91ED-43cb-92C2-25804820EDAC}">
                        <c15:fullRef>
                          <c15:sqref>'Ill Health'!$L$7:$L$21</c15:sqref>
                        </c15:fullRef>
                        <c15:formulaRef>
                          <c15:sqref>('Ill Health'!$L$7:$L$14,'Ill Health'!$L$16:$L$21)</c15:sqref>
                        </c15:formulaRef>
                      </c:ext>
                    </c:extLst>
                    <c:numCache>
                      <c:formatCode>#,##0</c:formatCode>
                      <c:ptCount val="14"/>
                      <c:pt idx="0">
                        <c:v>-500</c:v>
                      </c:pt>
                      <c:pt idx="1">
                        <c:v>-2500</c:v>
                      </c:pt>
                      <c:pt idx="2">
                        <c:v>0</c:v>
                      </c:pt>
                      <c:pt idx="3">
                        <c:v>-6500</c:v>
                      </c:pt>
                      <c:pt idx="4">
                        <c:v>0</c:v>
                      </c:pt>
                      <c:pt idx="5">
                        <c:v>-300</c:v>
                      </c:pt>
                      <c:pt idx="6">
                        <c:v>-5400</c:v>
                      </c:pt>
                      <c:pt idx="7">
                        <c:v>-200</c:v>
                      </c:pt>
                    </c:numCache>
                  </c:numRef>
                </c:val>
                <c:extLst>
                  <c:ext xmlns:c16="http://schemas.microsoft.com/office/drawing/2014/chart" uri="{C3380CC4-5D6E-409C-BE32-E72D297353CC}">
                    <c16:uniqueId val="{0000000E-B1F4-486E-A18F-966BC3CD8FE8}"/>
                  </c:ext>
                </c:extLst>
              </c15:ser>
            </c15:filteredBarSeries>
          </c:ext>
        </c:extLst>
      </c:barChart>
      <c:catAx>
        <c:axId val="531520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144"/>
        <c:crosses val="autoZero"/>
        <c:auto val="1"/>
        <c:lblAlgn val="ctr"/>
        <c:lblOffset val="100"/>
        <c:noMultiLvlLbl val="0"/>
      </c:catAx>
      <c:valAx>
        <c:axId val="531521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'Ill Health'!$L$6</c:f>
              <c:strCache>
                <c:ptCount val="1"/>
                <c:pt idx="0">
                  <c:v>Volume Change Required</c:v>
                </c:pt>
              </c:strCache>
              <c:extLst xmlns:c15="http://schemas.microsoft.com/office/drawing/2012/chart"/>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ext>
              </c:extLst>
              <c:f>('Ill Health'!$C$7:$C$14,'Ill Health'!$C$21)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'Ill Health'!$L$7:$L$21</c15:sqref>
                  </c15:fullRef>
                </c:ext>
              </c:extLst>
              <c:f>('Ill Health'!$L$7:$L$14,'Ill Health'!$L$21)</c:f>
              <c:numCache>
                <c:formatCode>#,##0</c:formatCode>
                <c:ptCount val="9"/>
                <c:pt idx="0">
                  <c:v>-500</c:v>
                </c:pt>
                <c:pt idx="1">
                  <c:v>-2500</c:v>
                </c:pt>
                <c:pt idx="2">
                  <c:v>0</c:v>
                </c:pt>
                <c:pt idx="3">
                  <c:v>-6500</c:v>
                </c:pt>
                <c:pt idx="4">
                  <c:v>0</c:v>
                </c:pt>
                <c:pt idx="5">
                  <c:v>-300</c:v>
                </c:pt>
                <c:pt idx="6">
                  <c:v>-5400</c:v>
                </c:pt>
                <c:pt idx="7">
                  <c:v>-200</c:v>
                </c:pt>
              </c:numCache>
            </c:numRef>
          </c:val>
          <c:extLst>
            <c:ext xmlns:c16="http://schemas.microsoft.com/office/drawing/2014/chart" uri="{C3380CC4-5D6E-409C-BE32-E72D297353CC}">
              <c16:uniqueId val="{00000002-6E63-426A-AE91-40335934403A}"/>
            </c:ext>
          </c:extLst>
        </c:ser>
        <c:dLbls>
          <c:showLegendKey val="0"/>
          <c:showVal val="0"/>
          <c:showCatName val="0"/>
          <c:showSerName val="0"/>
          <c:showPercent val="0"/>
          <c:showBubbleSize val="0"/>
        </c:dLbls>
        <c:gapWidth val="219"/>
        <c:overlap val="-27"/>
        <c:axId val="531521928"/>
        <c:axId val="531522320"/>
        <c:extLst>
          <c:ext xmlns:c15="http://schemas.microsoft.com/office/drawing/2012/chart" uri="{02D57815-91ED-43cb-92C2-25804820EDAC}">
            <c15:filteredBarSeries>
              <c15:ser>
                <c:idx val="1"/>
                <c:order val="0"/>
                <c:tx>
                  <c:strRef>
                    <c:extLst>
                      <c:ext uri="{02D57815-91ED-43cb-92C2-25804820EDAC}">
                        <c15:formulaRef>
                          <c15:sqref>'Ill Health'!$G$6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'Ill Health'!$C$7:$C$21</c15:sqref>
                        </c15:fullRef>
                        <c15:formulaRef>
                          <c15:sqref>('Ill Health'!$C$7:$C$14,'Ill Health'!$C$21)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'Ill Health'!$G$7:$G$21</c15:sqref>
                        </c15:fullRef>
                        <c15:formulaRef>
                          <c15:sqref>('Ill Health'!$G$7:$G$14,'Ill Health'!$G$21)</c15:sqref>
                        </c15:formulaRef>
                      </c:ext>
                    </c:extLst>
                    <c:numCache>
                      <c:formatCode>#,##0.0</c:formatCode>
                      <c:ptCount val="9"/>
                      <c:pt idx="0">
                        <c:v>35</c:v>
                      </c:pt>
                      <c:pt idx="1">
                        <c:v>37.700000000000003</c:v>
                      </c:pt>
                      <c:pt idx="2">
                        <c:v>0</c:v>
                      </c:pt>
                      <c:pt idx="3">
                        <c:v>39.5</c:v>
                      </c:pt>
                      <c:pt idx="4">
                        <c:v>0</c:v>
                      </c:pt>
                      <c:pt idx="5">
                        <c:v>22.1</c:v>
                      </c:pt>
                      <c:pt idx="6">
                        <c:v>42.9</c:v>
                      </c:pt>
                      <c:pt idx="7">
                        <c:v>20.8</c:v>
                      </c:pt>
                      <c:pt idx="8">
                        <c:v>27.5</c:v>
                      </c:pt>
                    </c:numCache>
                  </c:numRef>
                </c:val>
                <c:extLst>
                  <c:ext xmlns:c16="http://schemas.microsoft.com/office/drawing/2014/chart" uri="{C3380CC4-5D6E-409C-BE32-E72D297353CC}">
                    <c16:uniqueId val="{00000000-6E63-426A-AE91-40335934403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'Ill Health'!$K$6</c15:sqref>
                        </c15:formulaRef>
                      </c:ext>
                    </c:extLst>
                    <c:strCache>
                      <c:ptCount val="1"/>
                      <c:pt idx="0">
                        <c:v>% Point Change Required</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15:formulaRef>
                          <c15:sqref>('Ill Health'!$C$7:$C$14,'Ill Health'!$C$21)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'Ill Health'!$K$7:$K$21</c15:sqref>
                        </c15:fullRef>
                        <c15:formulaRef>
                          <c15:sqref>('Ill Health'!$K$7:$K$14,'Ill Health'!$K$21)</c15:sqref>
                        </c15:formulaRef>
                      </c:ext>
                    </c:extLst>
                    <c:numCache>
                      <c:formatCode>0.0</c:formatCode>
                      <c:ptCount val="9"/>
                      <c:pt idx="0">
                        <c:v>-15.100000000000001</c:v>
                      </c:pt>
                      <c:pt idx="1">
                        <c:v>-17.800000000000004</c:v>
                      </c:pt>
                      <c:pt idx="2">
                        <c:v>0</c:v>
                      </c:pt>
                      <c:pt idx="3">
                        <c:v>-19.600000000000001</c:v>
                      </c:pt>
                      <c:pt idx="4">
                        <c:v>0</c:v>
                      </c:pt>
                      <c:pt idx="5">
                        <c:v>-2.2000000000000028</c:v>
                      </c:pt>
                      <c:pt idx="6">
                        <c:v>-23</c:v>
                      </c:pt>
                      <c:pt idx="7">
                        <c:v>-0.90000000000000213</c:v>
                      </c:pt>
                    </c:numCache>
                  </c:numRef>
                </c:val>
                <c:extLst xmlns:c15="http://schemas.microsoft.com/office/drawing/2012/chart">
                  <c:ext xmlns:c16="http://schemas.microsoft.com/office/drawing/2014/chart" uri="{C3380CC4-5D6E-409C-BE32-E72D297353CC}">
                    <c16:uniqueId val="{00000001-6E63-426A-AE91-40335934403A}"/>
                  </c:ext>
                </c:extLst>
              </c15:ser>
            </c15:filteredBarSeries>
          </c:ext>
        </c:extLst>
      </c:barChart>
      <c:catAx>
        <c:axId val="53152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2320"/>
        <c:crosses val="autoZero"/>
        <c:auto val="1"/>
        <c:lblAlgn val="ctr"/>
        <c:lblOffset val="100"/>
        <c:noMultiLvlLbl val="0"/>
      </c:catAx>
      <c:valAx>
        <c:axId val="53152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Inactivity'!$C$1</c:f>
          <c:strCache>
            <c:ptCount val="1"/>
            <c:pt idx="0">
              <c:v>Economic Inactivity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'Economic Inactivity'!$G$6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Glasgow City Region</c:v>
                </c:pt>
                <c:pt idx="13">
                  <c:v>Scotland</c:v>
                </c:pt>
                <c:pt idx="14">
                  <c:v>United Kingdom</c:v>
                </c:pt>
              </c:strCache>
            </c:strRef>
          </c:cat>
          <c:val>
            <c:numRef>
              <c:f>'Economic Inactivity'!$G$7:$G$21</c:f>
              <c:numCache>
                <c:formatCode>0.0</c:formatCode>
                <c:ptCount val="15"/>
                <c:pt idx="0">
                  <c:v>20.9</c:v>
                </c:pt>
                <c:pt idx="1">
                  <c:v>29.5</c:v>
                </c:pt>
                <c:pt idx="2">
                  <c:v>15.7</c:v>
                </c:pt>
                <c:pt idx="3">
                  <c:v>22.9</c:v>
                </c:pt>
                <c:pt idx="4">
                  <c:v>11.7</c:v>
                </c:pt>
                <c:pt idx="5">
                  <c:v>21.3</c:v>
                </c:pt>
                <c:pt idx="6">
                  <c:v>27.4</c:v>
                </c:pt>
                <c:pt idx="7">
                  <c:v>14.6</c:v>
                </c:pt>
                <c:pt idx="10">
                  <c:v>11.7</c:v>
                </c:pt>
                <c:pt idx="11">
                  <c:v>20.92065197922264</c:v>
                </c:pt>
                <c:pt idx="12">
                  <c:v>24.7</c:v>
                </c:pt>
                <c:pt idx="13">
                  <c:v>22.5</c:v>
                </c:pt>
                <c:pt idx="14">
                  <c:v>21.3</c:v>
                </c:pt>
              </c:numCache>
            </c:numRef>
          </c:val>
          <c:extLst>
            <c:ext xmlns:c16="http://schemas.microsoft.com/office/drawing/2014/chart" uri="{C3380CC4-5D6E-409C-BE32-E72D297353CC}">
              <c16:uniqueId val="{00000000-ECA7-4E05-B8E0-CA5ADDE8489B}"/>
            </c:ext>
          </c:extLst>
        </c:ser>
        <c:dLbls>
          <c:showLegendKey val="0"/>
          <c:showVal val="0"/>
          <c:showCatName val="0"/>
          <c:showSerName val="0"/>
          <c:showPercent val="0"/>
          <c:showBubbleSize val="0"/>
        </c:dLbls>
        <c:gapWidth val="219"/>
        <c:overlap val="-27"/>
        <c:axId val="533255248"/>
        <c:axId val="53325564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'Economic Inactivity'!$C$7:$C$21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Glasgow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ECA7-4E05-B8E0-CA5ADDE8489B}"/>
                  </c:ext>
                </c:extLst>
              </c15:ser>
            </c15:filteredBarSeries>
          </c:ext>
        </c:extLst>
      </c:barChart>
      <c:catAx>
        <c:axId val="53325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640"/>
        <c:crosses val="autoZero"/>
        <c:auto val="1"/>
        <c:lblAlgn val="ctr"/>
        <c:lblOffset val="100"/>
        <c:noMultiLvlLbl val="0"/>
      </c:catAx>
      <c:valAx>
        <c:axId val="533255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'Economic Inactivity'!$L$7:$L$14</c:f>
              <c:numCache>
                <c:formatCode>#,##0</c:formatCode>
                <c:ptCount val="8"/>
                <c:pt idx="0">
                  <c:v>-1400</c:v>
                </c:pt>
                <c:pt idx="1">
                  <c:v>-8700</c:v>
                </c:pt>
                <c:pt idx="2">
                  <c:v>-500</c:v>
                </c:pt>
                <c:pt idx="3">
                  <c:v>-16200</c:v>
                </c:pt>
                <c:pt idx="4">
                  <c:v>0</c:v>
                </c:pt>
                <c:pt idx="5">
                  <c:v>-6400</c:v>
                </c:pt>
                <c:pt idx="6">
                  <c:v>-13300</c:v>
                </c:pt>
                <c:pt idx="7">
                  <c:v>-4900</c:v>
                </c:pt>
              </c:numCache>
            </c:numRef>
          </c:val>
          <c:extLst>
            <c:ext xmlns:c16="http://schemas.microsoft.com/office/drawing/2014/chart" uri="{C3380CC4-5D6E-409C-BE32-E72D297353CC}">
              <c16:uniqueId val="{00000005-6A42-43A2-B577-BBFF0313F2E2}"/>
            </c:ext>
          </c:extLst>
        </c:ser>
        <c:dLbls>
          <c:showLegendKey val="0"/>
          <c:showVal val="0"/>
          <c:showCatName val="0"/>
          <c:showSerName val="0"/>
          <c:showPercent val="0"/>
          <c:showBubbleSize val="0"/>
        </c:dLbls>
        <c:gapWidth val="219"/>
        <c:axId val="533256424"/>
        <c:axId val="533256816"/>
        <c:extLst/>
      </c:barChart>
      <c:catAx>
        <c:axId val="533256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816"/>
        <c:crosses val="autoZero"/>
        <c:auto val="1"/>
        <c:lblAlgn val="ctr"/>
        <c:lblOffset val="100"/>
        <c:noMultiLvlLbl val="0"/>
      </c:catAx>
      <c:valAx>
        <c:axId val="53325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Employment!$C$1</c:f>
          <c:strCache>
            <c:ptCount val="1"/>
            <c:pt idx="0">
              <c:v>Employment Rate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Employment!$G$6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Employment!$C$7:$C$21</c:f>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f>Employment!$G$7:$G$21</c:f>
              <c:numCache>
                <c:formatCode>0.0</c:formatCode>
                <c:ptCount val="15"/>
                <c:pt idx="0">
                  <c:v>70.5</c:v>
                </c:pt>
                <c:pt idx="1">
                  <c:v>72.8</c:v>
                </c:pt>
                <c:pt idx="2">
                  <c:v>73.5</c:v>
                </c:pt>
                <c:pt idx="3">
                  <c:v>74.7</c:v>
                </c:pt>
                <c:pt idx="4">
                  <c:v>82.1</c:v>
                </c:pt>
                <c:pt idx="5">
                  <c:v>71.900000000000006</c:v>
                </c:pt>
                <c:pt idx="6">
                  <c:v>63.7</c:v>
                </c:pt>
                <c:pt idx="7">
                  <c:v>71.2</c:v>
                </c:pt>
                <c:pt idx="10">
                  <c:v>88.3</c:v>
                </c:pt>
                <c:pt idx="11">
                  <c:v>76.894142933906508</c:v>
                </c:pt>
                <c:pt idx="12">
                  <c:v>79.628501827040196</c:v>
                </c:pt>
                <c:pt idx="13">
                  <c:v>74.7</c:v>
                </c:pt>
                <c:pt idx="14">
                  <c:v>75.7</c:v>
                </c:pt>
              </c:numCache>
            </c:numRef>
          </c:val>
          <c:extLst>
            <c:ext xmlns:c16="http://schemas.microsoft.com/office/drawing/2014/chart" uri="{C3380CC4-5D6E-409C-BE32-E72D297353CC}">
              <c16:uniqueId val="{00000000-1147-47C7-BF59-A902C58FFA44}"/>
            </c:ext>
          </c:extLst>
        </c:ser>
        <c:dLbls>
          <c:showLegendKey val="0"/>
          <c:showVal val="0"/>
          <c:showCatName val="0"/>
          <c:showSerName val="0"/>
          <c:showPercent val="0"/>
          <c:showBubbleSize val="0"/>
        </c:dLbls>
        <c:gapWidth val="219"/>
        <c:overlap val="-27"/>
        <c:axId val="533257600"/>
        <c:axId val="533257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Employment!$C$7:$C$21</c15:sqref>
                        </c15:formulaRef>
                      </c:ext>
                    </c:extLst>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1147-47C7-BF59-A902C58FFA44}"/>
                  </c:ext>
                </c:extLst>
              </c15:ser>
            </c15:filteredBarSeries>
          </c:ext>
        </c:extLst>
      </c:barChart>
      <c:catAx>
        <c:axId val="53325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992"/>
        <c:crosses val="autoZero"/>
        <c:auto val="1"/>
        <c:lblAlgn val="ctr"/>
        <c:lblOffset val="100"/>
        <c:noMultiLvlLbl val="0"/>
      </c:catAx>
      <c:valAx>
        <c:axId val="533257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Childcare!$C$1</c:f>
          <c:strCache>
            <c:ptCount val="1"/>
            <c:pt idx="0">
              <c:v>% Children in Childcare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Childcare!$G$6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ext>
              </c:extLst>
              <c:f>(Childcare!$C$7:$C$19,Childcare!$C$21)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Dunbartonshire</c:v>
                </c:pt>
                <c:pt idx="11">
                  <c:v>LGBF Family Group 1 Average</c:v>
                </c:pt>
                <c:pt idx="12">
                  <c:v>Aberdeen City Region</c:v>
                </c:pt>
                <c:pt idx="13">
                  <c:v>United Kingdom</c:v>
                </c:pt>
              </c:strCache>
            </c:strRef>
          </c:cat>
          <c:val>
            <c:numRef>
              <c:extLst>
                <c:ext xmlns:c15="http://schemas.microsoft.com/office/drawing/2012/chart" uri="{02D57815-91ED-43cb-92C2-25804820EDAC}">
                  <c15:fullRef>
                    <c15:sqref>Childcare!$G$7:$G$21</c15:sqref>
                  </c15:fullRef>
                </c:ext>
              </c:extLst>
              <c:f>(Childcare!$G$7:$G$19,Childcare!$G$21)</c:f>
              <c:numCache>
                <c:formatCode>0.0</c:formatCode>
                <c:ptCount val="14"/>
                <c:pt idx="0">
                  <c:v>29.84620070047206</c:v>
                </c:pt>
                <c:pt idx="1">
                  <c:v>35.743547726341667</c:v>
                </c:pt>
                <c:pt idx="2">
                  <c:v>24.290831240479228</c:v>
                </c:pt>
                <c:pt idx="3">
                  <c:v>29.254306954558142</c:v>
                </c:pt>
                <c:pt idx="4">
                  <c:v>31.381616979106447</c:v>
                </c:pt>
                <c:pt idx="5">
                  <c:v>25.543781372002233</c:v>
                </c:pt>
                <c:pt idx="6">
                  <c:v>24.853801169590643</c:v>
                </c:pt>
                <c:pt idx="7">
                  <c:v>16.887137630171686</c:v>
                </c:pt>
                <c:pt idx="10">
                  <c:v>35.743547726341667</c:v>
                </c:pt>
                <c:pt idx="11">
                  <c:v>28.203509011469141</c:v>
                </c:pt>
                <c:pt idx="12">
                  <c:v>24.822947014377412</c:v>
                </c:pt>
                <c:pt idx="13">
                  <c:v>0</c:v>
                </c:pt>
              </c:numCache>
            </c:numRef>
          </c:val>
          <c:extLst>
            <c:ext xmlns:c16="http://schemas.microsoft.com/office/drawing/2014/chart" uri="{C3380CC4-5D6E-409C-BE32-E72D297353CC}">
              <c16:uniqueId val="{00000000-1621-4EDD-A2C4-71FE34A61B5B}"/>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Childcare!$L$6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Childcare!$C$7:$C$21</c15:sqref>
                        </c15:fullRef>
                        <c15:formulaRef>
                          <c15:sqref>(Childcare!$C$7:$C$19,Childcare!$C$21)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Dunbartonshire</c:v>
                      </c:pt>
                      <c:pt idx="11">
                        <c:v>LGBF Family Group 1 Average</c:v>
                      </c:pt>
                      <c:pt idx="12">
                        <c:v>Aberdeen City Region</c:v>
                      </c:pt>
                      <c:pt idx="13">
                        <c:v>United Kingdom</c:v>
                      </c:pt>
                    </c:strCache>
                  </c:strRef>
                </c:cat>
                <c:val>
                  <c:numRef>
                    <c:extLst>
                      <c:ext uri="{02D57815-91ED-43cb-92C2-25804820EDAC}">
                        <c15:fullRef>
                          <c15:sqref>Childcare!$L$7:$L$21</c15:sqref>
                        </c15:fullRef>
                        <c15:formulaRef>
                          <c15:sqref>(Childcare!$L$7:$L$19,Childcare!$L$21)</c15:sqref>
                        </c15:formulaRef>
                      </c:ext>
                    </c:extLst>
                    <c:numCache>
                      <c:formatCode>#,##0</c:formatCode>
                      <c:ptCount val="14"/>
                      <c:pt idx="0">
                        <c:v>1100</c:v>
                      </c:pt>
                      <c:pt idx="1">
                        <c:v>0</c:v>
                      </c:pt>
                      <c:pt idx="2">
                        <c:v>5600</c:v>
                      </c:pt>
                      <c:pt idx="3">
                        <c:v>5100</c:v>
                      </c:pt>
                      <c:pt idx="4">
                        <c:v>1100</c:v>
                      </c:pt>
                      <c:pt idx="5">
                        <c:v>3600</c:v>
                      </c:pt>
                      <c:pt idx="6">
                        <c:v>500</c:v>
                      </c:pt>
                      <c:pt idx="7">
                        <c:v>700</c:v>
                      </c:pt>
                    </c:numCache>
                  </c:numRef>
                </c:val>
                <c:extLst>
                  <c:ext xmlns:c16="http://schemas.microsoft.com/office/drawing/2014/chart" uri="{C3380CC4-5D6E-409C-BE32-E72D297353CC}">
                    <c16:uniqueId val="{00000001-1621-4EDD-A2C4-71FE34A61B5B}"/>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f>Employment!$L$7:$L$14</c:f>
              <c:numCache>
                <c:formatCode>#,##0</c:formatCode>
                <c:ptCount val="8"/>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5-8718-4025-A6C0-FBF0B3D085BC}"/>
            </c:ext>
          </c:extLst>
        </c:ser>
        <c:dLbls>
          <c:showLegendKey val="0"/>
          <c:showVal val="0"/>
          <c:showCatName val="0"/>
          <c:showSerName val="0"/>
          <c:showPercent val="0"/>
          <c:showBubbleSize val="0"/>
        </c:dLbls>
        <c:gapWidth val="219"/>
        <c:axId val="533258776"/>
        <c:axId val="533259168"/>
        <c:extLst/>
      </c:barChart>
      <c:catAx>
        <c:axId val="533258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9168"/>
        <c:crosses val="autoZero"/>
        <c:auto val="1"/>
        <c:lblAlgn val="ctr"/>
        <c:lblOffset val="100"/>
        <c:noMultiLvlLbl val="0"/>
      </c:catAx>
      <c:valAx>
        <c:axId val="53325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8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Unemployment!$C$1</c:f>
          <c:strCache>
            <c:ptCount val="1"/>
            <c:pt idx="0">
              <c:v>Unemployment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3"/>
          <c:tx>
            <c:v>2019</c:v>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Unemployment!$C$7:$C$21</c15:sqref>
                  </c15:fullRef>
                </c:ext>
              </c:extLst>
              <c:f>(Unemployment!$C$7:$C$14,Unemployment!$C$16:$C$21)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Renfrewshire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Unemployment!$G$7:$G$21</c15:sqref>
                  </c15:fullRef>
                </c:ext>
              </c:extLst>
              <c:f>(Unemployment!$G$7:$G$14,Unemployment!$G$16:$G$21)</c:f>
              <c:numCache>
                <c:formatCode>0.0</c:formatCode>
                <c:ptCount val="14"/>
                <c:pt idx="0">
                  <c:v>0</c:v>
                </c:pt>
                <c:pt idx="1">
                  <c:v>3.9</c:v>
                </c:pt>
                <c:pt idx="2">
                  <c:v>0</c:v>
                </c:pt>
                <c:pt idx="3">
                  <c:v>0</c:v>
                </c:pt>
                <c:pt idx="4">
                  <c:v>0</c:v>
                </c:pt>
                <c:pt idx="5">
                  <c:v>5</c:v>
                </c:pt>
                <c:pt idx="6">
                  <c:v>6.7</c:v>
                </c:pt>
                <c:pt idx="7">
                  <c:v>1.5</c:v>
                </c:pt>
                <c:pt idx="9">
                  <c:v>1</c:v>
                </c:pt>
                <c:pt idx="10">
                  <c:v>2.3108291798821932</c:v>
                </c:pt>
                <c:pt idx="11">
                  <c:v>3.2</c:v>
                </c:pt>
                <c:pt idx="12">
                  <c:v>3.6</c:v>
                </c:pt>
                <c:pt idx="13">
                  <c:v>3.8</c:v>
                </c:pt>
              </c:numCache>
            </c:numRef>
          </c:val>
          <c:extLst>
            <c:ext xmlns:c16="http://schemas.microsoft.com/office/drawing/2014/chart" uri="{C3380CC4-5D6E-409C-BE32-E72D297353CC}">
              <c16:uniqueId val="{00000001-61BB-43F2-A765-473349A22150}"/>
            </c:ext>
          </c:extLst>
        </c:ser>
        <c:dLbls>
          <c:showLegendKey val="0"/>
          <c:showVal val="0"/>
          <c:showCatName val="0"/>
          <c:showSerName val="0"/>
          <c:showPercent val="0"/>
          <c:showBubbleSize val="0"/>
        </c:dLbls>
        <c:gapWidth val="219"/>
        <c:overlap val="-27"/>
        <c:axId val="533972336"/>
        <c:axId val="533972728"/>
        <c:extLst>
          <c:ext xmlns:c15="http://schemas.microsoft.com/office/drawing/2012/chart" uri="{02D57815-91ED-43cb-92C2-25804820EDAC}">
            <c15:filteredBarSeries>
              <c15:ser>
                <c:idx val="3"/>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Renfrewshire</c:v>
                      </c:pt>
                      <c:pt idx="10">
                        <c:v>LGBF Family Group 1 Average</c:v>
                      </c:pt>
                      <c:pt idx="11">
                        <c:v>Glasgow City Region</c:v>
                      </c:pt>
                      <c:pt idx="12">
                        <c:v>Scotland</c:v>
                      </c:pt>
                      <c:pt idx="13">
                        <c:v>United Kingdom</c:v>
                      </c:pt>
                    </c:strCache>
                  </c:strRef>
                </c:cat>
                <c:val>
                  <c:numRef>
                    <c:extLst>
                      <c:ext uri="{02D57815-91ED-43cb-92C2-25804820EDAC}">
                        <c15:fullRef>
                          <c15:sqref>Unemployment!$D$7:$D$21</c15:sqref>
                        </c15:fullRef>
                        <c15:formulaRef>
                          <c15:sqref>(Unemployment!$D$7:$D$14,Unemployment!$D$16:$D$21)</c15:sqref>
                        </c15:formulaRef>
                      </c:ext>
                    </c:extLst>
                    <c:numCache>
                      <c:formatCode>0.0</c:formatCode>
                      <c:ptCount val="14"/>
                      <c:pt idx="0">
                        <c:v>0</c:v>
                      </c:pt>
                      <c:pt idx="1">
                        <c:v>2</c:v>
                      </c:pt>
                      <c:pt idx="2">
                        <c:v>0</c:v>
                      </c:pt>
                      <c:pt idx="3">
                        <c:v>2.2000000000000002</c:v>
                      </c:pt>
                      <c:pt idx="4">
                        <c:v>0</c:v>
                      </c:pt>
                      <c:pt idx="5">
                        <c:v>0.9</c:v>
                      </c:pt>
                      <c:pt idx="6">
                        <c:v>6.2</c:v>
                      </c:pt>
                      <c:pt idx="7">
                        <c:v>2.7</c:v>
                      </c:pt>
                      <c:pt idx="9">
                        <c:v>4.5999999999999996</c:v>
                      </c:pt>
                      <c:pt idx="10">
                        <c:v>2.7743064233941515</c:v>
                      </c:pt>
                      <c:pt idx="11">
                        <c:v>4.5999999999999996</c:v>
                      </c:pt>
                      <c:pt idx="12">
                        <c:v>4.4000000000000004</c:v>
                      </c:pt>
                      <c:pt idx="13">
                        <c:v>4.7</c:v>
                      </c:pt>
                    </c:numCache>
                  </c:numRef>
                </c:val>
                <c:extLst>
                  <c:ext xmlns:c16="http://schemas.microsoft.com/office/drawing/2014/chart" uri="{C3380CC4-5D6E-409C-BE32-E72D297353CC}">
                    <c16:uniqueId val="{00000000-0C37-4CA2-83C4-0FBB1A08BA48}"/>
                  </c:ext>
                </c:extLst>
              </c15:ser>
            </c15:filteredBarSeries>
            <c15:filteredBarSeries>
              <c15:ser>
                <c:idx val="8"/>
                <c:order val="1"/>
                <c:spPr>
                  <a:solidFill>
                    <a:schemeClr val="accent3">
                      <a:lumMod val="60000"/>
                    </a:schemeClr>
                  </a:solidFill>
                  <a:ln>
                    <a:noFill/>
                  </a:ln>
                  <a:effectLst/>
                </c:spPr>
                <c:invertIfNegative val="0"/>
                <c:cat>
                  <c:strRef>
                    <c:extLst>
                      <c:ext xmlns:c15="http://schemas.microsoft.com/office/drawing/2012/char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Renfrewshire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Unemployment!$E$7:$E$21</c15:sqref>
                        </c15:fullRef>
                        <c15:formulaRef>
                          <c15:sqref>(Unemployment!$E$7:$E$14,Unemployment!$E$16:$E$21)</c15:sqref>
                        </c15:formulaRef>
                      </c:ext>
                    </c:extLst>
                    <c:numCache>
                      <c:formatCode>0.0</c:formatCode>
                      <c:ptCount val="14"/>
                      <c:pt idx="0">
                        <c:v>0</c:v>
                      </c:pt>
                      <c:pt idx="1">
                        <c:v>2</c:v>
                      </c:pt>
                      <c:pt idx="2">
                        <c:v>0</c:v>
                      </c:pt>
                      <c:pt idx="3">
                        <c:v>4</c:v>
                      </c:pt>
                      <c:pt idx="4">
                        <c:v>0</c:v>
                      </c:pt>
                      <c:pt idx="5">
                        <c:v>7.8</c:v>
                      </c:pt>
                      <c:pt idx="6">
                        <c:v>4.3</c:v>
                      </c:pt>
                      <c:pt idx="7">
                        <c:v>4.5</c:v>
                      </c:pt>
                      <c:pt idx="9">
                        <c:v>3.9</c:v>
                      </c:pt>
                      <c:pt idx="10">
                        <c:v>4.5110821382007824</c:v>
                      </c:pt>
                      <c:pt idx="11">
                        <c:v>3.8</c:v>
                      </c:pt>
                      <c:pt idx="12">
                        <c:v>4</c:v>
                      </c:pt>
                      <c:pt idx="13">
                        <c:v>4.5</c:v>
                      </c:pt>
                    </c:numCache>
                  </c:numRef>
                </c:val>
                <c:extLst xmlns:c15="http://schemas.microsoft.com/office/drawing/2012/chart">
                  <c:ext xmlns:c16="http://schemas.microsoft.com/office/drawing/2014/chart" uri="{C3380CC4-5D6E-409C-BE32-E72D297353CC}">
                    <c16:uniqueId val="{00000002-0C37-4CA2-83C4-0FBB1A08BA48}"/>
                  </c:ext>
                </c:extLst>
              </c15:ser>
            </c15:filteredBarSeries>
            <c15:filteredBarSeries>
              <c15:ser>
                <c:idx val="0"/>
                <c:order val="2"/>
                <c:spPr>
                  <a:solidFill>
                    <a:schemeClr val="accent1"/>
                  </a:solidFill>
                  <a:ln>
                    <a:noFill/>
                  </a:ln>
                  <a:effectLst/>
                </c:spPr>
                <c:invertIfNegative val="0"/>
                <c:cat>
                  <c:strRef>
                    <c:extLst>
                      <c:ext xmlns:c15="http://schemas.microsoft.com/office/drawing/2012/char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Renfrewshire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Unemployment!$F$7:$F$21</c15:sqref>
                        </c15:fullRef>
                        <c15:formulaRef>
                          <c15:sqref>(Unemployment!$F$7:$F$14,Unemployment!$F$16:$F$21)</c15:sqref>
                        </c15:formulaRef>
                      </c:ext>
                    </c:extLst>
                    <c:numCache>
                      <c:formatCode>0.0</c:formatCode>
                      <c:ptCount val="14"/>
                      <c:pt idx="0">
                        <c:v>0</c:v>
                      </c:pt>
                      <c:pt idx="1">
                        <c:v>0</c:v>
                      </c:pt>
                      <c:pt idx="2">
                        <c:v>0</c:v>
                      </c:pt>
                      <c:pt idx="3">
                        <c:v>3.7</c:v>
                      </c:pt>
                      <c:pt idx="4">
                        <c:v>0</c:v>
                      </c:pt>
                      <c:pt idx="5">
                        <c:v>6.3</c:v>
                      </c:pt>
                      <c:pt idx="6">
                        <c:v>4.8</c:v>
                      </c:pt>
                      <c:pt idx="7">
                        <c:v>5.0999999999999996</c:v>
                      </c:pt>
                      <c:pt idx="9">
                        <c:v>3.8</c:v>
                      </c:pt>
                      <c:pt idx="10">
                        <c:v>4.3917213528520946</c:v>
                      </c:pt>
                      <c:pt idx="11">
                        <c:v>3.1</c:v>
                      </c:pt>
                      <c:pt idx="12">
                        <c:v>3.4</c:v>
                      </c:pt>
                      <c:pt idx="13">
                        <c:v>3.6</c:v>
                      </c:pt>
                    </c:numCache>
                  </c:numRef>
                </c:val>
                <c:extLst xmlns:c15="http://schemas.microsoft.com/office/drawing/2012/chart">
                  <c:ext xmlns:c16="http://schemas.microsoft.com/office/drawing/2014/chart" uri="{C3380CC4-5D6E-409C-BE32-E72D297353CC}">
                    <c16:uniqueId val="{00000000-61BB-43F2-A765-473349A22150}"/>
                  </c:ext>
                </c:extLst>
              </c15:ser>
            </c15:filteredBarSeries>
          </c:ext>
        </c:extLst>
      </c:barChart>
      <c:catAx>
        <c:axId val="533972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728"/>
        <c:crosses val="autoZero"/>
        <c:auto val="1"/>
        <c:lblAlgn val="ctr"/>
        <c:lblOffset val="100"/>
        <c:noMultiLvlLbl val="0"/>
      </c:catAx>
      <c:valAx>
        <c:axId val="533972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Unemployment!$C$7:$C$14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Unemployment!$L$7:$L$14</c:f>
              <c:numCache>
                <c:formatCode>#,##0</c:formatCode>
                <c:ptCount val="8"/>
                <c:pt idx="0">
                  <c:v>0</c:v>
                </c:pt>
                <c:pt idx="1">
                  <c:v>-1000</c:v>
                </c:pt>
                <c:pt idx="2">
                  <c:v>0</c:v>
                </c:pt>
                <c:pt idx="3">
                  <c:v>0</c:v>
                </c:pt>
                <c:pt idx="4">
                  <c:v>0</c:v>
                </c:pt>
                <c:pt idx="5">
                  <c:v>-2100</c:v>
                </c:pt>
                <c:pt idx="6">
                  <c:v>-3500</c:v>
                </c:pt>
                <c:pt idx="7">
                  <c:v>-700</c:v>
                </c:pt>
              </c:numCache>
            </c:numRef>
          </c:val>
          <c:extLst>
            <c:ext xmlns:c16="http://schemas.microsoft.com/office/drawing/2014/chart" uri="{C3380CC4-5D6E-409C-BE32-E72D297353CC}">
              <c16:uniqueId val="{00000005-36A8-4F44-A6BF-0596D1B2565A}"/>
            </c:ext>
          </c:extLst>
        </c:ser>
        <c:dLbls>
          <c:showLegendKey val="0"/>
          <c:showVal val="0"/>
          <c:showCatName val="0"/>
          <c:showSerName val="0"/>
          <c:showPercent val="0"/>
          <c:showBubbleSize val="0"/>
        </c:dLbls>
        <c:gapWidth val="219"/>
        <c:axId val="533973512"/>
        <c:axId val="533973904"/>
        <c:extLst/>
      </c:barChart>
      <c:catAx>
        <c:axId val="533973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904"/>
        <c:crosses val="autoZero"/>
        <c:auto val="1"/>
        <c:lblAlgn val="ctr"/>
        <c:lblOffset val="100"/>
        <c:noMultiLvlLbl val="0"/>
      </c:catAx>
      <c:valAx>
        <c:axId val="53397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 Sectors'!$C$1</c:f>
          <c:strCache>
            <c:ptCount val="1"/>
            <c:pt idx="0">
              <c:v>Employment in low pay sectors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 Sectors'!$G$6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 Sectors'!$C$7:$C$21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Aberdeen City Region</c:v>
                </c:pt>
                <c:pt idx="13">
                  <c:v>Scotland</c:v>
                </c:pt>
                <c:pt idx="14">
                  <c:v>Great Britain</c:v>
                </c:pt>
              </c:strCache>
            </c:strRef>
          </c:cat>
          <c:val>
            <c:numRef>
              <c:f>'Low Pay Sectors'!$G$7:$G$21</c:f>
              <c:numCache>
                <c:formatCode>0.0</c:formatCode>
                <c:ptCount val="15"/>
                <c:pt idx="0">
                  <c:v>25</c:v>
                </c:pt>
                <c:pt idx="1">
                  <c:v>33.299999999999997</c:v>
                </c:pt>
                <c:pt idx="2">
                  <c:v>21.4</c:v>
                </c:pt>
                <c:pt idx="3">
                  <c:v>31.6</c:v>
                </c:pt>
                <c:pt idx="4">
                  <c:v>20.8</c:v>
                </c:pt>
                <c:pt idx="5">
                  <c:v>27.3</c:v>
                </c:pt>
                <c:pt idx="6">
                  <c:v>30</c:v>
                </c:pt>
                <c:pt idx="7">
                  <c:v>26</c:v>
                </c:pt>
                <c:pt idx="10">
                  <c:v>20.8</c:v>
                </c:pt>
                <c:pt idx="11">
                  <c:v>28.699276325046085</c:v>
                </c:pt>
                <c:pt idx="12">
                  <c:v>25.879042323839784</c:v>
                </c:pt>
                <c:pt idx="13">
                  <c:v>28.8</c:v>
                </c:pt>
                <c:pt idx="14">
                  <c:v>30.2</c:v>
                </c:pt>
              </c:numCache>
            </c:numRef>
          </c:val>
          <c:extLst>
            <c:ext xmlns:c16="http://schemas.microsoft.com/office/drawing/2014/chart" uri="{C3380CC4-5D6E-409C-BE32-E72D297353CC}">
              <c16:uniqueId val="{00000000-5EB1-4C79-AA37-2D91823FB59D}"/>
            </c:ext>
          </c:extLst>
        </c:ser>
        <c:dLbls>
          <c:showLegendKey val="0"/>
          <c:showVal val="0"/>
          <c:showCatName val="0"/>
          <c:showSerName val="0"/>
          <c:showPercent val="0"/>
          <c:showBubbleSize val="0"/>
        </c:dLbls>
        <c:gapWidth val="219"/>
        <c:overlap val="-27"/>
        <c:axId val="533975080"/>
        <c:axId val="53397547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 Sectors'!$C$7:$C$21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Aberdeen City Region</c:v>
                      </c:pt>
                      <c:pt idx="13">
                        <c:v>Scotland</c:v>
                      </c:pt>
                      <c:pt idx="14">
                        <c:v>Great Britain</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5EB1-4C79-AA37-2D91823FB59D}"/>
                  </c:ext>
                </c:extLst>
              </c15:ser>
            </c15:filteredBarSeries>
          </c:ext>
        </c:extLst>
      </c:barChart>
      <c:catAx>
        <c:axId val="533975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472"/>
        <c:crosses val="autoZero"/>
        <c:auto val="1"/>
        <c:lblAlgn val="ctr"/>
        <c:lblOffset val="100"/>
        <c:noMultiLvlLbl val="0"/>
      </c:catAx>
      <c:valAx>
        <c:axId val="53397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 Sectors'!$F$23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 Sectors'!$L$6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'Low Pay Sectors'!$L$7:$L$14</c15:sqref>
                  </c15:fullRef>
                </c:ext>
              </c:extLst>
              <c:f>'Low Pay Sectors'!$L$7:$L$14</c:f>
              <c:numCache>
                <c:formatCode>#,##0</c:formatCode>
                <c:ptCount val="8"/>
                <c:pt idx="0">
                  <c:v>-500</c:v>
                </c:pt>
                <c:pt idx="1">
                  <c:v>-4500</c:v>
                </c:pt>
                <c:pt idx="2">
                  <c:v>-100</c:v>
                </c:pt>
                <c:pt idx="3">
                  <c:v>-12600</c:v>
                </c:pt>
                <c:pt idx="4">
                  <c:v>0</c:v>
                </c:pt>
                <c:pt idx="5">
                  <c:v>-2900</c:v>
                </c:pt>
                <c:pt idx="6">
                  <c:v>-5500</c:v>
                </c:pt>
                <c:pt idx="7">
                  <c:v>-5400</c:v>
                </c:pt>
              </c:numCache>
            </c:numRef>
          </c:val>
          <c:extLst>
            <c:ext xmlns:c16="http://schemas.microsoft.com/office/drawing/2014/chart" uri="{C3380CC4-5D6E-409C-BE32-E72D297353CC}">
              <c16:uniqueId val="{00000000-D01A-4A55-B0C9-776F59CE20EE}"/>
            </c:ext>
          </c:extLst>
        </c:ser>
        <c:dLbls>
          <c:showLegendKey val="0"/>
          <c:showVal val="0"/>
          <c:showCatName val="0"/>
          <c:showSerName val="0"/>
          <c:showPercent val="0"/>
          <c:showBubbleSize val="0"/>
        </c:dLbls>
        <c:gapWidth val="219"/>
        <c:axId val="533976256"/>
        <c:axId val="53397664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D01A-4A55-B0C9-776F59CE20E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D01A-4A55-B0C9-776F59CE20EE}"/>
                  </c:ext>
                </c:extLst>
              </c15:ser>
            </c15:filteredBarSeries>
          </c:ext>
        </c:extLst>
      </c:barChart>
      <c:catAx>
        <c:axId val="533976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648"/>
        <c:crosses val="autoZero"/>
        <c:auto val="1"/>
        <c:lblAlgn val="ctr"/>
        <c:lblOffset val="100"/>
        <c:noMultiLvlLbl val="0"/>
      </c:catAx>
      <c:valAx>
        <c:axId val="53397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Earnings!$C$1</c:f>
          <c:strCache>
            <c:ptCount val="1"/>
            <c:pt idx="0">
              <c:v>Median Weekly Earnings (Residence-based, full-time)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Earnings!$G$6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Earnings!$C$7:$C$21</c:f>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East Renfrewshire</c:v>
                </c:pt>
                <c:pt idx="11">
                  <c:v>LGBF Family Group 1 Average</c:v>
                </c:pt>
                <c:pt idx="12">
                  <c:v>Edinburgh and South East Scotland City Region</c:v>
                </c:pt>
                <c:pt idx="13">
                  <c:v>Scotland</c:v>
                </c:pt>
                <c:pt idx="14">
                  <c:v>United Kingdom</c:v>
                </c:pt>
              </c:strCache>
            </c:strRef>
          </c:cat>
          <c:val>
            <c:numRef>
              <c:f>Earnings!$G$7:$G$21</c:f>
              <c:numCache>
                <c:formatCode>"£"#,##0.0</c:formatCode>
                <c:ptCount val="15"/>
                <c:pt idx="0">
                  <c:v>740.4</c:v>
                </c:pt>
                <c:pt idx="1">
                  <c:v>724.6</c:v>
                </c:pt>
                <c:pt idx="2">
                  <c:v>859.5</c:v>
                </c:pt>
                <c:pt idx="3">
                  <c:v>721.7</c:v>
                </c:pt>
                <c:pt idx="4">
                  <c:v>778.5</c:v>
                </c:pt>
                <c:pt idx="5">
                  <c:v>723.6</c:v>
                </c:pt>
                <c:pt idx="6">
                  <c:v>673.3</c:v>
                </c:pt>
                <c:pt idx="7">
                  <c:v>721</c:v>
                </c:pt>
                <c:pt idx="10">
                  <c:v>862</c:v>
                </c:pt>
                <c:pt idx="11">
                  <c:v>727.17142857142858</c:v>
                </c:pt>
                <c:pt idx="12">
                  <c:v>729.41666666666663</c:v>
                </c:pt>
                <c:pt idx="13">
                  <c:v>740</c:v>
                </c:pt>
                <c:pt idx="14">
                  <c:v>728.3</c:v>
                </c:pt>
              </c:numCache>
            </c:numRef>
          </c:val>
          <c:extLst>
            <c:ext xmlns:c16="http://schemas.microsoft.com/office/drawing/2014/chart" uri="{C3380CC4-5D6E-409C-BE32-E72D297353CC}">
              <c16:uniqueId val="{00000000-C691-4049-BBF8-9258BA29C779}"/>
            </c:ext>
          </c:extLst>
        </c:ser>
        <c:dLbls>
          <c:showLegendKey val="0"/>
          <c:showVal val="0"/>
          <c:showCatName val="0"/>
          <c:showSerName val="0"/>
          <c:showPercent val="0"/>
          <c:showBubbleSize val="0"/>
        </c:dLbls>
        <c:gapWidth val="219"/>
        <c:overlap val="-27"/>
        <c:axId val="533979392"/>
        <c:axId val="5339797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Earnings!$C$7:$C$21</c15:sqref>
                        </c15:formulaRef>
                      </c:ext>
                    </c:extLst>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East Renfrewshire</c:v>
                      </c:pt>
                      <c:pt idx="11">
                        <c:v>LGBF Family Group 1 Average</c:v>
                      </c:pt>
                      <c:pt idx="12">
                        <c:v>Edinburgh and South East Scotland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C691-4049-BBF8-9258BA29C779}"/>
                  </c:ext>
                </c:extLst>
              </c15:ser>
            </c15:filteredBarSeries>
          </c:ext>
        </c:extLst>
      </c:barChart>
      <c:catAx>
        <c:axId val="53397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784"/>
        <c:crosses val="autoZero"/>
        <c:auto val="1"/>
        <c:lblAlgn val="ctr"/>
        <c:lblOffset val="100"/>
        <c:noMultiLvlLbl val="0"/>
      </c:catAx>
      <c:valAx>
        <c:axId val="533979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Earnings!$K$7:$K$14</c15:sqref>
                  </c15:fullRef>
                </c:ext>
              </c:extLst>
              <c:f>Earnings!$K$7:$K$14</c:f>
              <c:numCache>
                <c:formatCode>"£"#,##0.0</c:formatCode>
                <c:ptCount val="8"/>
                <c:pt idx="0">
                  <c:v>121.60000000000002</c:v>
                </c:pt>
                <c:pt idx="1">
                  <c:v>137.39999999999998</c:v>
                </c:pt>
                <c:pt idx="2">
                  <c:v>2.5</c:v>
                </c:pt>
                <c:pt idx="3">
                  <c:v>140.29999999999995</c:v>
                </c:pt>
                <c:pt idx="4">
                  <c:v>83.5</c:v>
                </c:pt>
                <c:pt idx="5">
                  <c:v>138.39999999999998</c:v>
                </c:pt>
                <c:pt idx="6">
                  <c:v>188.70000000000005</c:v>
                </c:pt>
                <c:pt idx="7">
                  <c:v>141</c:v>
                </c:pt>
              </c:numCache>
            </c:numRef>
          </c:val>
          <c:extLst>
            <c:ext xmlns:c16="http://schemas.microsoft.com/office/drawing/2014/chart" uri="{C3380CC4-5D6E-409C-BE32-E72D297353CC}">
              <c16:uniqueId val="{00000000-88FB-4E52-A6C0-19B3CABABA8E}"/>
            </c:ext>
          </c:extLst>
        </c:ser>
        <c:dLbls>
          <c:showLegendKey val="0"/>
          <c:showVal val="0"/>
          <c:showCatName val="0"/>
          <c:showSerName val="0"/>
          <c:showPercent val="0"/>
          <c:showBubbleSize val="0"/>
        </c:dLbls>
        <c:gapWidth val="219"/>
        <c:axId val="533765584"/>
        <c:axId val="533765976"/>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88FB-4E52-A6C0-19B3CABABA8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88FB-4E52-A6C0-19B3CABABA8E}"/>
                  </c:ext>
                </c:extLst>
              </c15:ser>
            </c15:filteredBarSeries>
          </c:ext>
        </c:extLst>
      </c:barChart>
      <c:catAx>
        <c:axId val="533765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976"/>
        <c:crosses val="autoZero"/>
        <c:auto val="1"/>
        <c:lblAlgn val="ctr"/>
        <c:lblOffset val="100"/>
        <c:noMultiLvlLbl val="0"/>
      </c:catAx>
      <c:valAx>
        <c:axId val="533765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Earnings'!$C$1</c:f>
          <c:strCache>
            <c:ptCount val="1"/>
            <c:pt idx="0">
              <c:v>20th Percentile Weekly Earnings (Residence-based, full-time)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Earnings'!$G$6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Earnings'!$C$7:$C$21</c15:sqref>
                  </c15:fullRef>
                </c:ext>
              </c:extLst>
              <c:f>('Low Earnings'!$C$7:$C$14,'Low Earnings'!$C$16:$C$21)</c:f>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9">
                  <c:v>East Renfrewshire</c:v>
                </c:pt>
                <c:pt idx="10">
                  <c:v>LGBF Family Group 1 Average</c:v>
                </c:pt>
                <c:pt idx="11">
                  <c:v>Edinburgh and South East Scotland City Region</c:v>
                </c:pt>
                <c:pt idx="12">
                  <c:v>Scotland</c:v>
                </c:pt>
                <c:pt idx="13">
                  <c:v>United Kingdom</c:v>
                </c:pt>
              </c:strCache>
            </c:strRef>
          </c:cat>
          <c:val>
            <c:numRef>
              <c:extLst>
                <c:ext xmlns:c15="http://schemas.microsoft.com/office/drawing/2012/chart" uri="{02D57815-91ED-43cb-92C2-25804820EDAC}">
                  <c15:fullRef>
                    <c15:sqref>'Low Earnings'!$G$7:$G$21</c15:sqref>
                  </c15:fullRef>
                </c:ext>
              </c:extLst>
              <c:f>('Low Earnings'!$G$7:$G$14,'Low Earnings'!$G$16:$G$21)</c:f>
              <c:numCache>
                <c:formatCode>"£"#,##0.0</c:formatCode>
                <c:ptCount val="14"/>
                <c:pt idx="0">
                  <c:v>533.20000000000005</c:v>
                </c:pt>
                <c:pt idx="1">
                  <c:v>528.4</c:v>
                </c:pt>
                <c:pt idx="2">
                  <c:v>610.9</c:v>
                </c:pt>
                <c:pt idx="3">
                  <c:v>538.20000000000005</c:v>
                </c:pt>
                <c:pt idx="4">
                  <c:v>552.5</c:v>
                </c:pt>
                <c:pt idx="5">
                  <c:v>502.8</c:v>
                </c:pt>
                <c:pt idx="6">
                  <c:v>513.70000000000005</c:v>
                </c:pt>
                <c:pt idx="7">
                  <c:v>526.79999999999995</c:v>
                </c:pt>
                <c:pt idx="9">
                  <c:v>614.79999999999995</c:v>
                </c:pt>
                <c:pt idx="10">
                  <c:v>537.75714285714287</c:v>
                </c:pt>
                <c:pt idx="11">
                  <c:v>532.76666666666665</c:v>
                </c:pt>
                <c:pt idx="12">
                  <c:v>536.6</c:v>
                </c:pt>
                <c:pt idx="13">
                  <c:v>527</c:v>
                </c:pt>
              </c:numCache>
            </c:numRef>
          </c:val>
          <c:extLst>
            <c:ext xmlns:c16="http://schemas.microsoft.com/office/drawing/2014/chart" uri="{C3380CC4-5D6E-409C-BE32-E72D297353CC}">
              <c16:uniqueId val="{00000000-F8A2-4704-A6C2-6DF7B7E94954}"/>
            </c:ext>
          </c:extLst>
        </c:ser>
        <c:dLbls>
          <c:showLegendKey val="0"/>
          <c:showVal val="0"/>
          <c:showCatName val="0"/>
          <c:showSerName val="0"/>
          <c:showPercent val="0"/>
          <c:showBubbleSize val="0"/>
        </c:dLbls>
        <c:gapWidth val="219"/>
        <c:overlap val="-27"/>
        <c:axId val="533766760"/>
        <c:axId val="53376715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'Low Earnings'!$C$7:$C$21</c15:sqref>
                        </c15:fullRef>
                        <c15:formulaRef>
                          <c15:sqref>('Low Earnings'!$C$7:$C$14,'Low Earnings'!$C$16:$C$21)</c15:sqref>
                        </c15:formulaRef>
                      </c:ext>
                    </c:extLst>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9">
                        <c:v>East Renfrewshire</c:v>
                      </c:pt>
                      <c:pt idx="10">
                        <c:v>LGBF Family Group 1 Average</c:v>
                      </c:pt>
                      <c:pt idx="11">
                        <c:v>Edinburgh and South East Scotland City Region</c:v>
                      </c:pt>
                      <c:pt idx="12">
                        <c:v>Scotland</c:v>
                      </c:pt>
                      <c:pt idx="13">
                        <c:v>United Kingdom</c:v>
                      </c:pt>
                    </c:strCache>
                  </c:strRef>
                </c:cat>
                <c:val>
                  <c:numRef>
                    <c:extLst>
                      <c:ext uri="{02D57815-91ED-43cb-92C2-25804820EDAC}">
                        <c15:fullRef>
                          <c15:sqref>Employment!$L$7:$L$21</c15:sqref>
                        </c15:fullRef>
                        <c15:formulaRef>
                          <c15:sqref>(Employment!$L$7:$L$14,Employment!$L$16:$L$21)</c15:sqref>
                        </c15:formulaRef>
                      </c:ext>
                    </c:extLst>
                    <c:numCache>
                      <c:formatCode>#,##0</c:formatCode>
                      <c:ptCount val="14"/>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F8A2-4704-A6C2-6DF7B7E94954}"/>
                  </c:ext>
                </c:extLst>
              </c15:ser>
            </c15:filteredBarSeries>
          </c:ext>
        </c:extLst>
      </c:barChart>
      <c:catAx>
        <c:axId val="533766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152"/>
        <c:crosses val="autoZero"/>
        <c:auto val="1"/>
        <c:lblAlgn val="ctr"/>
        <c:lblOffset val="100"/>
        <c:noMultiLvlLbl val="0"/>
      </c:catAx>
      <c:valAx>
        <c:axId val="5337671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6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'Low Earnings'!$K$7:$K$14</c15:sqref>
                  </c15:fullRef>
                </c:ext>
              </c:extLst>
              <c:f>'Low Earnings'!$K$7:$K$14</c:f>
              <c:numCache>
                <c:formatCode>"£"#,##0.0</c:formatCode>
                <c:ptCount val="8"/>
                <c:pt idx="0">
                  <c:v>81.599999999999909</c:v>
                </c:pt>
                <c:pt idx="1">
                  <c:v>86.399999999999977</c:v>
                </c:pt>
                <c:pt idx="2">
                  <c:v>3.8999999999999773</c:v>
                </c:pt>
                <c:pt idx="3">
                  <c:v>76.599999999999909</c:v>
                </c:pt>
                <c:pt idx="4">
                  <c:v>62.299999999999955</c:v>
                </c:pt>
                <c:pt idx="5">
                  <c:v>111.99999999999994</c:v>
                </c:pt>
                <c:pt idx="6">
                  <c:v>101.09999999999991</c:v>
                </c:pt>
                <c:pt idx="7">
                  <c:v>88</c:v>
                </c:pt>
              </c:numCache>
            </c:numRef>
          </c:val>
          <c:extLst>
            <c:ext xmlns:c16="http://schemas.microsoft.com/office/drawing/2014/chart" uri="{C3380CC4-5D6E-409C-BE32-E72D297353CC}">
              <c16:uniqueId val="{00000000-40D3-49E2-A801-F344A2847E58}"/>
            </c:ext>
          </c:extLst>
        </c:ser>
        <c:dLbls>
          <c:showLegendKey val="0"/>
          <c:showVal val="0"/>
          <c:showCatName val="0"/>
          <c:showSerName val="0"/>
          <c:showPercent val="0"/>
          <c:showBubbleSize val="0"/>
        </c:dLbls>
        <c:gapWidth val="219"/>
        <c:axId val="533767936"/>
        <c:axId val="53376832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40D3-49E2-A801-F344A2847E5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40D3-49E2-A801-F344A2847E58}"/>
                  </c:ext>
                </c:extLst>
              </c15:ser>
            </c15:filteredBarSeries>
          </c:ext>
        </c:extLst>
      </c:barChart>
      <c:catAx>
        <c:axId val="533767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8328"/>
        <c:crosses val="autoZero"/>
        <c:auto val="1"/>
        <c:lblAlgn val="ctr"/>
        <c:lblOffset val="100"/>
        <c:noMultiLvlLbl val="0"/>
      </c:catAx>
      <c:valAx>
        <c:axId val="533768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Underemployment!$C$1</c:f>
          <c:strCache>
            <c:ptCount val="1"/>
            <c:pt idx="0">
              <c:v>Underemployment Rate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Underemployment!$G$6</c:f>
              <c:strCache>
                <c:ptCount val="1"/>
                <c:pt idx="0">
                  <c:v>2020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Underemployment!$C$7:$C$21</c15:sqref>
                  </c15:fullRef>
                </c:ext>
              </c:extLst>
              <c:f>(Underemployment!$C$7:$C$12,Underemployment!$C$14:$C$18,Underemployment!$C$20:$C$21)</c:f>
              <c:strCache>
                <c:ptCount val="13"/>
                <c:pt idx="0">
                  <c:v>North Lanarkshire</c:v>
                </c:pt>
                <c:pt idx="1">
                  <c:v>Falkirk</c:v>
                </c:pt>
                <c:pt idx="2">
                  <c:v>East Dunbartonshire</c:v>
                </c:pt>
                <c:pt idx="3">
                  <c:v>Aberdeen City</c:v>
                </c:pt>
                <c:pt idx="4">
                  <c:v>Edinburgh, City of</c:v>
                </c:pt>
                <c:pt idx="5">
                  <c:v>West Dunbartonshire</c:v>
                </c:pt>
                <c:pt idx="6">
                  <c:v>Glasgow City</c:v>
                </c:pt>
                <c:pt idx="7">
                  <c:v>-   Estimates not available</c:v>
                </c:pt>
                <c:pt idx="9">
                  <c:v>Falkirk</c:v>
                </c:pt>
                <c:pt idx="10">
                  <c:v>LGBF Family Group 1 Average</c:v>
                </c:pt>
                <c:pt idx="11">
                  <c:v>Scotland</c:v>
                </c:pt>
                <c:pt idx="12">
                  <c:v>United Kingdom</c:v>
                </c:pt>
              </c:strCache>
            </c:strRef>
          </c:cat>
          <c:val>
            <c:numRef>
              <c:extLst>
                <c:ext xmlns:c15="http://schemas.microsoft.com/office/drawing/2012/chart" uri="{02D57815-91ED-43cb-92C2-25804820EDAC}">
                  <c15:fullRef>
                    <c15:sqref>Underemployment!$G$7:$G$21</c15:sqref>
                  </c15:fullRef>
                </c:ext>
              </c:extLst>
              <c:f>(Underemployment!$G$7:$G$12,Underemployment!$G$14:$G$18,Underemployment!$G$20:$G$21)</c:f>
              <c:numCache>
                <c:formatCode>0.0</c:formatCode>
                <c:ptCount val="13"/>
                <c:pt idx="0">
                  <c:v>9.1</c:v>
                </c:pt>
                <c:pt idx="1">
                  <c:v>3.4</c:v>
                </c:pt>
                <c:pt idx="2">
                  <c:v>5.9</c:v>
                </c:pt>
                <c:pt idx="3">
                  <c:v>7</c:v>
                </c:pt>
                <c:pt idx="4">
                  <c:v>9.8000000000000007</c:v>
                </c:pt>
                <c:pt idx="5">
                  <c:v>6</c:v>
                </c:pt>
                <c:pt idx="6">
                  <c:v>6.3</c:v>
                </c:pt>
                <c:pt idx="9">
                  <c:v>3.4</c:v>
                </c:pt>
                <c:pt idx="10">
                  <c:v>7.4584811402809024</c:v>
                </c:pt>
                <c:pt idx="11">
                  <c:v>8.1</c:v>
                </c:pt>
                <c:pt idx="12">
                  <c:v>0</c:v>
                </c:pt>
              </c:numCache>
            </c:numRef>
          </c:val>
          <c:extLst>
            <c:ext xmlns:c16="http://schemas.microsoft.com/office/drawing/2014/chart" uri="{C3380CC4-5D6E-409C-BE32-E72D297353CC}">
              <c16:uniqueId val="{00000000-4B3B-40B3-87FD-C7DA6834E81C}"/>
            </c:ext>
          </c:extLst>
        </c:ser>
        <c:dLbls>
          <c:showLegendKey val="0"/>
          <c:showVal val="0"/>
          <c:showCatName val="0"/>
          <c:showSerName val="0"/>
          <c:showPercent val="0"/>
          <c:showBubbleSize val="0"/>
        </c:dLbls>
        <c:gapWidth val="219"/>
        <c:overlap val="-27"/>
        <c:axId val="534903600"/>
        <c:axId val="534903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Underemployment!$C$7:$C$21</c15:sqref>
                        </c15:fullRef>
                        <c15:formulaRef>
                          <c15:sqref>(Underemployment!$C$7:$C$12,Underemployment!$C$14:$C$18,Underemployment!$C$20:$C$21)</c15:sqref>
                        </c15:formulaRef>
                      </c:ext>
                    </c:extLst>
                    <c:strCache>
                      <c:ptCount val="13"/>
                      <c:pt idx="0">
                        <c:v>North Lanarkshire</c:v>
                      </c:pt>
                      <c:pt idx="1">
                        <c:v>Falkirk</c:v>
                      </c:pt>
                      <c:pt idx="2">
                        <c:v>East Dunbartonshire</c:v>
                      </c:pt>
                      <c:pt idx="3">
                        <c:v>Aberdeen City</c:v>
                      </c:pt>
                      <c:pt idx="4">
                        <c:v>Edinburgh, City of</c:v>
                      </c:pt>
                      <c:pt idx="5">
                        <c:v>West Dunbartonshire</c:v>
                      </c:pt>
                      <c:pt idx="6">
                        <c:v>Glasgow City</c:v>
                      </c:pt>
                      <c:pt idx="7">
                        <c:v>-   Estimates not available</c:v>
                      </c:pt>
                      <c:pt idx="9">
                        <c:v>Falkirk</c:v>
                      </c:pt>
                      <c:pt idx="10">
                        <c:v>LGBF Family Group 1 Average</c:v>
                      </c:pt>
                      <c:pt idx="11">
                        <c:v>Scotland</c:v>
                      </c:pt>
                      <c:pt idx="12">
                        <c:v>United Kingdom</c:v>
                      </c:pt>
                    </c:strCache>
                  </c:strRef>
                </c:cat>
                <c:val>
                  <c:numRef>
                    <c:extLst>
                      <c:ext uri="{02D57815-91ED-43cb-92C2-25804820EDAC}">
                        <c15:fullRef>
                          <c15:sqref>Employment!$L$7:$L$21</c15:sqref>
                        </c15:fullRef>
                        <c15:formulaRef>
                          <c15:sqref>(Employment!$L$7:$L$12,Employment!$L$14:$L$18,Employment!$L$20:$L$21)</c15:sqref>
                        </c15:formulaRef>
                      </c:ext>
                    </c:extLst>
                    <c:numCache>
                      <c:formatCode>#,##0</c:formatCode>
                      <c:ptCount val="13"/>
                      <c:pt idx="0">
                        <c:v>39100</c:v>
                      </c:pt>
                      <c:pt idx="1">
                        <c:v>15600</c:v>
                      </c:pt>
                      <c:pt idx="2">
                        <c:v>9400</c:v>
                      </c:pt>
                      <c:pt idx="3">
                        <c:v>21400</c:v>
                      </c:pt>
                      <c:pt idx="4">
                        <c:v>22100</c:v>
                      </c:pt>
                      <c:pt idx="5">
                        <c:v>9100</c:v>
                      </c:pt>
                      <c:pt idx="6">
                        <c:v>74200</c:v>
                      </c:pt>
                    </c:numCache>
                  </c:numRef>
                </c:val>
                <c:extLst>
                  <c:ext xmlns:c16="http://schemas.microsoft.com/office/drawing/2014/chart" uri="{C3380CC4-5D6E-409C-BE32-E72D297353CC}">
                    <c16:uniqueId val="{00000002-4B3B-40B3-87FD-C7DA6834E81C}"/>
                  </c:ext>
                </c:extLst>
              </c15:ser>
            </c15:filteredBarSeries>
          </c:ext>
        </c:extLst>
      </c:barChart>
      <c:catAx>
        <c:axId val="534903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992"/>
        <c:crosses val="autoZero"/>
        <c:auto val="1"/>
        <c:lblAlgn val="ctr"/>
        <c:lblOffset val="100"/>
        <c:noMultiLvlLbl val="0"/>
      </c:catAx>
      <c:valAx>
        <c:axId val="534903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Childcare!$F$23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Childcare!$L$6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ext>
              </c:extLst>
              <c:f>(Childcare!$C$7:$C$14,Childcare!$C$21)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Childcare!$L$7:$L$21</c15:sqref>
                  </c15:fullRef>
                </c:ext>
              </c:extLst>
              <c:f>(Childcare!$L$7:$L$14,Childcare!$L$21)</c:f>
              <c:numCache>
                <c:formatCode>#,##0</c:formatCode>
                <c:ptCount val="9"/>
                <c:pt idx="0">
                  <c:v>1100</c:v>
                </c:pt>
                <c:pt idx="1">
                  <c:v>0</c:v>
                </c:pt>
                <c:pt idx="2">
                  <c:v>5600</c:v>
                </c:pt>
                <c:pt idx="3">
                  <c:v>5100</c:v>
                </c:pt>
                <c:pt idx="4">
                  <c:v>1100</c:v>
                </c:pt>
                <c:pt idx="5">
                  <c:v>3600</c:v>
                </c:pt>
                <c:pt idx="6">
                  <c:v>500</c:v>
                </c:pt>
                <c:pt idx="7">
                  <c:v>700</c:v>
                </c:pt>
              </c:numCache>
            </c:numRef>
          </c:val>
          <c:extLst>
            <c:ext xmlns:c16="http://schemas.microsoft.com/office/drawing/2014/chart" uri="{C3380CC4-5D6E-409C-BE32-E72D297353CC}">
              <c16:uniqueId val="{00000000-A54F-4BC9-A383-4F0BAB22DF5A}"/>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Childcare!$G$6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Childcare!$C$7:$C$21</c15:sqref>
                        </c15:fullRef>
                        <c15:formulaRef>
                          <c15:sqref>(Childcare!$C$7:$C$14,Childcare!$C$21)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Childcare!$G$7:$G$21</c15:sqref>
                        </c15:fullRef>
                        <c15:formulaRef>
                          <c15:sqref>(Childcare!$G$7:$G$14,Childcare!$G$21)</c15:sqref>
                        </c15:formulaRef>
                      </c:ext>
                    </c:extLst>
                    <c:numCache>
                      <c:formatCode>0.0</c:formatCode>
                      <c:ptCount val="9"/>
                      <c:pt idx="0">
                        <c:v>29.84620070047206</c:v>
                      </c:pt>
                      <c:pt idx="1">
                        <c:v>35.743547726341667</c:v>
                      </c:pt>
                      <c:pt idx="2">
                        <c:v>24.290831240479228</c:v>
                      </c:pt>
                      <c:pt idx="3">
                        <c:v>29.254306954558142</c:v>
                      </c:pt>
                      <c:pt idx="4">
                        <c:v>31.381616979106447</c:v>
                      </c:pt>
                      <c:pt idx="5">
                        <c:v>25.543781372002233</c:v>
                      </c:pt>
                      <c:pt idx="6">
                        <c:v>24.853801169590643</c:v>
                      </c:pt>
                      <c:pt idx="7">
                        <c:v>16.887137630171686</c:v>
                      </c:pt>
                      <c:pt idx="8">
                        <c:v>0</c:v>
                      </c:pt>
                    </c:numCache>
                  </c:numRef>
                </c:val>
                <c:extLst>
                  <c:ext xmlns:c16="http://schemas.microsoft.com/office/drawing/2014/chart" uri="{C3380CC4-5D6E-409C-BE32-E72D297353CC}">
                    <c16:uniqueId val="{00000001-A54F-4BC9-A383-4F0BAB22DF5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Childcare!$K$6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15:formulaRef>
                          <c15:sqref>(Childcare!$C$7:$C$14,Childcare!$C$21)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Childcare!$K$7:$K$21</c15:sqref>
                        </c15:fullRef>
                        <c15:formulaRef>
                          <c15:sqref>(Childcare!$K$7:$K$14,Childcare!$K$21)</c15:sqref>
                        </c15:formulaRef>
                      </c:ext>
                    </c:extLst>
                    <c:numCache>
                      <c:formatCode>0.0</c:formatCode>
                      <c:ptCount val="9"/>
                      <c:pt idx="0">
                        <c:v>5.8973470258696068</c:v>
                      </c:pt>
                      <c:pt idx="1">
                        <c:v>0</c:v>
                      </c:pt>
                      <c:pt idx="2">
                        <c:v>11.452716485862439</c:v>
                      </c:pt>
                      <c:pt idx="3">
                        <c:v>6.4892407717835248</c:v>
                      </c:pt>
                      <c:pt idx="4">
                        <c:v>4.3619307472352205</c:v>
                      </c:pt>
                      <c:pt idx="5">
                        <c:v>10.199766354339435</c:v>
                      </c:pt>
                      <c:pt idx="6">
                        <c:v>10.889746556751025</c:v>
                      </c:pt>
                      <c:pt idx="7">
                        <c:v>18.856410096169981</c:v>
                      </c:pt>
                    </c:numCache>
                  </c:numRef>
                </c:val>
                <c:extLst xmlns:c15="http://schemas.microsoft.com/office/drawing/2012/chart">
                  <c:ext xmlns:c16="http://schemas.microsoft.com/office/drawing/2014/chart" uri="{C3380CC4-5D6E-409C-BE32-E72D297353CC}">
                    <c16:uniqueId val="{00000002-A54F-4BC9-A383-4F0BAB22DF5A}"/>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Underemployment!$F$23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what</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Underemployment!$C$7:$C$14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f>Underemployment!$L$7:$L$14</c:f>
              <c:numCache>
                <c:formatCode>#,##0</c:formatCode>
                <c:ptCount val="8"/>
                <c:pt idx="0">
                  <c:v>-8700</c:v>
                </c:pt>
                <c:pt idx="1">
                  <c:v>0</c:v>
                </c:pt>
                <c:pt idx="2">
                  <c:v>-1300</c:v>
                </c:pt>
                <c:pt idx="3">
                  <c:v>-4200</c:v>
                </c:pt>
                <c:pt idx="4">
                  <c:v>-17400</c:v>
                </c:pt>
                <c:pt idx="5">
                  <c:v>-1100</c:v>
                </c:pt>
                <c:pt idx="6">
                  <c:v>-5200</c:v>
                </c:pt>
                <c:pt idx="7">
                  <c:v>-8900</c:v>
                </c:pt>
              </c:numCache>
            </c:numRef>
          </c:val>
          <c:extLst>
            <c:ext xmlns:c16="http://schemas.microsoft.com/office/drawing/2014/chart" uri="{C3380CC4-5D6E-409C-BE32-E72D297353CC}">
              <c16:uniqueId val="{00000014-B0A9-40F2-8997-E78872CE74F2}"/>
            </c:ext>
          </c:extLst>
        </c:ser>
        <c:dLbls>
          <c:showLegendKey val="0"/>
          <c:showVal val="0"/>
          <c:showCatName val="0"/>
          <c:showSerName val="0"/>
          <c:showPercent val="0"/>
          <c:showBubbleSize val="0"/>
        </c:dLbls>
        <c:gapWidth val="219"/>
        <c:axId val="534904384"/>
        <c:axId val="534904776"/>
        <c:extLst/>
      </c:barChart>
      <c:catAx>
        <c:axId val="534904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776"/>
        <c:crosses val="autoZero"/>
        <c:auto val="1"/>
        <c:lblAlgn val="ctr"/>
        <c:lblOffset val="100"/>
        <c:noMultiLvlLbl val="0"/>
      </c:catAx>
      <c:valAx>
        <c:axId val="534904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'SOC1 Occupations'!$C$1</c:f>
          <c:strCache>
            <c:ptCount val="1"/>
            <c:pt idx="0">
              <c:v>% Employed in SOC1 Occupations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'SOC1 Occupations'!$G$6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'SOC1 Occupations'!$C$7:$C$21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Renfrewshire</c:v>
                </c:pt>
                <c:pt idx="11">
                  <c:v>LGBF Family Group 1 Average</c:v>
                </c:pt>
                <c:pt idx="12">
                  <c:v>Aberdeen City Region</c:v>
                </c:pt>
                <c:pt idx="13">
                  <c:v>Scotland</c:v>
                </c:pt>
                <c:pt idx="14">
                  <c:v>United Kingdom</c:v>
                </c:pt>
              </c:strCache>
            </c:strRef>
          </c:cat>
          <c:val>
            <c:numRef>
              <c:f>'SOC1 Occupations'!$G$7:$G$21</c:f>
              <c:numCache>
                <c:formatCode>0.0</c:formatCode>
                <c:ptCount val="15"/>
                <c:pt idx="0">
                  <c:v>0</c:v>
                </c:pt>
                <c:pt idx="1">
                  <c:v>6.2</c:v>
                </c:pt>
                <c:pt idx="2">
                  <c:v>0</c:v>
                </c:pt>
                <c:pt idx="3">
                  <c:v>9.6</c:v>
                </c:pt>
                <c:pt idx="4">
                  <c:v>0</c:v>
                </c:pt>
                <c:pt idx="5">
                  <c:v>9.1</c:v>
                </c:pt>
                <c:pt idx="6">
                  <c:v>10.7</c:v>
                </c:pt>
                <c:pt idx="7">
                  <c:v>9.6</c:v>
                </c:pt>
                <c:pt idx="10">
                  <c:v>12.8</c:v>
                </c:pt>
                <c:pt idx="11">
                  <c:v>8.604954367666231</c:v>
                </c:pt>
                <c:pt idx="12">
                  <c:v>8.5279940674823873</c:v>
                </c:pt>
                <c:pt idx="13">
                  <c:v>7.7</c:v>
                </c:pt>
                <c:pt idx="14">
                  <c:v>10.7</c:v>
                </c:pt>
              </c:numCache>
            </c:numRef>
          </c:val>
          <c:extLst>
            <c:ext xmlns:c16="http://schemas.microsoft.com/office/drawing/2014/chart" uri="{C3380CC4-5D6E-409C-BE32-E72D297353CC}">
              <c16:uniqueId val="{00000000-F188-48D4-AD30-32C4A11FC001}"/>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'SOC1 Occupations'!$L$6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'SOC1 Occupations'!$C$7:$C$21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Renfrewshire</c:v>
                      </c:pt>
                      <c:pt idx="11">
                        <c:v>LGBF Family Group 1 Average</c:v>
                      </c:pt>
                      <c:pt idx="12">
                        <c:v>Aberdeen City Region</c:v>
                      </c:pt>
                      <c:pt idx="13">
                        <c:v>Scotland</c:v>
                      </c:pt>
                      <c:pt idx="14">
                        <c:v>United Kingdom</c:v>
                      </c:pt>
                    </c:strCache>
                  </c:strRef>
                </c:cat>
                <c:val>
                  <c:numRef>
                    <c:extLst>
                      <c:ext uri="{02D57815-91ED-43cb-92C2-25804820EDAC}">
                        <c15:formulaRef>
                          <c15:sqref>'SOC1 Occupations'!$L$7:$L$21</c15:sqref>
                        </c15:formulaRef>
                      </c:ext>
                    </c:extLst>
                    <c:numCache>
                      <c:formatCode>#,##0</c:formatCode>
                      <c:ptCount val="15"/>
                      <c:pt idx="0">
                        <c:v>0</c:v>
                      </c:pt>
                      <c:pt idx="1">
                        <c:v>2300</c:v>
                      </c:pt>
                      <c:pt idx="2">
                        <c:v>0</c:v>
                      </c:pt>
                      <c:pt idx="3">
                        <c:v>3900</c:v>
                      </c:pt>
                      <c:pt idx="4">
                        <c:v>0</c:v>
                      </c:pt>
                      <c:pt idx="5">
                        <c:v>1900</c:v>
                      </c:pt>
                      <c:pt idx="6">
                        <c:v>1300</c:v>
                      </c:pt>
                      <c:pt idx="7">
                        <c:v>4800</c:v>
                      </c:pt>
                    </c:numCache>
                  </c:numRef>
                </c:val>
                <c:extLst>
                  <c:ext xmlns:c16="http://schemas.microsoft.com/office/drawing/2014/chart" uri="{C3380CC4-5D6E-409C-BE32-E72D297353CC}">
                    <c16:uniqueId val="{00000002-F188-48D4-AD30-32C4A11FC001}"/>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'SOC1 Occupations'!$F$23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'SOC1 Occupations'!$L$6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'SOC1 Occupations'!$C$7:$C$21</c15:sqref>
                  </c15:fullRef>
                </c:ext>
              </c:extLst>
              <c:f>('SOC1 Occupations'!$C$7:$C$14,'SOC1 Occupations'!$C$21)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'SOC1 Occupations'!$L$7:$L$21</c15:sqref>
                  </c15:fullRef>
                </c:ext>
              </c:extLst>
              <c:f>('SOC1 Occupations'!$L$7:$L$14,'SOC1 Occupations'!$L$21)</c:f>
              <c:numCache>
                <c:formatCode>#,##0</c:formatCode>
                <c:ptCount val="9"/>
                <c:pt idx="0">
                  <c:v>0</c:v>
                </c:pt>
                <c:pt idx="1">
                  <c:v>2300</c:v>
                </c:pt>
                <c:pt idx="2">
                  <c:v>0</c:v>
                </c:pt>
                <c:pt idx="3">
                  <c:v>3900</c:v>
                </c:pt>
                <c:pt idx="4">
                  <c:v>0</c:v>
                </c:pt>
                <c:pt idx="5">
                  <c:v>1900</c:v>
                </c:pt>
                <c:pt idx="6">
                  <c:v>1300</c:v>
                </c:pt>
                <c:pt idx="7">
                  <c:v>4800</c:v>
                </c:pt>
              </c:numCache>
            </c:numRef>
          </c:val>
          <c:extLst>
            <c:ext xmlns:c16="http://schemas.microsoft.com/office/drawing/2014/chart" uri="{C3380CC4-5D6E-409C-BE32-E72D297353CC}">
              <c16:uniqueId val="{00000000-93E8-4E14-946C-696CE1F46E80}"/>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'SOC1 Occupations'!$G$6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'SOC1 Occupations'!$C$7:$C$21</c15:sqref>
                        </c15:fullRef>
                        <c15:formulaRef>
                          <c15:sqref>('SOC1 Occupations'!$C$7:$C$14,'SOC1 Occupations'!$C$21)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'SOC1 Occupations'!$G$7:$G$21</c15:sqref>
                        </c15:fullRef>
                        <c15:formulaRef>
                          <c15:sqref>('SOC1 Occupations'!$G$7:$G$14,'SOC1 Occupations'!$G$21)</c15:sqref>
                        </c15:formulaRef>
                      </c:ext>
                    </c:extLst>
                    <c:numCache>
                      <c:formatCode>0.0</c:formatCode>
                      <c:ptCount val="9"/>
                      <c:pt idx="0">
                        <c:v>0</c:v>
                      </c:pt>
                      <c:pt idx="1">
                        <c:v>6.2</c:v>
                      </c:pt>
                      <c:pt idx="2">
                        <c:v>0</c:v>
                      </c:pt>
                      <c:pt idx="3">
                        <c:v>9.6</c:v>
                      </c:pt>
                      <c:pt idx="4">
                        <c:v>0</c:v>
                      </c:pt>
                      <c:pt idx="5">
                        <c:v>9.1</c:v>
                      </c:pt>
                      <c:pt idx="6">
                        <c:v>10.7</c:v>
                      </c:pt>
                      <c:pt idx="7">
                        <c:v>9.6</c:v>
                      </c:pt>
                      <c:pt idx="8">
                        <c:v>10.7</c:v>
                      </c:pt>
                    </c:numCache>
                  </c:numRef>
                </c:val>
                <c:extLst>
                  <c:ext xmlns:c16="http://schemas.microsoft.com/office/drawing/2014/chart" uri="{C3380CC4-5D6E-409C-BE32-E72D297353CC}">
                    <c16:uniqueId val="{00000001-93E8-4E14-946C-696CE1F46E80}"/>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'SOC1 Occupations'!$K$6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'SOC1 Occupations'!$C$7:$C$21</c15:sqref>
                        </c15:fullRef>
                        <c15:formulaRef>
                          <c15:sqref>('SOC1 Occupations'!$C$7:$C$14,'SOC1 Occupations'!$C$21)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'SOC1 Occupations'!$K$7:$K$21</c15:sqref>
                        </c15:fullRef>
                        <c15:formulaRef>
                          <c15:sqref>('SOC1 Occupations'!$K$7:$K$14,'SOC1 Occupations'!$K$21)</c15:sqref>
                        </c15:formulaRef>
                      </c:ext>
                    </c:extLst>
                    <c:numCache>
                      <c:formatCode>0.0</c:formatCode>
                      <c:ptCount val="9"/>
                      <c:pt idx="0">
                        <c:v>0</c:v>
                      </c:pt>
                      <c:pt idx="1">
                        <c:v>6.6000000000000005</c:v>
                      </c:pt>
                      <c:pt idx="2">
                        <c:v>0</c:v>
                      </c:pt>
                      <c:pt idx="3">
                        <c:v>3.2000000000000011</c:v>
                      </c:pt>
                      <c:pt idx="4">
                        <c:v>0</c:v>
                      </c:pt>
                      <c:pt idx="5">
                        <c:v>3.7000000000000011</c:v>
                      </c:pt>
                      <c:pt idx="6">
                        <c:v>2.1000000000000014</c:v>
                      </c:pt>
                      <c:pt idx="7">
                        <c:v>3.2000000000000011</c:v>
                      </c:pt>
                    </c:numCache>
                  </c:numRef>
                </c:val>
                <c:extLst xmlns:c15="http://schemas.microsoft.com/office/drawing/2012/chart">
                  <c:ext xmlns:c16="http://schemas.microsoft.com/office/drawing/2014/chart" uri="{C3380CC4-5D6E-409C-BE32-E72D297353CC}">
                    <c16:uniqueId val="{00000002-93E8-4E14-946C-696CE1F46E80}"/>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hours'!$C$1</c:f>
          <c:strCache>
            <c:ptCount val="1"/>
            <c:pt idx="0">
              <c:v>Satisfactory hours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'Satisfactory hours'!$D$6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'Satisfactory hours'!$C$7:$C$19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West Lothian</c:v>
                </c:pt>
                <c:pt idx="11">
                  <c:v>LGBF Family Group 1 Average</c:v>
                </c:pt>
                <c:pt idx="12">
                  <c:v>Aberdeen City Region</c:v>
                </c:pt>
              </c:strCache>
            </c:strRef>
          </c:cat>
          <c:val>
            <c:numRef>
              <c:f>'Satisfactory hours'!$D$7:$D$19</c:f>
              <c:numCache>
                <c:formatCode>0.0</c:formatCode>
                <c:ptCount val="13"/>
                <c:pt idx="0">
                  <c:v>0</c:v>
                </c:pt>
                <c:pt idx="1">
                  <c:v>81.400000000000006</c:v>
                </c:pt>
                <c:pt idx="2">
                  <c:v>0</c:v>
                </c:pt>
                <c:pt idx="3">
                  <c:v>83.4</c:v>
                </c:pt>
                <c:pt idx="4">
                  <c:v>0</c:v>
                </c:pt>
                <c:pt idx="5">
                  <c:v>84.2</c:v>
                </c:pt>
                <c:pt idx="6">
                  <c:v>80.400000000000006</c:v>
                </c:pt>
                <c:pt idx="7">
                  <c:v>84.3</c:v>
                </c:pt>
                <c:pt idx="10">
                  <c:v>92.7</c:v>
                </c:pt>
                <c:pt idx="11">
                  <c:v>84.033333333333346</c:v>
                </c:pt>
                <c:pt idx="12">
                  <c:v>86.35</c:v>
                </c:pt>
              </c:numCache>
            </c:numRef>
          </c:val>
          <c:extLst>
            <c:ext xmlns:c16="http://schemas.microsoft.com/office/drawing/2014/chart" uri="{C3380CC4-5D6E-409C-BE32-E72D297353CC}">
              <c16:uniqueId val="{00000000-621C-428B-89FC-92C0F7F06B14}"/>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'Satisfactory hours'!$G$6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'Satisfactory hours'!$C$7:$C$19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West Lothian</c:v>
                      </c:pt>
                      <c:pt idx="11">
                        <c:v>LGBF Family Group 1 Average</c:v>
                      </c:pt>
                      <c:pt idx="12">
                        <c:v>Aberdeen City Region</c:v>
                      </c:pt>
                    </c:strCache>
                  </c:strRef>
                </c:cat>
                <c:val>
                  <c:numRef>
                    <c:extLst>
                      <c:ext uri="{02D57815-91ED-43cb-92C2-25804820EDAC}">
                        <c15:formulaRef>
                          <c15:sqref>'Satisfactory hours'!$G$7:$G$19</c15:sqref>
                        </c15:formulaRef>
                      </c:ext>
                    </c:extLst>
                    <c:numCache>
                      <c:formatCode>#,##0</c:formatCode>
                      <c:ptCount val="13"/>
                      <c:pt idx="0">
                        <c:v>0</c:v>
                      </c:pt>
                      <c:pt idx="1">
                        <c:v>4200</c:v>
                      </c:pt>
                      <c:pt idx="2">
                        <c:v>0</c:v>
                      </c:pt>
                      <c:pt idx="3">
                        <c:v>10400</c:v>
                      </c:pt>
                      <c:pt idx="4">
                        <c:v>0</c:v>
                      </c:pt>
                      <c:pt idx="5">
                        <c:v>3500</c:v>
                      </c:pt>
                      <c:pt idx="6">
                        <c:v>7200</c:v>
                      </c:pt>
                      <c:pt idx="7">
                        <c:v>8700</c:v>
                      </c:pt>
                    </c:numCache>
                  </c:numRef>
                </c:val>
                <c:extLst>
                  <c:ext xmlns:c16="http://schemas.microsoft.com/office/drawing/2014/chart" uri="{C3380CC4-5D6E-409C-BE32-E72D297353CC}">
                    <c16:uniqueId val="{00000001-621C-428B-89FC-92C0F7F06B14}"/>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hours'!$F$21</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'Satisfactory hours'!$G$6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hours'!$C$7:$C$19</c15:sqref>
                  </c15:fullRef>
                </c:ext>
              </c:extLst>
              <c:f>('Satisfactory hours'!$C$7:$C$14,'Satisfactory hours'!$C$19)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'Satisfactory hours'!$G$7:$G$19</c15:sqref>
                  </c15:fullRef>
                </c:ext>
              </c:extLst>
              <c:f>('Satisfactory hours'!$G$7:$G$14,'Satisfactory hours'!$G$19)</c:f>
              <c:numCache>
                <c:formatCode>#,##0</c:formatCode>
                <c:ptCount val="9"/>
                <c:pt idx="0">
                  <c:v>0</c:v>
                </c:pt>
                <c:pt idx="1">
                  <c:v>4200</c:v>
                </c:pt>
                <c:pt idx="2">
                  <c:v>0</c:v>
                </c:pt>
                <c:pt idx="3">
                  <c:v>10400</c:v>
                </c:pt>
                <c:pt idx="4">
                  <c:v>0</c:v>
                </c:pt>
                <c:pt idx="5">
                  <c:v>3500</c:v>
                </c:pt>
                <c:pt idx="6">
                  <c:v>7200</c:v>
                </c:pt>
                <c:pt idx="7">
                  <c:v>8700</c:v>
                </c:pt>
              </c:numCache>
            </c:numRef>
          </c:val>
          <c:extLst>
            <c:ext xmlns:c16="http://schemas.microsoft.com/office/drawing/2014/chart" uri="{C3380CC4-5D6E-409C-BE32-E72D297353CC}">
              <c16:uniqueId val="{00000000-272B-40FB-98C2-024EC1B6B577}"/>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'Satisfactory hours'!$D$6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'Satisfactory hours'!$C$7:$C$19</c15:sqref>
                        </c15:fullRef>
                        <c15:formulaRef>
                          <c15:sqref>('Satisfactory hours'!$C$7:$C$14,'Satisfactory hours'!$C$19)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'Satisfactory hours'!$D$7:$D$19</c15:sqref>
                        </c15:fullRef>
                        <c15:formulaRef>
                          <c15:sqref>('Satisfactory hours'!$D$7:$D$14,'Satisfactory hours'!$D$19)</c15:sqref>
                        </c15:formulaRef>
                      </c:ext>
                    </c:extLst>
                    <c:numCache>
                      <c:formatCode>0.0</c:formatCode>
                      <c:ptCount val="9"/>
                      <c:pt idx="0">
                        <c:v>0</c:v>
                      </c:pt>
                      <c:pt idx="1">
                        <c:v>81.400000000000006</c:v>
                      </c:pt>
                      <c:pt idx="2">
                        <c:v>0</c:v>
                      </c:pt>
                      <c:pt idx="3">
                        <c:v>83.4</c:v>
                      </c:pt>
                      <c:pt idx="4">
                        <c:v>0</c:v>
                      </c:pt>
                      <c:pt idx="5">
                        <c:v>84.2</c:v>
                      </c:pt>
                      <c:pt idx="6">
                        <c:v>80.400000000000006</c:v>
                      </c:pt>
                      <c:pt idx="7">
                        <c:v>84.3</c:v>
                      </c:pt>
                      <c:pt idx="8">
                        <c:v>86.35</c:v>
                      </c:pt>
                    </c:numCache>
                  </c:numRef>
                </c:val>
                <c:extLst>
                  <c:ext xmlns:c16="http://schemas.microsoft.com/office/drawing/2014/chart" uri="{C3380CC4-5D6E-409C-BE32-E72D297353CC}">
                    <c16:uniqueId val="{00000001-272B-40FB-98C2-024EC1B6B57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'Satisfactory hours'!$F$6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hours'!$C$7:$C$19</c15:sqref>
                        </c15:fullRef>
                        <c15:formulaRef>
                          <c15:sqref>('Satisfactory hours'!$C$7:$C$14,'Satisfactory hours'!$C$19)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'Satisfactory hours'!$F$7:$F$19</c15:sqref>
                        </c15:fullRef>
                        <c15:formulaRef>
                          <c15:sqref>('Satisfactory hours'!$F$7:$F$14,'Satisfactory hours'!$F$19)</c15:sqref>
                        </c15:formulaRef>
                      </c:ext>
                    </c:extLst>
                    <c:numCache>
                      <c:formatCode>0.0</c:formatCode>
                      <c:ptCount val="9"/>
                      <c:pt idx="0">
                        <c:v>0</c:v>
                      </c:pt>
                      <c:pt idx="1">
                        <c:v>11.299999999999997</c:v>
                      </c:pt>
                      <c:pt idx="2">
                        <c:v>0</c:v>
                      </c:pt>
                      <c:pt idx="3">
                        <c:v>9.2999999999999972</c:v>
                      </c:pt>
                      <c:pt idx="4">
                        <c:v>0</c:v>
                      </c:pt>
                      <c:pt idx="5">
                        <c:v>8.5</c:v>
                      </c:pt>
                      <c:pt idx="6">
                        <c:v>12.299999999999997</c:v>
                      </c:pt>
                      <c:pt idx="7">
                        <c:v>8.4000000000000057</c:v>
                      </c:pt>
                    </c:numCache>
                  </c:numRef>
                </c:val>
                <c:extLst xmlns:c15="http://schemas.microsoft.com/office/drawing/2012/chart">
                  <c:ext xmlns:c16="http://schemas.microsoft.com/office/drawing/2014/chart" uri="{C3380CC4-5D6E-409C-BE32-E72D297353CC}">
                    <c16:uniqueId val="{00000002-272B-40FB-98C2-024EC1B6B577}"/>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pay'!$C$1</c:f>
          <c:strCache>
            <c:ptCount val="1"/>
            <c:pt idx="0">
              <c:v>Low pay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Dumfries and Galloway</c:v>
                </c:pt>
                <c:pt idx="11">
                  <c:v>LGBF Family Group 1 Average</c:v>
                </c:pt>
                <c:pt idx="12">
                  <c:v>Aberdeen City Region</c:v>
                </c:pt>
              </c:strCache>
            </c:strRef>
          </c:cat>
          <c:val>
            <c:numRef>
              <c:f>'Low pay'!$D$7:$D$19</c:f>
              <c:numCache>
                <c:formatCode>0.0</c:formatCode>
                <c:ptCount val="13"/>
                <c:pt idx="0">
                  <c:v>0</c:v>
                </c:pt>
                <c:pt idx="1">
                  <c:v>17.5</c:v>
                </c:pt>
                <c:pt idx="2">
                  <c:v>0</c:v>
                </c:pt>
                <c:pt idx="3">
                  <c:v>11.4</c:v>
                </c:pt>
                <c:pt idx="4">
                  <c:v>0</c:v>
                </c:pt>
                <c:pt idx="5">
                  <c:v>12.2</c:v>
                </c:pt>
                <c:pt idx="6">
                  <c:v>21</c:v>
                </c:pt>
                <c:pt idx="7">
                  <c:v>13.3</c:v>
                </c:pt>
                <c:pt idx="10">
                  <c:v>21</c:v>
                </c:pt>
                <c:pt idx="11">
                  <c:v>10.45</c:v>
                </c:pt>
                <c:pt idx="12">
                  <c:v>12.100000000000001</c:v>
                </c:pt>
              </c:numCache>
            </c:numRef>
          </c:val>
          <c:extLst>
            <c:ext xmlns:c16="http://schemas.microsoft.com/office/drawing/2014/chart" uri="{C3380CC4-5D6E-409C-BE32-E72D297353CC}">
              <c16:uniqueId val="{00000000-D110-4CFC-A430-76E2A7070E0D}"/>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'Low pay'!$G$6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Dumfries and Galloway</c:v>
                      </c:pt>
                      <c:pt idx="11">
                        <c:v>LGBF Family Group 1 Average</c:v>
                      </c:pt>
                      <c:pt idx="12">
                        <c:v>Aberdeen City Region</c:v>
                      </c:pt>
                    </c:strCache>
                  </c:strRef>
                </c:cat>
                <c:val>
                  <c:numRef>
                    <c:extLst>
                      <c:ext uri="{02D57815-91ED-43cb-92C2-25804820EDAC}">
                        <c15:formulaRef>
                          <c15:sqref>'Low pay'!$G$7:$G$19</c15:sqref>
                        </c15:formulaRef>
                      </c:ext>
                    </c:extLst>
                    <c:numCache>
                      <c:formatCode>#,##0</c:formatCode>
                      <c:ptCount val="13"/>
                      <c:pt idx="0">
                        <c:v>0</c:v>
                      </c:pt>
                      <c:pt idx="1">
                        <c:v>1300</c:v>
                      </c:pt>
                      <c:pt idx="2">
                        <c:v>0</c:v>
                      </c:pt>
                      <c:pt idx="3">
                        <c:v>10700</c:v>
                      </c:pt>
                      <c:pt idx="4">
                        <c:v>0</c:v>
                      </c:pt>
                      <c:pt idx="5">
                        <c:v>3700</c:v>
                      </c:pt>
                      <c:pt idx="6">
                        <c:v>0</c:v>
                      </c:pt>
                      <c:pt idx="7">
                        <c:v>7900</c:v>
                      </c:pt>
                    </c:numCache>
                  </c:numRef>
                </c:val>
                <c:extLst>
                  <c:ext xmlns:c16="http://schemas.microsoft.com/office/drawing/2014/chart" uri="{C3380CC4-5D6E-409C-BE32-E72D297353CC}">
                    <c16:uniqueId val="{00000001-D110-4CFC-A430-76E2A7070E0D}"/>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pay'!$F$21</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pay'!$C$7:$C$19</c15:sqref>
                  </c15:fullRef>
                </c:ext>
              </c:extLst>
              <c:f>('Low pay'!$C$7:$C$14,'Low pay'!$C$19)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'Low pay'!$G$7:$G$19</c15:sqref>
                  </c15:fullRef>
                </c:ext>
              </c:extLst>
              <c:f>('Low pay'!$G$7:$G$14,'Low pay'!$G$19)</c:f>
              <c:numCache>
                <c:formatCode>#,##0</c:formatCode>
                <c:ptCount val="9"/>
                <c:pt idx="0">
                  <c:v>0</c:v>
                </c:pt>
                <c:pt idx="1">
                  <c:v>1300</c:v>
                </c:pt>
                <c:pt idx="2">
                  <c:v>0</c:v>
                </c:pt>
                <c:pt idx="3">
                  <c:v>10700</c:v>
                </c:pt>
                <c:pt idx="4">
                  <c:v>0</c:v>
                </c:pt>
                <c:pt idx="5">
                  <c:v>3700</c:v>
                </c:pt>
                <c:pt idx="6">
                  <c:v>0</c:v>
                </c:pt>
                <c:pt idx="7">
                  <c:v>7900</c:v>
                </c:pt>
              </c:numCache>
            </c:numRef>
          </c:val>
          <c:extLst>
            <c:ext xmlns:c16="http://schemas.microsoft.com/office/drawing/2014/chart" uri="{C3380CC4-5D6E-409C-BE32-E72D297353CC}">
              <c16:uniqueId val="{00000000-B7D5-455F-BE20-790311BD92EA}"/>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'Low pay'!$D$6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'Low pay'!$C$7:$C$19</c15:sqref>
                        </c15:fullRef>
                        <c15:formulaRef>
                          <c15:sqref>('Low pay'!$C$7:$C$14,'Low pay'!$C$19)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'Low pay'!$D$7:$D$19</c15:sqref>
                        </c15:fullRef>
                        <c15:formulaRef>
                          <c15:sqref>('Low pay'!$D$7:$D$14,'Low pay'!$D$19)</c15:sqref>
                        </c15:formulaRef>
                      </c:ext>
                    </c:extLst>
                    <c:numCache>
                      <c:formatCode>0.0</c:formatCode>
                      <c:ptCount val="9"/>
                      <c:pt idx="0">
                        <c:v>0</c:v>
                      </c:pt>
                      <c:pt idx="1">
                        <c:v>17.5</c:v>
                      </c:pt>
                      <c:pt idx="2">
                        <c:v>0</c:v>
                      </c:pt>
                      <c:pt idx="3">
                        <c:v>11.4</c:v>
                      </c:pt>
                      <c:pt idx="4">
                        <c:v>0</c:v>
                      </c:pt>
                      <c:pt idx="5">
                        <c:v>12.2</c:v>
                      </c:pt>
                      <c:pt idx="6">
                        <c:v>21</c:v>
                      </c:pt>
                      <c:pt idx="7">
                        <c:v>13.3</c:v>
                      </c:pt>
                      <c:pt idx="8">
                        <c:v>12.100000000000001</c:v>
                      </c:pt>
                    </c:numCache>
                  </c:numRef>
                </c:val>
                <c:extLst>
                  <c:ext xmlns:c16="http://schemas.microsoft.com/office/drawing/2014/chart" uri="{C3380CC4-5D6E-409C-BE32-E72D297353CC}">
                    <c16:uniqueId val="{00000001-B7D5-455F-BE20-790311BD92E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'Low pay'!$F$6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pay'!$C$7:$C$19</c15:sqref>
                        </c15:fullRef>
                        <c15:formulaRef>
                          <c15:sqref>('Low pay'!$C$7:$C$14,'Low pay'!$C$19)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'Low pay'!$F$7:$F$19</c15:sqref>
                        </c15:fullRef>
                        <c15:formulaRef>
                          <c15:sqref>('Low pay'!$F$7:$F$14,'Low pay'!$F$19)</c15:sqref>
                        </c15:formulaRef>
                      </c:ext>
                    </c:extLst>
                    <c:numCache>
                      <c:formatCode>0.0</c:formatCode>
                      <c:ptCount val="9"/>
                      <c:pt idx="0">
                        <c:v>0</c:v>
                      </c:pt>
                      <c:pt idx="1">
                        <c:v>3.5</c:v>
                      </c:pt>
                      <c:pt idx="2">
                        <c:v>0</c:v>
                      </c:pt>
                      <c:pt idx="3">
                        <c:v>9.6</c:v>
                      </c:pt>
                      <c:pt idx="4">
                        <c:v>0</c:v>
                      </c:pt>
                      <c:pt idx="5">
                        <c:v>8.8000000000000007</c:v>
                      </c:pt>
                      <c:pt idx="6">
                        <c:v>0</c:v>
                      </c:pt>
                      <c:pt idx="7">
                        <c:v>7.6999999999999993</c:v>
                      </c:pt>
                    </c:numCache>
                  </c:numRef>
                </c:val>
                <c:extLst xmlns:c15="http://schemas.microsoft.com/office/drawing/2012/chart">
                  <c:ext xmlns:c16="http://schemas.microsoft.com/office/drawing/2014/chart" uri="{C3380CC4-5D6E-409C-BE32-E72D297353CC}">
                    <c16:uniqueId val="{00000002-B7D5-455F-BE20-790311BD92EA}"/>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contracts'!$C$1</c:f>
          <c:strCache>
            <c:ptCount val="1"/>
            <c:pt idx="0">
              <c:v>Zero-hour contracts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'Zero-hour contracts'!$D$6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'Zero-hour contracts'!$C$7:$C$19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Dunbartonshire</c:v>
                </c:pt>
                <c:pt idx="11">
                  <c:v>LGBF Family Group 1 Average</c:v>
                </c:pt>
                <c:pt idx="12">
                  <c:v>Aberdeen City Region</c:v>
                </c:pt>
              </c:strCache>
            </c:strRef>
          </c:cat>
          <c:val>
            <c:numRef>
              <c:f>'Zero-hour contracts'!$D$7:$D$19</c:f>
              <c:numCache>
                <c:formatCode>0.0</c:formatCode>
                <c:ptCount val="13"/>
                <c:pt idx="0">
                  <c:v>0</c:v>
                </c:pt>
                <c:pt idx="1">
                  <c:v>2.5</c:v>
                </c:pt>
                <c:pt idx="2">
                  <c:v>0</c:v>
                </c:pt>
                <c:pt idx="3">
                  <c:v>3.7</c:v>
                </c:pt>
                <c:pt idx="4">
                  <c:v>0</c:v>
                </c:pt>
                <c:pt idx="5">
                  <c:v>1.7</c:v>
                </c:pt>
                <c:pt idx="6">
                  <c:v>2.4</c:v>
                </c:pt>
                <c:pt idx="7">
                  <c:v>2.4</c:v>
                </c:pt>
                <c:pt idx="10">
                  <c:v>4.4000000000000004</c:v>
                </c:pt>
                <c:pt idx="11">
                  <c:v>2.5666666666666669</c:v>
                </c:pt>
                <c:pt idx="12">
                  <c:v>2.7</c:v>
                </c:pt>
              </c:numCache>
            </c:numRef>
          </c:val>
          <c:extLst>
            <c:ext xmlns:c16="http://schemas.microsoft.com/office/drawing/2014/chart" uri="{C3380CC4-5D6E-409C-BE32-E72D297353CC}">
              <c16:uniqueId val="{00000000-BF4C-4A26-BBE1-582FC86B8C12}"/>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'Zero-hour contracts'!$G$6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'Zero-hour contracts'!$C$7:$C$19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Dunbartonshire</c:v>
                      </c:pt>
                      <c:pt idx="11">
                        <c:v>LGBF Family Group 1 Average</c:v>
                      </c:pt>
                      <c:pt idx="12">
                        <c:v>Aberdeen City Region</c:v>
                      </c:pt>
                    </c:strCache>
                  </c:strRef>
                </c:cat>
                <c:val>
                  <c:numRef>
                    <c:extLst>
                      <c:ext uri="{02D57815-91ED-43cb-92C2-25804820EDAC}">
                        <c15:formulaRef>
                          <c15:sqref>'Zero-hour contracts'!$G$7:$G$19</c15:sqref>
                        </c15:formulaRef>
                      </c:ext>
                    </c:extLst>
                    <c:numCache>
                      <c:formatCode>#,##0</c:formatCode>
                      <c:ptCount val="13"/>
                      <c:pt idx="0">
                        <c:v>0</c:v>
                      </c:pt>
                      <c:pt idx="1">
                        <c:v>700</c:v>
                      </c:pt>
                      <c:pt idx="2">
                        <c:v>0</c:v>
                      </c:pt>
                      <c:pt idx="3">
                        <c:v>800</c:v>
                      </c:pt>
                      <c:pt idx="4">
                        <c:v>0</c:v>
                      </c:pt>
                      <c:pt idx="5">
                        <c:v>1100</c:v>
                      </c:pt>
                      <c:pt idx="6">
                        <c:v>1200</c:v>
                      </c:pt>
                      <c:pt idx="7">
                        <c:v>2000</c:v>
                      </c:pt>
                    </c:numCache>
                  </c:numRef>
                </c:val>
                <c:extLst>
                  <c:ext xmlns:c16="http://schemas.microsoft.com/office/drawing/2014/chart" uri="{C3380CC4-5D6E-409C-BE32-E72D297353CC}">
                    <c16:uniqueId val="{00000001-BF4C-4A26-BBE1-582FC86B8C12}"/>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contracts'!$F$21</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'Zero-hour contracts'!$G$6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contracts'!$C$7:$C$19</c15:sqref>
                  </c15:fullRef>
                </c:ext>
              </c:extLst>
              <c:f>('Zero-hour contracts'!$C$7:$C$14,'Zero-hour contracts'!$C$19)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'Zero-hour contracts'!$G$7:$G$19</c15:sqref>
                  </c15:fullRef>
                </c:ext>
              </c:extLst>
              <c:f>('Zero-hour contracts'!$G$7:$G$14,'Zero-hour contracts'!$G$19)</c:f>
              <c:numCache>
                <c:formatCode>#,##0</c:formatCode>
                <c:ptCount val="9"/>
                <c:pt idx="0">
                  <c:v>0</c:v>
                </c:pt>
                <c:pt idx="1">
                  <c:v>700</c:v>
                </c:pt>
                <c:pt idx="2">
                  <c:v>0</c:v>
                </c:pt>
                <c:pt idx="3">
                  <c:v>800</c:v>
                </c:pt>
                <c:pt idx="4">
                  <c:v>0</c:v>
                </c:pt>
                <c:pt idx="5">
                  <c:v>1100</c:v>
                </c:pt>
                <c:pt idx="6">
                  <c:v>1200</c:v>
                </c:pt>
                <c:pt idx="7">
                  <c:v>2000</c:v>
                </c:pt>
              </c:numCache>
            </c:numRef>
          </c:val>
          <c:extLst>
            <c:ext xmlns:c16="http://schemas.microsoft.com/office/drawing/2014/chart" uri="{C3380CC4-5D6E-409C-BE32-E72D297353CC}">
              <c16:uniqueId val="{00000000-4F85-438D-A3F7-F548CFBA0E01}"/>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'Zero-hour contracts'!$D$6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'Zero-hour contracts'!$C$7:$C$19</c15:sqref>
                        </c15:fullRef>
                        <c15:formulaRef>
                          <c15:sqref>('Zero-hour contracts'!$C$7:$C$14,'Zero-hour contracts'!$C$19)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'Zero-hour contracts'!$D$7:$D$19</c15:sqref>
                        </c15:fullRef>
                        <c15:formulaRef>
                          <c15:sqref>('Zero-hour contracts'!$D$7:$D$14,'Zero-hour contracts'!$D$19)</c15:sqref>
                        </c15:formulaRef>
                      </c:ext>
                    </c:extLst>
                    <c:numCache>
                      <c:formatCode>0.0</c:formatCode>
                      <c:ptCount val="9"/>
                      <c:pt idx="0">
                        <c:v>0</c:v>
                      </c:pt>
                      <c:pt idx="1">
                        <c:v>2.5</c:v>
                      </c:pt>
                      <c:pt idx="2">
                        <c:v>0</c:v>
                      </c:pt>
                      <c:pt idx="3">
                        <c:v>3.7</c:v>
                      </c:pt>
                      <c:pt idx="4">
                        <c:v>0</c:v>
                      </c:pt>
                      <c:pt idx="5">
                        <c:v>1.7</c:v>
                      </c:pt>
                      <c:pt idx="6">
                        <c:v>2.4</c:v>
                      </c:pt>
                      <c:pt idx="7">
                        <c:v>2.4</c:v>
                      </c:pt>
                      <c:pt idx="8">
                        <c:v>2.7</c:v>
                      </c:pt>
                    </c:numCache>
                  </c:numRef>
                </c:val>
                <c:extLst>
                  <c:ext xmlns:c16="http://schemas.microsoft.com/office/drawing/2014/chart" uri="{C3380CC4-5D6E-409C-BE32-E72D297353CC}">
                    <c16:uniqueId val="{00000001-4F85-438D-A3F7-F548CFBA0E01}"/>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'Zero-hour contracts'!$F$6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contracts'!$C$7:$C$19</c15:sqref>
                        </c15:fullRef>
                        <c15:formulaRef>
                          <c15:sqref>('Zero-hour contracts'!$C$7:$C$14,'Zero-hour contracts'!$C$19)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'Zero-hour contracts'!$F$7:$F$19</c15:sqref>
                        </c15:fullRef>
                        <c15:formulaRef>
                          <c15:sqref>('Zero-hour contracts'!$F$7:$F$14,'Zero-hour contracts'!$F$19)</c15:sqref>
                        </c15:formulaRef>
                      </c:ext>
                    </c:extLst>
                    <c:numCache>
                      <c:formatCode>0.0</c:formatCode>
                      <c:ptCount val="9"/>
                      <c:pt idx="0">
                        <c:v>0</c:v>
                      </c:pt>
                      <c:pt idx="1">
                        <c:v>1.9000000000000004</c:v>
                      </c:pt>
                      <c:pt idx="2">
                        <c:v>0</c:v>
                      </c:pt>
                      <c:pt idx="3">
                        <c:v>0.70000000000000018</c:v>
                      </c:pt>
                      <c:pt idx="4">
                        <c:v>0</c:v>
                      </c:pt>
                      <c:pt idx="5">
                        <c:v>2.7</c:v>
                      </c:pt>
                      <c:pt idx="6">
                        <c:v>2.0000000000000004</c:v>
                      </c:pt>
                      <c:pt idx="7">
                        <c:v>2.0000000000000004</c:v>
                      </c:pt>
                    </c:numCache>
                  </c:numRef>
                </c:val>
                <c:extLst xmlns:c15="http://schemas.microsoft.com/office/drawing/2012/chart">
                  <c:ext xmlns:c16="http://schemas.microsoft.com/office/drawing/2014/chart" uri="{C3380CC4-5D6E-409C-BE32-E72D297353CC}">
                    <c16:uniqueId val="{00000002-4F85-438D-A3F7-F548CFBA0E01}"/>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'SME Procurement'!$C$1</c:f>
          <c:strCache>
            <c:ptCount val="1"/>
            <c:pt idx="0">
              <c:v>% of Procurement spend spent on local Enterprises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'SME Procurement'!$G$6</c:f>
              <c:strCache>
                <c:ptCount val="1"/>
                <c:pt idx="0">
                  <c:v>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'SME Procurement'!$C$7:$C$20</c:f>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Highland</c:v>
                </c:pt>
                <c:pt idx="11">
                  <c:v>LGBF Family Group 3 Average</c:v>
                </c:pt>
                <c:pt idx="12">
                  <c:v>Glasgow City Region</c:v>
                </c:pt>
                <c:pt idx="13">
                  <c:v>Scotland</c:v>
                </c:pt>
              </c:strCache>
            </c:strRef>
          </c:cat>
          <c:val>
            <c:numRef>
              <c:f>'SME Procurement'!$G$7:$G$20</c:f>
              <c:numCache>
                <c:formatCode>0.0</c:formatCode>
                <c:ptCount val="14"/>
                <c:pt idx="0">
                  <c:v>27.806623267733499</c:v>
                </c:pt>
                <c:pt idx="1">
                  <c:v>27.0371272419079</c:v>
                </c:pt>
                <c:pt idx="2">
                  <c:v>12.1828387867206</c:v>
                </c:pt>
                <c:pt idx="3">
                  <c:v>35.651188629329603</c:v>
                </c:pt>
                <c:pt idx="4">
                  <c:v>36.495360586318697</c:v>
                </c:pt>
                <c:pt idx="5">
                  <c:v>16.704052091068601</c:v>
                </c:pt>
                <c:pt idx="6">
                  <c:v>38.854143976895799</c:v>
                </c:pt>
                <c:pt idx="7">
                  <c:v>36.7532025012733</c:v>
                </c:pt>
                <c:pt idx="10">
                  <c:v>49.0877880076903</c:v>
                </c:pt>
                <c:pt idx="11">
                  <c:v>21.015897420016262</c:v>
                </c:pt>
                <c:pt idx="12">
                  <c:v>20.851827763251688</c:v>
                </c:pt>
                <c:pt idx="13">
                  <c:v>29.9</c:v>
                </c:pt>
              </c:numCache>
            </c:numRef>
          </c:val>
          <c:extLst>
            <c:ext xmlns:c16="http://schemas.microsoft.com/office/drawing/2014/chart" uri="{C3380CC4-5D6E-409C-BE32-E72D297353CC}">
              <c16:uniqueId val="{00000000-CAB4-4582-9450-6DCBA1A0E686}"/>
            </c:ext>
          </c:extLst>
        </c:ser>
        <c:dLbls>
          <c:showLegendKey val="0"/>
          <c:showVal val="0"/>
          <c:showCatName val="0"/>
          <c:showSerName val="0"/>
          <c:showPercent val="0"/>
          <c:showBubbleSize val="0"/>
        </c:dLbls>
        <c:gapWidth val="219"/>
        <c:overlap val="-27"/>
        <c:axId val="538650400"/>
        <c:axId val="538650792"/>
        <c:extLst>
          <c:ext xmlns:c15="http://schemas.microsoft.com/office/drawing/2012/chart" uri="{02D57815-91ED-43cb-92C2-25804820EDAC}">
            <c15:filteredBarSeries>
              <c15:ser>
                <c:idx val="8"/>
                <c:order val="1"/>
                <c:tx>
                  <c:strRef>
                    <c:extLst>
                      <c:ext uri="{02D57815-91ED-43cb-92C2-25804820EDAC}">
                        <c15:formulaRef>
                          <c15:sqref>'SME Procurement'!#REF!</c15:sqref>
                        </c15:formulaRef>
                      </c:ext>
                    </c:extLst>
                    <c:strCache>
                      <c:ptCount val="1"/>
                      <c:pt idx="0">
                        <c:v>#REF!</c:v>
                      </c:pt>
                    </c:strCache>
                  </c:strRef>
                </c:tx>
                <c:spPr>
                  <a:solidFill>
                    <a:schemeClr val="accent3">
                      <a:lumMod val="60000"/>
                    </a:schemeClr>
                  </a:solidFill>
                  <a:ln>
                    <a:noFill/>
                  </a:ln>
                  <a:effectLst/>
                </c:spPr>
                <c:invertIfNegative val="0"/>
                <c:cat>
                  <c:strRef>
                    <c:extLst>
                      <c:ext uri="{02D57815-91ED-43cb-92C2-25804820EDAC}">
                        <c15:formulaRef>
                          <c15:sqref>'SME Procurement'!$C$7:$C$20</c15:sqref>
                        </c15:formulaRef>
                      </c:ext>
                    </c:extLst>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Highland</c:v>
                      </c:pt>
                      <c:pt idx="11">
                        <c:v>LGBF Family Group 3 Average</c:v>
                      </c:pt>
                      <c:pt idx="12">
                        <c:v>Glasgow City Region</c:v>
                      </c:pt>
                      <c:pt idx="13">
                        <c:v>Scotland</c:v>
                      </c:pt>
                    </c:strCache>
                  </c:strRef>
                </c:cat>
                <c:val>
                  <c:numRef>
                    <c:extLst>
                      <c:ext uri="{02D57815-91ED-43cb-92C2-25804820EDAC}">
                        <c15:formulaRef>
                          <c15:sqref>'SME Procurement'!#REF!</c15:sqref>
                        </c15:formulaRef>
                      </c:ext>
                    </c:extLst>
                    <c:numCache>
                      <c:formatCode>General</c:formatCode>
                      <c:ptCount val="1"/>
                      <c:pt idx="0">
                        <c:v>1</c:v>
                      </c:pt>
                    </c:numCache>
                  </c:numRef>
                </c:val>
                <c:extLst>
                  <c:ext xmlns:c16="http://schemas.microsoft.com/office/drawing/2014/chart" uri="{C3380CC4-5D6E-409C-BE32-E72D297353CC}">
                    <c16:uniqueId val="{00000002-CAB4-4582-9450-6DCBA1A0E686}"/>
                  </c:ext>
                </c:extLst>
              </c15:ser>
            </c15:filteredBarSeries>
          </c:ext>
        </c:extLst>
      </c:barChart>
      <c:catAx>
        <c:axId val="538650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792"/>
        <c:crosses val="autoZero"/>
        <c:auto val="1"/>
        <c:lblAlgn val="ctr"/>
        <c:lblOffset val="100"/>
        <c:noMultiLvlLbl val="0"/>
      </c:catAx>
      <c:valAx>
        <c:axId val="538650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Low Income'!$C$1</c:f>
          <c:strCache>
            <c:ptCount val="1"/>
            <c:pt idx="0">
              <c:v>% of Children in Low Income Families - Relative measure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'Children in Low Income'!$G$6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ext>
              </c:extLst>
              <c:f>('Children in Low Income'!$C$7:$C$19,'Children in Low Income'!$C$21)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1 Average</c:v>
                </c:pt>
                <c:pt idx="12">
                  <c:v>Glasgow City Region</c:v>
                </c:pt>
                <c:pt idx="13">
                  <c:v>United Kingdom</c:v>
                </c:pt>
              </c:strCache>
            </c:strRef>
          </c:cat>
          <c:val>
            <c:numRef>
              <c:extLst>
                <c:ext xmlns:c15="http://schemas.microsoft.com/office/drawing/2012/chart" uri="{02D57815-91ED-43cb-92C2-25804820EDAC}">
                  <c15:fullRef>
                    <c15:sqref>'Children in Low Income'!$G$7:$G$21</c15:sqref>
                  </c15:fullRef>
                </c:ext>
              </c:extLst>
              <c:f>('Children in Low Income'!$G$7:$G$19,'Children in Low Income'!$G$21)</c:f>
              <c:numCache>
                <c:formatCode>0.0</c:formatCode>
                <c:ptCount val="14"/>
                <c:pt idx="0">
                  <c:v>10.299999999999999</c:v>
                </c:pt>
                <c:pt idx="1">
                  <c:v>11.5</c:v>
                </c:pt>
                <c:pt idx="2">
                  <c:v>12.3</c:v>
                </c:pt>
                <c:pt idx="3">
                  <c:v>15.4</c:v>
                </c:pt>
                <c:pt idx="4">
                  <c:v>17.599999999999998</c:v>
                </c:pt>
                <c:pt idx="5">
                  <c:v>17.5</c:v>
                </c:pt>
                <c:pt idx="6">
                  <c:v>12.3</c:v>
                </c:pt>
                <c:pt idx="7">
                  <c:v>15.1</c:v>
                </c:pt>
                <c:pt idx="10">
                  <c:v>10.299999999999999</c:v>
                </c:pt>
                <c:pt idx="11">
                  <c:v>14.497105915434075</c:v>
                </c:pt>
                <c:pt idx="12">
                  <c:v>24.385895068983771</c:v>
                </c:pt>
                <c:pt idx="13">
                  <c:v>20.100000000000001</c:v>
                </c:pt>
              </c:numCache>
            </c:numRef>
          </c:val>
          <c:extLst>
            <c:ext xmlns:c16="http://schemas.microsoft.com/office/drawing/2014/chart" uri="{C3380CC4-5D6E-409C-BE32-E72D297353CC}">
              <c16:uniqueId val="{00000000-67EF-474B-AE0F-E13B07EEA62F}"/>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'Children in Low Income'!$L$6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'Children in Low Income'!$C$7:$C$21</c15:sqref>
                        </c15:fullRef>
                        <c15:formulaRef>
                          <c15:sqref>('Children in Low Income'!$C$7:$C$19,'Children in Low Income'!$C$21)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1 Average</c:v>
                      </c:pt>
                      <c:pt idx="12">
                        <c:v>Glasgow City Region</c:v>
                      </c:pt>
                      <c:pt idx="13">
                        <c:v>United Kingdom</c:v>
                      </c:pt>
                    </c:strCache>
                  </c:strRef>
                </c:cat>
                <c:val>
                  <c:numRef>
                    <c:extLst>
                      <c:ext uri="{02D57815-91ED-43cb-92C2-25804820EDAC}">
                        <c15:fullRef>
                          <c15:sqref>'Children in Low Income'!$L$7:$L$21</c15:sqref>
                        </c15:fullRef>
                        <c15:formulaRef>
                          <c15:sqref>('Children in Low Income'!$L$7:$L$19,'Children in Low Income'!$L$21)</c15:sqref>
                        </c15:formulaRef>
                      </c:ext>
                    </c:extLst>
                    <c:numCache>
                      <c:formatCode>#,##0</c:formatCode>
                      <c:ptCount val="14"/>
                      <c:pt idx="0">
                        <c:v>0</c:v>
                      </c:pt>
                      <c:pt idx="1">
                        <c:v>-200</c:v>
                      </c:pt>
                      <c:pt idx="2">
                        <c:v>-1000</c:v>
                      </c:pt>
                      <c:pt idx="3">
                        <c:v>-4100</c:v>
                      </c:pt>
                      <c:pt idx="4">
                        <c:v>-1800</c:v>
                      </c:pt>
                      <c:pt idx="5">
                        <c:v>-2600</c:v>
                      </c:pt>
                      <c:pt idx="6">
                        <c:v>-100</c:v>
                      </c:pt>
                      <c:pt idx="7">
                        <c:v>-100</c:v>
                      </c:pt>
                    </c:numCache>
                  </c:numRef>
                </c:val>
                <c:extLst>
                  <c:ext xmlns:c16="http://schemas.microsoft.com/office/drawing/2014/chart" uri="{C3380CC4-5D6E-409C-BE32-E72D297353CC}">
                    <c16:uniqueId val="{00000001-67EF-474B-AE0F-E13B07EEA62F}"/>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'SME Procurement'!$F$23</c:f>
          <c:strCache>
            <c:ptCount val="1"/>
            <c:pt idx="0">
              <c:v>% Point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'SME Procurement'!$I$6</c:f>
              <c:strCache>
                <c:ptCount val="1"/>
                <c:pt idx="0">
                  <c:v>% Point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'SME Procurement'!$C$7:$C$14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extLst/>
            </c:strRef>
          </c:cat>
          <c:val>
            <c:numRef>
              <c:f>'SME Procurement'!$I$7:$I$14</c:f>
              <c:numCache>
                <c:formatCode>0.0</c:formatCode>
                <c:ptCount val="8"/>
                <c:pt idx="0">
                  <c:v>21.2811647399568</c:v>
                </c:pt>
                <c:pt idx="1">
                  <c:v>22.0506607657824</c:v>
                </c:pt>
                <c:pt idx="2">
                  <c:v>36.904949220969698</c:v>
                </c:pt>
                <c:pt idx="3">
                  <c:v>13.436599378360697</c:v>
                </c:pt>
                <c:pt idx="4">
                  <c:v>12.592427421371603</c:v>
                </c:pt>
                <c:pt idx="5">
                  <c:v>32.383735916621703</c:v>
                </c:pt>
                <c:pt idx="6">
                  <c:v>10.233644030794501</c:v>
                </c:pt>
                <c:pt idx="7">
                  <c:v>12.334585506417</c:v>
                </c:pt>
              </c:numCache>
            </c:numRef>
          </c:val>
          <c:extLst>
            <c:ext xmlns:c16="http://schemas.microsoft.com/office/drawing/2014/chart" uri="{C3380CC4-5D6E-409C-BE32-E72D297353CC}">
              <c16:uniqueId val="{00000000-23E9-4BE4-9939-4E28AAF741CB}"/>
            </c:ext>
          </c:extLst>
        </c:ser>
        <c:dLbls>
          <c:showLegendKey val="0"/>
          <c:showVal val="0"/>
          <c:showCatName val="0"/>
          <c:showSerName val="0"/>
          <c:showPercent val="0"/>
          <c:showBubbleSize val="0"/>
        </c:dLbls>
        <c:gapWidth val="219"/>
        <c:axId val="538651576"/>
        <c:axId val="538651968"/>
        <c:extLst>
          <c:ext xmlns:c15="http://schemas.microsoft.com/office/drawing/2012/chart" uri="{02D57815-91ED-43cb-92C2-25804820EDAC}">
            <c15:filteredBarSeries>
              <c15:ser>
                <c:idx val="3"/>
                <c:order val="0"/>
                <c:tx>
                  <c:strRef>
                    <c:extLst>
                      <c:ext uri="{02D57815-91ED-43cb-92C2-25804820EDAC}">
                        <c15:formulaRef>
                          <c15:sqref>'SME Procurement'!$G$6</c15:sqref>
                        </c15:formulaRef>
                      </c:ext>
                    </c:extLst>
                    <c:strCache>
                      <c:ptCount val="1"/>
                      <c:pt idx="0">
                        <c:v>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'SME Procurement'!$C$7:$C$14</c15:sqref>
                        </c15:formulaRef>
                      </c:ext>
                    </c:extLst>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extLst>
                      <c:ext uri="{02D57815-91ED-43cb-92C2-25804820EDAC}">
                        <c15:formulaRef>
                          <c15:sqref>'SME Procurement'!$G$7:$G$14</c15:sqref>
                        </c15:formulaRef>
                      </c:ext>
                    </c:extLst>
                    <c:numCache>
                      <c:formatCode>0.0</c:formatCode>
                      <c:ptCount val="8"/>
                      <c:pt idx="0">
                        <c:v>27.806623267733499</c:v>
                      </c:pt>
                      <c:pt idx="1">
                        <c:v>27.0371272419079</c:v>
                      </c:pt>
                      <c:pt idx="2">
                        <c:v>12.1828387867206</c:v>
                      </c:pt>
                      <c:pt idx="3">
                        <c:v>35.651188629329603</c:v>
                      </c:pt>
                      <c:pt idx="4">
                        <c:v>36.495360586318697</c:v>
                      </c:pt>
                      <c:pt idx="5">
                        <c:v>16.704052091068601</c:v>
                      </c:pt>
                      <c:pt idx="6">
                        <c:v>38.854143976895799</c:v>
                      </c:pt>
                      <c:pt idx="7">
                        <c:v>36.7532025012733</c:v>
                      </c:pt>
                    </c:numCache>
                  </c:numRef>
                </c:val>
                <c:extLst>
                  <c:ext xmlns:c16="http://schemas.microsoft.com/office/drawing/2014/chart" uri="{C3380CC4-5D6E-409C-BE32-E72D297353CC}">
                    <c16:uniqueId val="{00000001-23E9-4BE4-9939-4E28AAF741C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'SME Procurement'!$I$6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'SME Procurement'!$C$7:$C$14</c15:sqref>
                        </c15:formulaRef>
                      </c:ext>
                    </c:extLst>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extLst xmlns:c15="http://schemas.microsoft.com/office/drawing/2012/chart">
                      <c:ext xmlns:c15="http://schemas.microsoft.com/office/drawing/2012/chart" uri="{02D57815-91ED-43cb-92C2-25804820EDAC}">
                        <c15:formulaRef>
                          <c15:sqref>'SME Procurement'!$I$7:$I$14</c15:sqref>
                        </c15:formulaRef>
                      </c:ext>
                    </c:extLst>
                    <c:numCache>
                      <c:formatCode>0.0</c:formatCode>
                      <c:ptCount val="8"/>
                      <c:pt idx="0">
                        <c:v>21.2811647399568</c:v>
                      </c:pt>
                      <c:pt idx="1">
                        <c:v>22.0506607657824</c:v>
                      </c:pt>
                      <c:pt idx="2">
                        <c:v>36.904949220969698</c:v>
                      </c:pt>
                      <c:pt idx="3">
                        <c:v>13.436599378360697</c:v>
                      </c:pt>
                      <c:pt idx="4">
                        <c:v>12.592427421371603</c:v>
                      </c:pt>
                      <c:pt idx="5">
                        <c:v>32.383735916621703</c:v>
                      </c:pt>
                      <c:pt idx="6">
                        <c:v>10.233644030794501</c:v>
                      </c:pt>
                      <c:pt idx="7">
                        <c:v>12.334585506417</c:v>
                      </c:pt>
                    </c:numCache>
                  </c:numRef>
                </c:val>
                <c:extLst xmlns:c15="http://schemas.microsoft.com/office/drawing/2012/chart">
                  <c:ext xmlns:c16="http://schemas.microsoft.com/office/drawing/2014/chart" uri="{C3380CC4-5D6E-409C-BE32-E72D297353CC}">
                    <c16:uniqueId val="{00000002-23E9-4BE4-9939-4E28AAF741CB}"/>
                  </c:ext>
                </c:extLst>
              </c15:ser>
            </c15:filteredBarSeries>
          </c:ext>
        </c:extLst>
      </c:barChart>
      <c:catAx>
        <c:axId val="538651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968"/>
        <c:crosses val="autoZero"/>
        <c:auto val="1"/>
        <c:lblAlgn val="ctr"/>
        <c:lblOffset val="100"/>
        <c:noMultiLvlLbl val="0"/>
      </c:catAx>
      <c:valAx>
        <c:axId val="53865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Enterprises'!$C$1</c:f>
          <c:strCache>
            <c:ptCount val="1"/>
            <c:pt idx="0">
              <c:v>Social Enterprise Rate (per 10,000 total population)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'Social Enterprises'!$G$6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Enterprises'!$C$7:$C$20</c15:sqref>
                  </c15:fullRef>
                </c:ext>
              </c:extLst>
              <c:f>'Social Enterprises'!$C$7:$C$19</c:f>
              <c:strCache>
                <c:ptCount val="13"/>
                <c:pt idx="0">
                  <c:v>North Lanarkshire</c:v>
                </c:pt>
                <c:pt idx="1">
                  <c:v>Falkirk</c:v>
                </c:pt>
                <c:pt idx="2">
                  <c:v>East Dunbartonshire</c:v>
                </c:pt>
                <c:pt idx="3">
                  <c:v>Aberdeen City</c:v>
                </c:pt>
                <c:pt idx="4">
                  <c:v>Edinburgh, City of</c:v>
                </c:pt>
                <c:pt idx="5">
                  <c:v>West Dunbartonshire</c:v>
                </c:pt>
                <c:pt idx="6">
                  <c:v>Dundee City</c:v>
                </c:pt>
                <c:pt idx="7">
                  <c:v>Glasgow City</c:v>
                </c:pt>
                <c:pt idx="9">
                  <c:v>Shetland Islands</c:v>
                </c:pt>
                <c:pt idx="10">
                  <c:v>LGBF Family Group 1 Average</c:v>
                </c:pt>
                <c:pt idx="11">
                  <c:v>Aberdeen City Region</c:v>
                </c:pt>
                <c:pt idx="12">
                  <c:v>Scotland</c:v>
                </c:pt>
              </c:strCache>
            </c:strRef>
          </c:cat>
          <c:val>
            <c:numRef>
              <c:extLst>
                <c:ext xmlns:c15="http://schemas.microsoft.com/office/drawing/2012/chart" uri="{02D57815-91ED-43cb-92C2-25804820EDAC}">
                  <c15:fullRef>
                    <c15:sqref>'Social Enterprises'!$G$7:$G$20</c15:sqref>
                  </c15:fullRef>
                </c:ext>
              </c:extLst>
              <c:f>'Social Enterprises'!$G$7:$G$19</c:f>
              <c:numCache>
                <c:formatCode>0.0</c:formatCode>
                <c:ptCount val="13"/>
                <c:pt idx="0">
                  <c:v>3.3391915641476273</c:v>
                </c:pt>
                <c:pt idx="1">
                  <c:v>5.8494088363410084</c:v>
                </c:pt>
                <c:pt idx="2">
                  <c:v>5.0505050505050502</c:v>
                </c:pt>
                <c:pt idx="3">
                  <c:v>6.5074968122059538</c:v>
                </c:pt>
                <c:pt idx="4">
                  <c:v>14.834653446540164</c:v>
                </c:pt>
                <c:pt idx="5">
                  <c:v>7.9735732999202646</c:v>
                </c:pt>
                <c:pt idx="6">
                  <c:v>9.2066070945031147</c:v>
                </c:pt>
                <c:pt idx="7">
                  <c:v>12.847763450002363</c:v>
                </c:pt>
                <c:pt idx="9">
                  <c:v>46.643417611159549</c:v>
                </c:pt>
                <c:pt idx="10">
                  <c:v>20.435112025110939</c:v>
                </c:pt>
                <c:pt idx="11">
                  <c:v>8.8753774585815712</c:v>
                </c:pt>
                <c:pt idx="12">
                  <c:v>11.034872899140495</c:v>
                </c:pt>
              </c:numCache>
            </c:numRef>
          </c:val>
          <c:extLst>
            <c:ext xmlns:c16="http://schemas.microsoft.com/office/drawing/2014/chart" uri="{C3380CC4-5D6E-409C-BE32-E72D297353CC}">
              <c16:uniqueId val="{00000000-272B-4E74-B1F5-9D5C7C450665}"/>
            </c:ext>
          </c:extLst>
        </c:ser>
        <c:dLbls>
          <c:showLegendKey val="0"/>
          <c:showVal val="0"/>
          <c:showCatName val="0"/>
          <c:showSerName val="0"/>
          <c:showPercent val="0"/>
          <c:showBubbleSize val="0"/>
        </c:dLbls>
        <c:gapWidth val="219"/>
        <c:overlap val="-27"/>
        <c:axId val="539230664"/>
        <c:axId val="539231056"/>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'Social Enterprises'!$C$7:$C$20</c15:sqref>
                        </c15:fullRef>
                        <c15:formulaRef>
                          <c15:sqref>'Social Enterprises'!$C$7:$C$19</c15:sqref>
                        </c15:formulaRef>
                      </c:ext>
                    </c:extLst>
                    <c:strCache>
                      <c:ptCount val="13"/>
                      <c:pt idx="0">
                        <c:v>North Lanarkshire</c:v>
                      </c:pt>
                      <c:pt idx="1">
                        <c:v>Falkirk</c:v>
                      </c:pt>
                      <c:pt idx="2">
                        <c:v>East Dunbartonshire</c:v>
                      </c:pt>
                      <c:pt idx="3">
                        <c:v>Aberdeen City</c:v>
                      </c:pt>
                      <c:pt idx="4">
                        <c:v>Edinburgh, City of</c:v>
                      </c:pt>
                      <c:pt idx="5">
                        <c:v>West Dunbartonshire</c:v>
                      </c:pt>
                      <c:pt idx="6">
                        <c:v>Dundee City</c:v>
                      </c:pt>
                      <c:pt idx="7">
                        <c:v>Glasgow City</c:v>
                      </c:pt>
                      <c:pt idx="9">
                        <c:v>Shetland Islands</c:v>
                      </c:pt>
                      <c:pt idx="10">
                        <c:v>LGBF Family Group 1 Average</c:v>
                      </c:pt>
                      <c:pt idx="11">
                        <c:v>Aberdeen City Region</c:v>
                      </c:pt>
                      <c:pt idx="12">
                        <c:v>Scotland</c:v>
                      </c:pt>
                    </c:strCache>
                  </c:strRef>
                </c:cat>
                <c:val>
                  <c:numRef>
                    <c:extLst>
                      <c:ext uri="{02D57815-91ED-43cb-92C2-25804820EDAC}">
                        <c15:fullRef>
                          <c15:sqref>Employment!$L$7:$L$21</c15:sqref>
                        </c15:fullRef>
                        <c15:formulaRef>
                          <c15:sqref>(Employment!$L$7:$L$19,Employment!$L$21)</c15:sqref>
                        </c15:formulaRef>
                      </c:ext>
                    </c:extLst>
                    <c:numCache>
                      <c:formatCode>#,##0</c:formatCode>
                      <c:ptCount val="14"/>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272B-4E74-B1F5-9D5C7C450665}"/>
                  </c:ext>
                </c:extLst>
              </c15:ser>
            </c15:filteredBarSeries>
          </c:ext>
        </c:extLst>
      </c:barChart>
      <c:catAx>
        <c:axId val="53923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056"/>
        <c:crosses val="autoZero"/>
        <c:auto val="1"/>
        <c:lblAlgn val="ctr"/>
        <c:lblOffset val="100"/>
        <c:noMultiLvlLbl val="0"/>
      </c:catAx>
      <c:valAx>
        <c:axId val="53923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v>+'Degree-level 'Degree-level Quals'!$J$6</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'Social Enterprises'!$K$7:$K$14</c15:sqref>
                  </c15:fullRef>
                </c:ext>
              </c:extLst>
              <c:f>'Social Enterprises'!$K$7:$K$14</c:f>
              <c:numCache>
                <c:formatCode>#,##0</c:formatCode>
                <c:ptCount val="8"/>
                <c:pt idx="0">
                  <c:v>1500</c:v>
                </c:pt>
                <c:pt idx="1">
                  <c:v>600</c:v>
                </c:pt>
                <c:pt idx="2">
                  <c:v>400</c:v>
                </c:pt>
                <c:pt idx="3">
                  <c:v>1000</c:v>
                </c:pt>
                <c:pt idx="4">
                  <c:v>1700</c:v>
                </c:pt>
                <c:pt idx="5">
                  <c:v>300</c:v>
                </c:pt>
                <c:pt idx="6">
                  <c:v>600</c:v>
                </c:pt>
                <c:pt idx="7">
                  <c:v>2200</c:v>
                </c:pt>
              </c:numCache>
            </c:numRef>
          </c:val>
          <c:extLst>
            <c:ext xmlns:c16="http://schemas.microsoft.com/office/drawing/2014/chart" uri="{C3380CC4-5D6E-409C-BE32-E72D297353CC}">
              <c16:uniqueId val="{00000000-B56C-4C9D-9096-4A1A3E7B9F04}"/>
            </c:ext>
          </c:extLst>
        </c:ser>
        <c:dLbls>
          <c:showLegendKey val="0"/>
          <c:showVal val="0"/>
          <c:showCatName val="0"/>
          <c:showSerName val="0"/>
          <c:showPercent val="0"/>
          <c:showBubbleSize val="0"/>
        </c:dLbls>
        <c:gapWidth val="219"/>
        <c:axId val="539231840"/>
        <c:axId val="539232232"/>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B56C-4C9D-9096-4A1A3E7B9F04}"/>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B56C-4C9D-9096-4A1A3E7B9F04}"/>
                  </c:ext>
                </c:extLst>
              </c15:ser>
            </c15:filteredBarSeries>
          </c:ext>
        </c:extLst>
      </c:barChart>
      <c:catAx>
        <c:axId val="539231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2232"/>
        <c:crosses val="autoZero"/>
        <c:auto val="1"/>
        <c:lblAlgn val="ctr"/>
        <c:lblOffset val="100"/>
        <c:noMultiLvlLbl val="0"/>
      </c:catAx>
      <c:valAx>
        <c:axId val="539232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GVA!$C$1</c:f>
          <c:strCache>
            <c:ptCount val="1"/>
            <c:pt idx="0">
              <c:v>Total GVA (£m)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GVA!$G$7:$G$14</c:f>
              <c:numCache>
                <c:formatCode>#,##0</c:formatCode>
                <c:ptCount val="8"/>
                <c:pt idx="0">
                  <c:v>583</c:v>
                </c:pt>
                <c:pt idx="1">
                  <c:v>2383</c:v>
                </c:pt>
                <c:pt idx="2">
                  <c:v>770</c:v>
                </c:pt>
                <c:pt idx="3">
                  <c:v>6957</c:v>
                </c:pt>
                <c:pt idx="4">
                  <c:v>603</c:v>
                </c:pt>
                <c:pt idx="5">
                  <c:v>2506</c:v>
                </c:pt>
                <c:pt idx="6">
                  <c:v>3782</c:v>
                </c:pt>
                <c:pt idx="7">
                  <c:v>7059</c:v>
                </c:pt>
              </c:numCache>
            </c:numRef>
          </c:val>
          <c:extLst>
            <c:ext xmlns:c16="http://schemas.microsoft.com/office/drawing/2014/chart" uri="{C3380CC4-5D6E-409C-BE32-E72D297353CC}">
              <c16:uniqueId val="{00000002-F50E-4AB9-B663-00AACD3018E6}"/>
            </c:ext>
          </c:extLst>
        </c:ser>
        <c:dLbls>
          <c:showLegendKey val="0"/>
          <c:showVal val="0"/>
          <c:showCatName val="0"/>
          <c:showSerName val="0"/>
          <c:showPercent val="0"/>
          <c:showBubbleSize val="0"/>
        </c:dLbls>
        <c:gapWidth val="219"/>
        <c:overlap val="-27"/>
        <c:axId val="539233016"/>
        <c:axId val="539233408"/>
        <c:extLst/>
      </c:barChart>
      <c:catAx>
        <c:axId val="539233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408"/>
        <c:crosses val="autoZero"/>
        <c:auto val="1"/>
        <c:lblAlgn val="ctr"/>
        <c:lblOffset val="100"/>
        <c:noMultiLvlLbl val="0"/>
      </c:catAx>
      <c:valAx>
        <c:axId val="5392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phw'!$C$1</c:f>
          <c:strCache>
            <c:ptCount val="1"/>
            <c:pt idx="0">
              <c:v>GVA per hour worked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'GVA phw'!$G$6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 phw'!$C$7:$C$21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Clackmannanshire</c:v>
                </c:pt>
                <c:pt idx="11">
                  <c:v>LGBF Family Group 1 Average</c:v>
                </c:pt>
                <c:pt idx="12">
                  <c:v>Aberdeen City Region</c:v>
                </c:pt>
                <c:pt idx="13">
                  <c:v>Scotland</c:v>
                </c:pt>
                <c:pt idx="14">
                  <c:v>United Kingdom</c:v>
                </c:pt>
              </c:strCache>
            </c:strRef>
          </c:cat>
          <c:val>
            <c:numRef>
              <c:f>'GVA phw'!$G$7:$G$21</c:f>
              <c:numCache>
                <c:formatCode>0.0</c:formatCode>
                <c:ptCount val="15"/>
                <c:pt idx="0">
                  <c:v>28.6</c:v>
                </c:pt>
                <c:pt idx="1">
                  <c:v>37.9</c:v>
                </c:pt>
                <c:pt idx="2">
                  <c:v>39.9</c:v>
                </c:pt>
                <c:pt idx="3">
                  <c:v>36.799999999999997</c:v>
                </c:pt>
                <c:pt idx="4">
                  <c:v>46.2</c:v>
                </c:pt>
                <c:pt idx="5">
                  <c:v>33</c:v>
                </c:pt>
                <c:pt idx="6">
                  <c:v>35.9</c:v>
                </c:pt>
                <c:pt idx="7">
                  <c:v>37.6</c:v>
                </c:pt>
                <c:pt idx="10">
                  <c:v>50.2</c:v>
                </c:pt>
                <c:pt idx="11">
                  <c:v>36.987499999999997</c:v>
                </c:pt>
                <c:pt idx="12">
                  <c:v>38.25</c:v>
                </c:pt>
                <c:pt idx="13">
                  <c:v>38.5</c:v>
                </c:pt>
                <c:pt idx="14">
                  <c:v>39.700000000000003</c:v>
                </c:pt>
              </c:numCache>
            </c:numRef>
          </c:val>
          <c:extLst>
            <c:ext xmlns:c16="http://schemas.microsoft.com/office/drawing/2014/chart" uri="{C3380CC4-5D6E-409C-BE32-E72D297353CC}">
              <c16:uniqueId val="{00000000-6DBC-48C3-BAC4-B4D20122461B}"/>
            </c:ext>
          </c:extLst>
        </c:ser>
        <c:dLbls>
          <c:showLegendKey val="0"/>
          <c:showVal val="0"/>
          <c:showCatName val="0"/>
          <c:showSerName val="0"/>
          <c:showPercent val="0"/>
          <c:showBubbleSize val="0"/>
        </c:dLbls>
        <c:gapWidth val="219"/>
        <c:overlap val="-27"/>
        <c:axId val="539234192"/>
        <c:axId val="5392345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'GVA phw'!$C$7:$C$21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Clackmannanshire</c:v>
                      </c:pt>
                      <c:pt idx="11">
                        <c:v>LGBF Family Group 1 Average</c:v>
                      </c:pt>
                      <c:pt idx="12">
                        <c:v>Aberdeen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39100</c:v>
                      </c:pt>
                      <c:pt idx="1">
                        <c:v>15600</c:v>
                      </c:pt>
                      <c:pt idx="2">
                        <c:v>9400</c:v>
                      </c:pt>
                      <c:pt idx="3">
                        <c:v>21400</c:v>
                      </c:pt>
                      <c:pt idx="4">
                        <c:v>22100</c:v>
                      </c:pt>
                      <c:pt idx="5">
                        <c:v>9100</c:v>
                      </c:pt>
                      <c:pt idx="6">
                        <c:v>23600</c:v>
                      </c:pt>
                      <c:pt idx="7">
                        <c:v>74200</c:v>
                      </c:pt>
                    </c:numCache>
                  </c:numRef>
                </c:val>
                <c:extLst>
                  <c:ext xmlns:c16="http://schemas.microsoft.com/office/drawing/2014/chart" uri="{C3380CC4-5D6E-409C-BE32-E72D297353CC}">
                    <c16:uniqueId val="{00000002-6DBC-48C3-BAC4-B4D20122461B}"/>
                  </c:ext>
                </c:extLst>
              </c15:ser>
            </c15:filteredBarSeries>
          </c:ext>
        </c:extLst>
      </c:barChart>
      <c:catAx>
        <c:axId val="539234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584"/>
        <c:crosses val="autoZero"/>
        <c:auto val="1"/>
        <c:lblAlgn val="ctr"/>
        <c:lblOffset val="100"/>
        <c:noMultiLvlLbl val="0"/>
      </c:catAx>
      <c:valAx>
        <c:axId val="539234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'GVA phw'!$K$6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Orkney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'GVA phw'!$K$7:$K$14</c15:sqref>
                  </c15:fullRef>
                </c:ext>
              </c:extLst>
              <c:f>'GVA phw'!$K$7:$K$14</c:f>
              <c:numCache>
                <c:formatCode>0.0</c:formatCode>
                <c:ptCount val="8"/>
                <c:pt idx="0">
                  <c:v>21.6</c:v>
                </c:pt>
                <c:pt idx="1">
                  <c:v>12.300000000000004</c:v>
                </c:pt>
                <c:pt idx="2">
                  <c:v>10.300000000000004</c:v>
                </c:pt>
                <c:pt idx="3">
                  <c:v>13.400000000000006</c:v>
                </c:pt>
                <c:pt idx="4">
                  <c:v>4</c:v>
                </c:pt>
                <c:pt idx="5">
                  <c:v>17.200000000000003</c:v>
                </c:pt>
                <c:pt idx="6">
                  <c:v>14.300000000000004</c:v>
                </c:pt>
                <c:pt idx="7">
                  <c:v>12.600000000000001</c:v>
                </c:pt>
              </c:numCache>
            </c:numRef>
          </c:val>
          <c:extLst>
            <c:ext xmlns:c16="http://schemas.microsoft.com/office/drawing/2014/chart" uri="{C3380CC4-5D6E-409C-BE32-E72D297353CC}">
              <c16:uniqueId val="{00000000-B5CB-4831-BD86-A292F455B67D}"/>
            </c:ext>
          </c:extLst>
        </c:ser>
        <c:dLbls>
          <c:showLegendKey val="0"/>
          <c:showVal val="0"/>
          <c:showCatName val="0"/>
          <c:showSerName val="0"/>
          <c:showPercent val="0"/>
          <c:showBubbleSize val="0"/>
        </c:dLbls>
        <c:gapWidth val="219"/>
        <c:axId val="539235368"/>
        <c:axId val="539235760"/>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70.5</c:v>
                      </c:pt>
                      <c:pt idx="1">
                        <c:v>72.8</c:v>
                      </c:pt>
                      <c:pt idx="2">
                        <c:v>73.5</c:v>
                      </c:pt>
                      <c:pt idx="3">
                        <c:v>74.7</c:v>
                      </c:pt>
                      <c:pt idx="4">
                        <c:v>82.1</c:v>
                      </c:pt>
                      <c:pt idx="5">
                        <c:v>71.900000000000006</c:v>
                      </c:pt>
                      <c:pt idx="6">
                        <c:v>63.7</c:v>
                      </c:pt>
                      <c:pt idx="7">
                        <c:v>71.2</c:v>
                      </c:pt>
                      <c:pt idx="8">
                        <c:v>74.7</c:v>
                      </c:pt>
                      <c:pt idx="9">
                        <c:v>75.7</c:v>
                      </c:pt>
                    </c:numCache>
                  </c:numRef>
                </c:val>
                <c:extLst>
                  <c:ext xmlns:c16="http://schemas.microsoft.com/office/drawing/2014/chart" uri="{C3380CC4-5D6E-409C-BE32-E72D297353CC}">
                    <c16:uniqueId val="{00000001-B5CB-4831-BD86-A292F455B67D}"/>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17.799999999999997</c:v>
                      </c:pt>
                      <c:pt idx="1">
                        <c:v>15.5</c:v>
                      </c:pt>
                      <c:pt idx="2">
                        <c:v>14.799999999999997</c:v>
                      </c:pt>
                      <c:pt idx="3">
                        <c:v>13.599999999999994</c:v>
                      </c:pt>
                      <c:pt idx="4">
                        <c:v>6.2000000000000028</c:v>
                      </c:pt>
                      <c:pt idx="5">
                        <c:v>16.399999999999991</c:v>
                      </c:pt>
                      <c:pt idx="6">
                        <c:v>24.599999999999994</c:v>
                      </c:pt>
                      <c:pt idx="7">
                        <c:v>17.099999999999994</c:v>
                      </c:pt>
                    </c:numCache>
                  </c:numRef>
                </c:val>
                <c:extLst xmlns:c15="http://schemas.microsoft.com/office/drawing/2012/chart">
                  <c:ext xmlns:c16="http://schemas.microsoft.com/office/drawing/2014/chart" uri="{C3380CC4-5D6E-409C-BE32-E72D297353CC}">
                    <c16:uniqueId val="{00000002-B5CB-4831-BD86-A292F455B67D}"/>
                  </c:ext>
                </c:extLst>
              </c15:ser>
            </c15:filteredBarSeries>
          </c:ext>
        </c:extLst>
      </c:barChart>
      <c:catAx>
        <c:axId val="539235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760"/>
        <c:crosses val="autoZero"/>
        <c:auto val="1"/>
        <c:lblAlgn val="ctr"/>
        <c:lblOffset val="100"/>
        <c:noMultiLvlLbl val="0"/>
      </c:catAx>
      <c:valAx>
        <c:axId val="539235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Low Income'!$F$23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'Children in Low Income'!$L$6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ext>
              </c:extLst>
              <c:f>('Children in Low Income'!$C$7:$C$14,'Children in Low Income'!$C$21)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'Children in Low Income'!$L$7:$L$21</c15:sqref>
                  </c15:fullRef>
                </c:ext>
              </c:extLst>
              <c:f>('Children in Low Income'!$L$7:$L$14,'Children in Low Income'!$L$21)</c:f>
              <c:numCache>
                <c:formatCode>#,##0</c:formatCode>
                <c:ptCount val="9"/>
                <c:pt idx="0">
                  <c:v>0</c:v>
                </c:pt>
                <c:pt idx="1">
                  <c:v>-200</c:v>
                </c:pt>
                <c:pt idx="2">
                  <c:v>-1000</c:v>
                </c:pt>
                <c:pt idx="3">
                  <c:v>-4100</c:v>
                </c:pt>
                <c:pt idx="4">
                  <c:v>-1800</c:v>
                </c:pt>
                <c:pt idx="5">
                  <c:v>-2600</c:v>
                </c:pt>
                <c:pt idx="6">
                  <c:v>-100</c:v>
                </c:pt>
                <c:pt idx="7">
                  <c:v>-100</c:v>
                </c:pt>
              </c:numCache>
            </c:numRef>
          </c:val>
          <c:extLst>
            <c:ext xmlns:c16="http://schemas.microsoft.com/office/drawing/2014/chart" uri="{C3380CC4-5D6E-409C-BE32-E72D297353CC}">
              <c16:uniqueId val="{00000000-79D8-44A8-ABA9-9D666EAA7897}"/>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'Children in Low Income'!$G$6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'Children in Low Income'!$C$7:$C$21</c15:sqref>
                        </c15:fullRef>
                        <c15:formulaRef>
                          <c15:sqref>('Children in Low Income'!$C$7:$C$14,'Children in Low Income'!$C$21)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'Children in Low Income'!$G$7:$G$21</c15:sqref>
                        </c15:fullRef>
                        <c15:formulaRef>
                          <c15:sqref>('Children in Low Income'!$G$7:$G$14,'Children in Low Income'!$G$21)</c15:sqref>
                        </c15:formulaRef>
                      </c:ext>
                    </c:extLst>
                    <c:numCache>
                      <c:formatCode>0.0</c:formatCode>
                      <c:ptCount val="9"/>
                      <c:pt idx="0">
                        <c:v>10.299999999999999</c:v>
                      </c:pt>
                      <c:pt idx="1">
                        <c:v>11.5</c:v>
                      </c:pt>
                      <c:pt idx="2">
                        <c:v>12.3</c:v>
                      </c:pt>
                      <c:pt idx="3">
                        <c:v>15.4</c:v>
                      </c:pt>
                      <c:pt idx="4">
                        <c:v>17.599999999999998</c:v>
                      </c:pt>
                      <c:pt idx="5">
                        <c:v>17.5</c:v>
                      </c:pt>
                      <c:pt idx="6">
                        <c:v>12.3</c:v>
                      </c:pt>
                      <c:pt idx="7">
                        <c:v>15.1</c:v>
                      </c:pt>
                      <c:pt idx="8">
                        <c:v>20.100000000000001</c:v>
                      </c:pt>
                    </c:numCache>
                  </c:numRef>
                </c:val>
                <c:extLst>
                  <c:ext xmlns:c16="http://schemas.microsoft.com/office/drawing/2014/chart" uri="{C3380CC4-5D6E-409C-BE32-E72D297353CC}">
                    <c16:uniqueId val="{00000001-79D8-44A8-ABA9-9D666EAA789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'Children in Low Income'!$K$6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15:formulaRef>
                          <c15:sqref>('Children in Low Income'!$C$7:$C$14,'Children in Low Income'!$C$21)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'Children in Low Income'!$K$7:$K$21</c15:sqref>
                        </c15:fullRef>
                        <c15:formulaRef>
                          <c15:sqref>('Children in Low Income'!$K$7:$K$14,'Children in Low Income'!$K$21)</c15:sqref>
                        </c15:formulaRef>
                      </c:ext>
                    </c:extLst>
                    <c:numCache>
                      <c:formatCode>0.0</c:formatCode>
                      <c:ptCount val="9"/>
                      <c:pt idx="0">
                        <c:v>0</c:v>
                      </c:pt>
                      <c:pt idx="1">
                        <c:v>-1.2000000000000011</c:v>
                      </c:pt>
                      <c:pt idx="2">
                        <c:v>-2.0000000000000018</c:v>
                      </c:pt>
                      <c:pt idx="3">
                        <c:v>-5.1000000000000014</c:v>
                      </c:pt>
                      <c:pt idx="4">
                        <c:v>-7.2999999999999989</c:v>
                      </c:pt>
                      <c:pt idx="5">
                        <c:v>-7.2000000000000011</c:v>
                      </c:pt>
                      <c:pt idx="6">
                        <c:v>-2.0000000000000018</c:v>
                      </c:pt>
                      <c:pt idx="7">
                        <c:v>-4.8000000000000007</c:v>
                      </c:pt>
                    </c:numCache>
                  </c:numRef>
                </c:val>
                <c:extLst xmlns:c15="http://schemas.microsoft.com/office/drawing/2012/chart">
                  <c:ext xmlns:c16="http://schemas.microsoft.com/office/drawing/2014/chart" uri="{C3380CC4-5D6E-409C-BE32-E72D297353CC}">
                    <c16:uniqueId val="{00000002-79D8-44A8-ABA9-9D666EAA7897}"/>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 on UC'!$C$1</c:f>
          <c:strCache>
            <c:ptCount val="1"/>
            <c:pt idx="0">
              <c:v>Households on Universal Credit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'Households on UC'!$G$6</c:f>
              <c:strCache>
                <c:ptCount val="1"/>
                <c:pt idx="0">
                  <c:v>May-24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ext>
              </c:extLst>
              <c:f>('Households on UC'!$C$7:$C$14,'Households on UC'!$C$16:$C$19,'Households on UC'!$C$21)</c:f>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Orkney Islands</c:v>
                </c:pt>
                <c:pt idx="10">
                  <c:v>LGBF Family Group 2 Average</c:v>
                </c:pt>
                <c:pt idx="11">
                  <c:v>Aberdeen City Region</c:v>
                </c:pt>
                <c:pt idx="12">
                  <c:v>United Kingdom</c:v>
                </c:pt>
              </c:strCache>
            </c:strRef>
          </c:cat>
          <c:val>
            <c:numRef>
              <c:extLst>
                <c:ext xmlns:c15="http://schemas.microsoft.com/office/drawing/2012/chart" uri="{02D57815-91ED-43cb-92C2-25804820EDAC}">
                  <c15:fullRef>
                    <c15:sqref>'Households on UC'!$G$7:$G$21</c15:sqref>
                  </c15:fullRef>
                </c:ext>
              </c:extLst>
              <c:f>('Households on UC'!$G$7:$G$14,'Households on UC'!$G$16:$G$19,'Households on UC'!$G$21)</c:f>
              <c:numCache>
                <c:formatCode>0.0</c:formatCode>
                <c:ptCount val="13"/>
                <c:pt idx="0">
                  <c:v>11.291582070904264</c:v>
                </c:pt>
                <c:pt idx="1">
                  <c:v>23.467170390148986</c:v>
                </c:pt>
                <c:pt idx="2">
                  <c:v>23.678127967604954</c:v>
                </c:pt>
                <c:pt idx="3">
                  <c:v>24.284808070180866</c:v>
                </c:pt>
                <c:pt idx="4">
                  <c:v>23.180022665784492</c:v>
                </c:pt>
                <c:pt idx="5">
                  <c:v>24.336990094791776</c:v>
                </c:pt>
                <c:pt idx="6">
                  <c:v>24.713932090981274</c:v>
                </c:pt>
                <c:pt idx="7">
                  <c:v>25.863019779007757</c:v>
                </c:pt>
                <c:pt idx="9">
                  <c:v>10.61881417075201</c:v>
                </c:pt>
                <c:pt idx="10">
                  <c:v>15.945366850344225</c:v>
                </c:pt>
                <c:pt idx="11">
                  <c:v>13.751421009432431</c:v>
                </c:pt>
                <c:pt idx="12">
                  <c:v>0</c:v>
                </c:pt>
              </c:numCache>
            </c:numRef>
          </c:val>
          <c:extLst>
            <c:ext xmlns:c16="http://schemas.microsoft.com/office/drawing/2014/chart" uri="{C3380CC4-5D6E-409C-BE32-E72D297353CC}">
              <c16:uniqueId val="{00000000-E438-4638-9AEE-BC0A29C2A705}"/>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'Households on UC'!$L$6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'Households on UC'!$C$7:$C$21</c15:sqref>
                        </c15:fullRef>
                        <c15:formulaRef>
                          <c15:sqref>('Households on UC'!$C$7:$C$14,'Households on UC'!$C$16:$C$19,'Households on UC'!$C$21)</c15:sqref>
                        </c15:formulaRef>
                      </c:ext>
                    </c:extLst>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Orkney Islands</c:v>
                      </c:pt>
                      <c:pt idx="10">
                        <c:v>LGBF Family Group 2 Average</c:v>
                      </c:pt>
                      <c:pt idx="11">
                        <c:v>Aberdeen City Region</c:v>
                      </c:pt>
                      <c:pt idx="12">
                        <c:v>United Kingdom</c:v>
                      </c:pt>
                    </c:strCache>
                  </c:strRef>
                </c:cat>
                <c:val>
                  <c:numRef>
                    <c:extLst>
                      <c:ext uri="{02D57815-91ED-43cb-92C2-25804820EDAC}">
                        <c15:fullRef>
                          <c15:sqref>'Households on UC'!$L$7:$L$21</c15:sqref>
                        </c15:fullRef>
                        <c15:formulaRef>
                          <c15:sqref>('Households on UC'!$L$7:$L$14,'Households on UC'!$L$16:$L$19,'Households on UC'!$L$21)</c15:sqref>
                        </c15:formulaRef>
                      </c:ext>
                    </c:extLst>
                    <c:numCache>
                      <c:formatCode>#,##0</c:formatCode>
                      <c:ptCount val="13"/>
                      <c:pt idx="0">
                        <c:v>0</c:v>
                      </c:pt>
                      <c:pt idx="1">
                        <c:v>-9000</c:v>
                      </c:pt>
                      <c:pt idx="2">
                        <c:v>-7300</c:v>
                      </c:pt>
                      <c:pt idx="3">
                        <c:v>-8800</c:v>
                      </c:pt>
                      <c:pt idx="4">
                        <c:v>-19200</c:v>
                      </c:pt>
                      <c:pt idx="5">
                        <c:v>-5100</c:v>
                      </c:pt>
                      <c:pt idx="6">
                        <c:v>-6100</c:v>
                      </c:pt>
                      <c:pt idx="7">
                        <c:v>-45300</c:v>
                      </c:pt>
                    </c:numCache>
                  </c:numRef>
                </c:val>
                <c:extLst>
                  <c:ext xmlns:c16="http://schemas.microsoft.com/office/drawing/2014/chart" uri="{C3380CC4-5D6E-409C-BE32-E72D297353CC}">
                    <c16:uniqueId val="{00000001-E438-4638-9AEE-BC0A29C2A705}"/>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 on UC'!$F$23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'Households on UC'!$L$6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ext>
              </c:extLst>
              <c:f>('Households on UC'!$C$7:$C$14,'Households on UC'!$C$21)</c:f>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'Households on UC'!$L$7:$L$21</c15:sqref>
                  </c15:fullRef>
                </c:ext>
              </c:extLst>
              <c:f>('Households on UC'!$L$7:$L$14,'Households on UC'!$L$21)</c:f>
              <c:numCache>
                <c:formatCode>#,##0</c:formatCode>
                <c:ptCount val="9"/>
                <c:pt idx="0">
                  <c:v>0</c:v>
                </c:pt>
                <c:pt idx="1">
                  <c:v>-9000</c:v>
                </c:pt>
                <c:pt idx="2">
                  <c:v>-7300</c:v>
                </c:pt>
                <c:pt idx="3">
                  <c:v>-8800</c:v>
                </c:pt>
                <c:pt idx="4">
                  <c:v>-19200</c:v>
                </c:pt>
                <c:pt idx="5">
                  <c:v>-5100</c:v>
                </c:pt>
                <c:pt idx="6">
                  <c:v>-6100</c:v>
                </c:pt>
                <c:pt idx="7">
                  <c:v>-45300</c:v>
                </c:pt>
              </c:numCache>
            </c:numRef>
          </c:val>
          <c:extLst>
            <c:ext xmlns:c16="http://schemas.microsoft.com/office/drawing/2014/chart" uri="{C3380CC4-5D6E-409C-BE32-E72D297353CC}">
              <c16:uniqueId val="{00000000-1B67-445E-8C3A-287ECF4EAABD}"/>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'Households on UC'!$G$6</c15:sqref>
                        </c15:formulaRef>
                      </c:ext>
                    </c:extLst>
                    <c:strCache>
                      <c:ptCount val="1"/>
                      <c:pt idx="0">
                        <c:v>May-24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 on UC'!$C$7:$C$21</c15:sqref>
                        </c15:fullRef>
                        <c15:formulaRef>
                          <c15:sqref>('Households on UC'!$C$7:$C$14,'Households on UC'!$C$21)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uri="{02D57815-91ED-43cb-92C2-25804820EDAC}">
                        <c15:fullRef>
                          <c15:sqref>'Households on UC'!$G$7:$G$21</c15:sqref>
                        </c15:fullRef>
                        <c15:formulaRef>
                          <c15:sqref>('Households on UC'!$G$7:$G$14,'Households on UC'!$G$21)</c15:sqref>
                        </c15:formulaRef>
                      </c:ext>
                    </c:extLst>
                    <c:numCache>
                      <c:formatCode>0.0</c:formatCode>
                      <c:ptCount val="9"/>
                      <c:pt idx="0">
                        <c:v>11.291582070904264</c:v>
                      </c:pt>
                      <c:pt idx="1">
                        <c:v>23.467170390148986</c:v>
                      </c:pt>
                      <c:pt idx="2">
                        <c:v>23.678127967604954</c:v>
                      </c:pt>
                      <c:pt idx="3">
                        <c:v>24.284808070180866</c:v>
                      </c:pt>
                      <c:pt idx="4">
                        <c:v>23.180022665784492</c:v>
                      </c:pt>
                      <c:pt idx="5">
                        <c:v>24.336990094791776</c:v>
                      </c:pt>
                      <c:pt idx="6">
                        <c:v>24.713932090981274</c:v>
                      </c:pt>
                      <c:pt idx="7">
                        <c:v>25.863019779007757</c:v>
                      </c:pt>
                      <c:pt idx="8">
                        <c:v>0</c:v>
                      </c:pt>
                    </c:numCache>
                  </c:numRef>
                </c:val>
                <c:extLst>
                  <c:ext xmlns:c16="http://schemas.microsoft.com/office/drawing/2014/chart" uri="{C3380CC4-5D6E-409C-BE32-E72D297353CC}">
                    <c16:uniqueId val="{00000001-1B67-445E-8C3A-287ECF4EAABD}"/>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'Households on UC'!$K$6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15:formulaRef>
                          <c15:sqref>('Households on UC'!$C$7:$C$14,'Households on UC'!$C$21)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'Households on UC'!$K$7:$K$21</c15:sqref>
                        </c15:fullRef>
                        <c15:formulaRef>
                          <c15:sqref>('Households on UC'!$K$7:$K$14,'Households on UC'!$K$21)</c15:sqref>
                        </c15:formulaRef>
                      </c:ext>
                    </c:extLst>
                    <c:numCache>
                      <c:formatCode>0.0</c:formatCode>
                      <c:ptCount val="9"/>
                      <c:pt idx="0">
                        <c:v>-0.67276790015225352</c:v>
                      </c:pt>
                      <c:pt idx="1">
                        <c:v>-12.848356219396976</c:v>
                      </c:pt>
                      <c:pt idx="2">
                        <c:v>-13.059313796852944</c:v>
                      </c:pt>
                      <c:pt idx="3">
                        <c:v>-13.665993899428855</c:v>
                      </c:pt>
                      <c:pt idx="4">
                        <c:v>-12.561208495032481</c:v>
                      </c:pt>
                      <c:pt idx="5">
                        <c:v>-13.718175924039766</c:v>
                      </c:pt>
                      <c:pt idx="6">
                        <c:v>-14.095117920229264</c:v>
                      </c:pt>
                      <c:pt idx="7">
                        <c:v>-15.244205608255747</c:v>
                      </c:pt>
                    </c:numCache>
                  </c:numRef>
                </c:val>
                <c:extLst xmlns:c15="http://schemas.microsoft.com/office/drawing/2012/chart">
                  <c:ext xmlns:c16="http://schemas.microsoft.com/office/drawing/2014/chart" uri="{C3380CC4-5D6E-409C-BE32-E72D297353CC}">
                    <c16:uniqueId val="{00000002-1B67-445E-8C3A-287ECF4EAABD}"/>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Benefit'!$C$1</c:f>
          <c:strCache>
            <c:ptCount val="1"/>
            <c:pt idx="0">
              <c:v>Families with Dependent Children eligible for Child Benefit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 Benefit'!$G$6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Benefit'!$C$7:$C$21</c:f>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Aberdeenshire</c:v>
                </c:pt>
                <c:pt idx="11">
                  <c:v>LGBF Family Group 1 Average</c:v>
                </c:pt>
                <c:pt idx="12">
                  <c:v>Aberdeen City Region</c:v>
                </c:pt>
                <c:pt idx="13">
                  <c:v>Scotland</c:v>
                </c:pt>
                <c:pt idx="14">
                  <c:v>United Kingdom</c:v>
                </c:pt>
              </c:strCache>
            </c:strRef>
          </c:cat>
          <c:val>
            <c:numRef>
              <c:f>'Child Benefit'!$G$7:$G$21</c:f>
              <c:numCache>
                <c:formatCode>0.0</c:formatCode>
                <c:ptCount val="15"/>
                <c:pt idx="0">
                  <c:v>79.517543859649123</c:v>
                </c:pt>
                <c:pt idx="1">
                  <c:v>81.205821205821209</c:v>
                </c:pt>
                <c:pt idx="2">
                  <c:v>79.171094580233785</c:v>
                </c:pt>
                <c:pt idx="3">
                  <c:v>84.65280849181778</c:v>
                </c:pt>
                <c:pt idx="4">
                  <c:v>90.133943155831432</c:v>
                </c:pt>
                <c:pt idx="5">
                  <c:v>85.728518057285186</c:v>
                </c:pt>
                <c:pt idx="6">
                  <c:v>89.804772234273315</c:v>
                </c:pt>
                <c:pt idx="7">
                  <c:v>94.939759036144579</c:v>
                </c:pt>
                <c:pt idx="10">
                  <c:v>79.171094580233785</c:v>
                </c:pt>
                <c:pt idx="11">
                  <c:v>83.803564240494737</c:v>
                </c:pt>
                <c:pt idx="12">
                  <c:v>81.896284028568473</c:v>
                </c:pt>
                <c:pt idx="13">
                  <c:v>90.791979290070643</c:v>
                </c:pt>
                <c:pt idx="14">
                  <c:v>90.308408343628869</c:v>
                </c:pt>
              </c:numCache>
            </c:numRef>
          </c:val>
          <c:extLst>
            <c:ext xmlns:c16="http://schemas.microsoft.com/office/drawing/2014/chart" uri="{C3380CC4-5D6E-409C-BE32-E72D297353CC}">
              <c16:uniqueId val="{00000000-50AE-4549-81E7-B6E44AD392AE}"/>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 Benefit'!$L$6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'Child Benefit'!$C$7:$C$21</c15:sqref>
                        </c15:formulaRef>
                      </c:ext>
                    </c:extLst>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Aberdeenshire</c:v>
                      </c:pt>
                      <c:pt idx="11">
                        <c:v>LGBF Family Group 1 Average</c:v>
                      </c:pt>
                      <c:pt idx="12">
                        <c:v>Aberdeen City Region</c:v>
                      </c:pt>
                      <c:pt idx="13">
                        <c:v>Scotland</c:v>
                      </c:pt>
                      <c:pt idx="14">
                        <c:v>United Kingdom</c:v>
                      </c:pt>
                    </c:strCache>
                  </c:strRef>
                </c:cat>
                <c:val>
                  <c:numRef>
                    <c:extLst>
                      <c:ext uri="{02D57815-91ED-43cb-92C2-25804820EDAC}">
                        <c15:formulaRef>
                          <c15:sqref>'Child Benefit'!$L$7:$L$21</c15:sqref>
                        </c15:formulaRef>
                      </c:ext>
                    </c:extLst>
                    <c:numCache>
                      <c:formatCode>#,##0</c:formatCode>
                      <c:ptCount val="15"/>
                      <c:pt idx="0">
                        <c:v>-100</c:v>
                      </c:pt>
                      <c:pt idx="1">
                        <c:v>-300</c:v>
                      </c:pt>
                      <c:pt idx="2">
                        <c:v>0</c:v>
                      </c:pt>
                      <c:pt idx="3">
                        <c:v>-2500</c:v>
                      </c:pt>
                      <c:pt idx="4">
                        <c:v>-1700</c:v>
                      </c:pt>
                      <c:pt idx="5">
                        <c:v>-1300</c:v>
                      </c:pt>
                      <c:pt idx="6">
                        <c:v>-300</c:v>
                      </c:pt>
                      <c:pt idx="7">
                        <c:v>-400</c:v>
                      </c:pt>
                    </c:numCache>
                  </c:numRef>
                </c:val>
                <c:extLst>
                  <c:ext xmlns:c16="http://schemas.microsoft.com/office/drawing/2014/chart" uri="{C3380CC4-5D6E-409C-BE32-E72D297353CC}">
                    <c16:uniqueId val="{00000001-50AE-4549-81E7-B6E44AD392AE}"/>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1</xdr:col>
      <xdr:colOff>330884</xdr:colOff>
      <xdr:row>4</xdr:row>
      <xdr:rowOff>166408</xdr:rowOff>
    </xdr:to>
    <xdr:pic>
      <xdr:nvPicPr>
        <xdr:cNvPr id="2" name="Picture 1" descr="GCR-logo-REV.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17500"/>
          <a:ext cx="819834" cy="7696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447675</xdr:colOff>
          <xdr:row>3</xdr:row>
          <xdr:rowOff>171450</xdr:rowOff>
        </xdr:from>
        <xdr:to>
          <xdr:col>10</xdr:col>
          <xdr:colOff>495300</xdr:colOff>
          <xdr:row>7</xdr:row>
          <xdr:rowOff>123825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461440</xdr:colOff>
      <xdr:row>25</xdr:row>
      <xdr:rowOff>16933</xdr:rowOff>
    </xdr:from>
    <xdr:to>
      <xdr:col>4</xdr:col>
      <xdr:colOff>740833</xdr:colOff>
      <xdr:row>47</xdr:row>
      <xdr:rowOff>10583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150284</xdr:colOff>
      <xdr:row>25</xdr:row>
      <xdr:rowOff>1</xdr:rowOff>
    </xdr:from>
    <xdr:to>
      <xdr:col>11</xdr:col>
      <xdr:colOff>349250</xdr:colOff>
      <xdr:row>47</xdr:row>
      <xdr:rowOff>21166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588439</xdr:colOff>
      <xdr:row>25</xdr:row>
      <xdr:rowOff>59266</xdr:rowOff>
    </xdr:from>
    <xdr:to>
      <xdr:col>4</xdr:col>
      <xdr:colOff>910166</xdr:colOff>
      <xdr:row>47</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298449</xdr:colOff>
      <xdr:row>25</xdr:row>
      <xdr:rowOff>52917</xdr:rowOff>
    </xdr:from>
    <xdr:to>
      <xdr:col>11</xdr:col>
      <xdr:colOff>338667</xdr:colOff>
      <xdr:row>47</xdr:row>
      <xdr:rowOff>95250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609607</xdr:colOff>
      <xdr:row>25</xdr:row>
      <xdr:rowOff>48678</xdr:rowOff>
    </xdr:from>
    <xdr:to>
      <xdr:col>4</xdr:col>
      <xdr:colOff>850398</xdr:colOff>
      <xdr:row>46</xdr:row>
      <xdr:rowOff>128495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298450</xdr:colOff>
      <xdr:row>25</xdr:row>
      <xdr:rowOff>31744</xdr:rowOff>
    </xdr:from>
    <xdr:to>
      <xdr:col>11</xdr:col>
      <xdr:colOff>359833</xdr:colOff>
      <xdr:row>46</xdr:row>
      <xdr:rowOff>95244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80433</xdr:rowOff>
    </xdr:from>
    <xdr:to>
      <xdr:col>3</xdr:col>
      <xdr:colOff>850399</xdr:colOff>
      <xdr:row>46</xdr:row>
      <xdr:rowOff>12083</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213783</xdr:colOff>
      <xdr:row>24</xdr:row>
      <xdr:rowOff>74083</xdr:rowOff>
    </xdr:from>
    <xdr:to>
      <xdr:col>10</xdr:col>
      <xdr:colOff>138133</xdr:colOff>
      <xdr:row>44</xdr:row>
      <xdr:rowOff>71350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930627</xdr:colOff>
      <xdr:row>24</xdr:row>
      <xdr:rowOff>82199</xdr:rowOff>
    </xdr:from>
    <xdr:to>
      <xdr:col>4</xdr:col>
      <xdr:colOff>827460</xdr:colOff>
      <xdr:row>46</xdr:row>
      <xdr:rowOff>6440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24</xdr:row>
      <xdr:rowOff>101600</xdr:rowOff>
    </xdr:from>
    <xdr:to>
      <xdr:col>11</xdr:col>
      <xdr:colOff>222250</xdr:colOff>
      <xdr:row>46</xdr:row>
      <xdr:rowOff>21167</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568331</xdr:colOff>
      <xdr:row>25</xdr:row>
      <xdr:rowOff>6350</xdr:rowOff>
    </xdr:from>
    <xdr:to>
      <xdr:col>4</xdr:col>
      <xdr:colOff>692706</xdr:colOff>
      <xdr:row>46</xdr:row>
      <xdr:rowOff>39600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44450</xdr:colOff>
      <xdr:row>24</xdr:row>
      <xdr:rowOff>137584</xdr:rowOff>
    </xdr:from>
    <xdr:to>
      <xdr:col>10</xdr:col>
      <xdr:colOff>740833</xdr:colOff>
      <xdr:row>46</xdr:row>
      <xdr:rowOff>42333</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791992</xdr:colOff>
      <xdr:row>24</xdr:row>
      <xdr:rowOff>54328</xdr:rowOff>
    </xdr:from>
    <xdr:to>
      <xdr:col>4</xdr:col>
      <xdr:colOff>688825</xdr:colOff>
      <xdr:row>45</xdr:row>
      <xdr:rowOff>87578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97367</xdr:colOff>
      <xdr:row>24</xdr:row>
      <xdr:rowOff>74083</xdr:rowOff>
    </xdr:from>
    <xdr:to>
      <xdr:col>11</xdr:col>
      <xdr:colOff>137583</xdr:colOff>
      <xdr:row>45</xdr:row>
      <xdr:rowOff>84666</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641354</xdr:colOff>
      <xdr:row>24</xdr:row>
      <xdr:rowOff>59769</xdr:rowOff>
    </xdr:from>
    <xdr:to>
      <xdr:col>4</xdr:col>
      <xdr:colOff>538187</xdr:colOff>
      <xdr:row>45</xdr:row>
      <xdr:rowOff>154214</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121558</xdr:colOff>
      <xdr:row>24</xdr:row>
      <xdr:rowOff>81642</xdr:rowOff>
    </xdr:from>
    <xdr:to>
      <xdr:col>11</xdr:col>
      <xdr:colOff>299357</xdr:colOff>
      <xdr:row>45</xdr:row>
      <xdr:rowOff>136071</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530231</xdr:colOff>
      <xdr:row>24</xdr:row>
      <xdr:rowOff>101600</xdr:rowOff>
    </xdr:from>
    <xdr:to>
      <xdr:col>4</xdr:col>
      <xdr:colOff>740331</xdr:colOff>
      <xdr:row>45</xdr:row>
      <xdr:rowOff>134850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24</xdr:row>
      <xdr:rowOff>114299</xdr:rowOff>
    </xdr:from>
    <xdr:to>
      <xdr:col>11</xdr:col>
      <xdr:colOff>19050</xdr:colOff>
      <xdr:row>45</xdr:row>
      <xdr:rowOff>123824</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596906</xdr:colOff>
      <xdr:row>25</xdr:row>
      <xdr:rowOff>15875</xdr:rowOff>
    </xdr:from>
    <xdr:to>
      <xdr:col>5</xdr:col>
      <xdr:colOff>197406</xdr:colOff>
      <xdr:row>46</xdr:row>
      <xdr:rowOff>49125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574675</xdr:colOff>
      <xdr:row>25</xdr:row>
      <xdr:rowOff>47624</xdr:rowOff>
    </xdr:from>
    <xdr:to>
      <xdr:col>11</xdr:col>
      <xdr:colOff>904875</xdr:colOff>
      <xdr:row>46</xdr:row>
      <xdr:rowOff>57149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539756</xdr:colOff>
      <xdr:row>24</xdr:row>
      <xdr:rowOff>34925</xdr:rowOff>
    </xdr:from>
    <xdr:to>
      <xdr:col>5</xdr:col>
      <xdr:colOff>140256</xdr:colOff>
      <xdr:row>45</xdr:row>
      <xdr:rowOff>68175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460375</xdr:colOff>
      <xdr:row>24</xdr:row>
      <xdr:rowOff>38100</xdr:rowOff>
    </xdr:from>
    <xdr:to>
      <xdr:col>11</xdr:col>
      <xdr:colOff>885825</xdr:colOff>
      <xdr:row>45</xdr:row>
      <xdr:rowOff>57150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558806</xdr:colOff>
      <xdr:row>24</xdr:row>
      <xdr:rowOff>111125</xdr:rowOff>
    </xdr:from>
    <xdr:to>
      <xdr:col>4</xdr:col>
      <xdr:colOff>683181</xdr:colOff>
      <xdr:row>45</xdr:row>
      <xdr:rowOff>144375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822324</xdr:colOff>
      <xdr:row>24</xdr:row>
      <xdr:rowOff>104775</xdr:rowOff>
    </xdr:from>
    <xdr:to>
      <xdr:col>10</xdr:col>
      <xdr:colOff>895349</xdr:colOff>
      <xdr:row>45</xdr:row>
      <xdr:rowOff>142875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568331</xdr:colOff>
      <xdr:row>24</xdr:row>
      <xdr:rowOff>101600</xdr:rowOff>
    </xdr:from>
    <xdr:to>
      <xdr:col>4</xdr:col>
      <xdr:colOff>692706</xdr:colOff>
      <xdr:row>45</xdr:row>
      <xdr:rowOff>134850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22225</xdr:colOff>
      <xdr:row>24</xdr:row>
      <xdr:rowOff>114299</xdr:rowOff>
    </xdr:from>
    <xdr:to>
      <xdr:col>11</xdr:col>
      <xdr:colOff>123825</xdr:colOff>
      <xdr:row>45</xdr:row>
      <xdr:rowOff>142874</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577856</xdr:colOff>
      <xdr:row>24</xdr:row>
      <xdr:rowOff>53975</xdr:rowOff>
    </xdr:from>
    <xdr:to>
      <xdr:col>4</xdr:col>
      <xdr:colOff>702231</xdr:colOff>
      <xdr:row>45</xdr:row>
      <xdr:rowOff>87225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24</xdr:row>
      <xdr:rowOff>47625</xdr:rowOff>
    </xdr:from>
    <xdr:to>
      <xdr:col>11</xdr:col>
      <xdr:colOff>19050</xdr:colOff>
      <xdr:row>45</xdr:row>
      <xdr:rowOff>28575</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587381</xdr:colOff>
      <xdr:row>23</xdr:row>
      <xdr:rowOff>111125</xdr:rowOff>
    </xdr:from>
    <xdr:to>
      <xdr:col>4</xdr:col>
      <xdr:colOff>711756</xdr:colOff>
      <xdr:row>44</xdr:row>
      <xdr:rowOff>144375</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155575</xdr:colOff>
      <xdr:row>23</xdr:row>
      <xdr:rowOff>114300</xdr:rowOff>
    </xdr:from>
    <xdr:to>
      <xdr:col>11</xdr:col>
      <xdr:colOff>257175</xdr:colOff>
      <xdr:row>44</xdr:row>
      <xdr:rowOff>114300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587381</xdr:colOff>
      <xdr:row>24</xdr:row>
      <xdr:rowOff>111125</xdr:rowOff>
    </xdr:from>
    <xdr:to>
      <xdr:col>5</xdr:col>
      <xdr:colOff>102156</xdr:colOff>
      <xdr:row>45</xdr:row>
      <xdr:rowOff>144375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577856</xdr:colOff>
      <xdr:row>24</xdr:row>
      <xdr:rowOff>82550</xdr:rowOff>
    </xdr:from>
    <xdr:to>
      <xdr:col>5</xdr:col>
      <xdr:colOff>92631</xdr:colOff>
      <xdr:row>45</xdr:row>
      <xdr:rowOff>115800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355599</xdr:colOff>
      <xdr:row>24</xdr:row>
      <xdr:rowOff>85724</xdr:rowOff>
    </xdr:from>
    <xdr:to>
      <xdr:col>11</xdr:col>
      <xdr:colOff>733424</xdr:colOff>
      <xdr:row>45</xdr:row>
      <xdr:rowOff>95249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7056</xdr:colOff>
      <xdr:row>24</xdr:row>
      <xdr:rowOff>105682</xdr:rowOff>
    </xdr:from>
    <xdr:to>
      <xdr:col>4</xdr:col>
      <xdr:colOff>825553</xdr:colOff>
      <xdr:row>46</xdr:row>
      <xdr:rowOff>15107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482606</xdr:colOff>
      <xdr:row>24</xdr:row>
      <xdr:rowOff>53974</xdr:rowOff>
    </xdr:from>
    <xdr:to>
      <xdr:col>4</xdr:col>
      <xdr:colOff>821113</xdr:colOff>
      <xdr:row>46</xdr:row>
      <xdr:rowOff>59319</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244468</xdr:colOff>
      <xdr:row>24</xdr:row>
      <xdr:rowOff>88899</xdr:rowOff>
    </xdr:from>
    <xdr:to>
      <xdr:col>11</xdr:col>
      <xdr:colOff>466725</xdr:colOff>
      <xdr:row>46</xdr:row>
      <xdr:rowOff>76200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635359</xdr:colOff>
      <xdr:row>24</xdr:row>
      <xdr:rowOff>75848</xdr:rowOff>
    </xdr:from>
    <xdr:to>
      <xdr:col>4</xdr:col>
      <xdr:colOff>532192</xdr:colOff>
      <xdr:row>44</xdr:row>
      <xdr:rowOff>84667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107951</xdr:colOff>
      <xdr:row>24</xdr:row>
      <xdr:rowOff>74084</xdr:rowOff>
    </xdr:from>
    <xdr:to>
      <xdr:col>11</xdr:col>
      <xdr:colOff>32301</xdr:colOff>
      <xdr:row>44</xdr:row>
      <xdr:rowOff>71350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461440</xdr:colOff>
      <xdr:row>25</xdr:row>
      <xdr:rowOff>16933</xdr:rowOff>
    </xdr:from>
    <xdr:to>
      <xdr:col>4</xdr:col>
      <xdr:colOff>740833</xdr:colOff>
      <xdr:row>47</xdr:row>
      <xdr:rowOff>10583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150284</xdr:colOff>
      <xdr:row>25</xdr:row>
      <xdr:rowOff>1</xdr:rowOff>
    </xdr:from>
    <xdr:to>
      <xdr:col>11</xdr:col>
      <xdr:colOff>349250</xdr:colOff>
      <xdr:row>47</xdr:row>
      <xdr:rowOff>21166</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96@90pub_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H831"/>
      <sheetName val="GDP(O) 1963"/>
      <sheetName val="checked"/>
      <sheetName val="GDP(O)"/>
      <sheetName val="98 expl"/>
      <sheetName val="Explanations"/>
      <sheetName val="Programs"/>
    </sheetNames>
    <sheetDataSet>
      <sheetData sheetId="0" refreshError="1"/>
      <sheetData sheetId="1" refreshError="1"/>
      <sheetData sheetId="2" refreshError="1"/>
      <sheetData sheetId="3" refreshError="1">
        <row r="1">
          <cell r="A1" t="str">
            <v>Row</v>
          </cell>
        </row>
        <row r="2427">
          <cell r="B2427" t="str">
            <v>I</v>
          </cell>
          <cell r="C2427">
            <v>10</v>
          </cell>
          <cell r="E2427">
            <v>90</v>
          </cell>
          <cell r="G2427" t="str">
            <v>DIVISIONAL INDEX, 1990=100</v>
          </cell>
          <cell r="H2427">
            <v>40.499544948933156</v>
          </cell>
        </row>
      </sheetData>
      <sheetData sheetId="4" refreshError="1"/>
      <sheetData sheetId="5" refreshError="1"/>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nn.Clasen@glasgow.gov.uk"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www.gov.uk/government/statistics/child-benefit-statistics-annual-release-august-2023"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nomisweb.co.uk/query/select/getdatasetbytheme.asp?theme=7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ons.gov.uk/employmentandlabourmarket/peoplenotinwork/unemployment/datasets/householdsbycombinedeconomicactivitystatusofhouseholdmembersbylocalauthoritytablea1l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https://www.gov.scot/publications/summary-statistics-attainment-initial-leaver-destinations-no-6-2024-edition/document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www.skillsdevelopmentscotland.co.uk/publications-statistics/statistics/annual-participation-measur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nomisweb.co.uk/query/construct/summary.asp?mode=construct&amp;version=0&amp;dataset=17"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s://www.nomisweb.co.uk/query/construct/summary.asp?mode=construct&amp;version=0&amp;dataset=17"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stat-xplore.dwp.gov.uk/webapi/jsf/login.xhtm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https://www.nomisweb.co.uk/query/construct/summary.asp?mode=construct&amp;version=0&amp;dataset=17"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9.bin"/><Relationship Id="rId1" Type="http://schemas.openxmlformats.org/officeDocument/2006/relationships/hyperlink" Target="https://www.nomisweb.co.uk/query/construct/summary.asp?mode=construct&amp;version=0&amp;dataset=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hyperlink" Target="https://www.nomisweb.co.uk/query/construct/summary.asp?mode=construct&amp;version=0&amp;dataset=17"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hyperlink" Target="https://www.nomisweb.co.uk/query/construct/summary.asp?mode=construct&amp;version=0&amp;dataset=17"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bin"/><Relationship Id="rId1" Type="http://schemas.openxmlformats.org/officeDocument/2006/relationships/hyperlink" Target="https://www.nomisweb.co.uk/query/select/getdatasetbytheme.asp?theme=2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omisweb.co.uk/query/construct/summary.asp?mode=construct&amp;version=0&amp;dataset=17"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www.nomisweb.co.uk/query/construct/submit.asp?forward=yes&amp;menuopt=201&amp;subcom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www.nomisweb.co.uk/query/construct/submit.asp?forward=yes&amp;menuopt=201&amp;subcom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gov.scot/publications/scotlands-labour-market-people-places-and-regions-background-tables-and-cha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hyperlink" Target="https://www.nomisweb.co.uk/query/construct/summary.asp?mode=construct&amp;version=0&amp;dataset=17"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hyperlink" Target="https://www.improvementservice.org.uk/benchmarking/explore-the-data"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https://socialenterprisecensus.org.uk/"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https://www.ons.gov.uk/economy/grossdomesticproductgdp/datasets/regionalgrossvalueaddedbalancedbyindustrylocalauthoritiesbyitl1region"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https://www.ons.gov.uk/employmentandlabourmarket/peopleinwork/labourproductivity/datasets/subregionalproductivitylabourproductivityindicesbylocalauthoritydistrict"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ndchildpoverty.org.uk/child-poverty-in-your-area-201415-201819/"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endchildpoverty.org.uk/"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careinspectorate.com/index.php/statistics-and-analysi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gov.uk/government/statistics/children-in-low-income-families-local-area-statistics-2014-to-202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stat-xplore.dwp.gov.u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C1:O43"/>
  <sheetViews>
    <sheetView tabSelected="1" zoomScaleNormal="100" workbookViewId="0">
      <selection activeCell="N10" sqref="N10"/>
    </sheetView>
  </sheetViews>
  <sheetFormatPr defaultColWidth="9.140625" defaultRowHeight="15"/>
  <cols>
    <col min="1" max="3" width="9.140625" style="82"/>
    <col min="4" max="4" width="19.28515625" style="82" customWidth="1"/>
    <col min="5" max="5" width="13.140625" style="82" customWidth="1"/>
    <col min="6" max="8" width="9.140625" style="82"/>
    <col min="9" max="9" width="9.85546875" style="82" bestFit="1" customWidth="1"/>
    <col min="10" max="10" width="12.28515625" style="82" customWidth="1"/>
    <col min="11" max="11" width="14.5703125" style="82" customWidth="1"/>
    <col min="12" max="16384" width="9.140625" style="82"/>
  </cols>
  <sheetData>
    <row r="1" spans="3:15">
      <c r="D1" s="83" t="s">
        <v>213</v>
      </c>
    </row>
    <row r="2" spans="3:15">
      <c r="D2" s="82" t="s">
        <v>214</v>
      </c>
      <c r="I2" s="84"/>
      <c r="J2" s="88">
        <v>45625</v>
      </c>
      <c r="O2" s="276"/>
    </row>
    <row r="3" spans="3:15">
      <c r="D3" s="430" t="s">
        <v>486</v>
      </c>
      <c r="E3" s="430"/>
      <c r="F3" s="430"/>
      <c r="G3" s="430"/>
      <c r="H3" s="430"/>
      <c r="I3" s="430"/>
      <c r="J3" s="431" t="s">
        <v>487</v>
      </c>
    </row>
    <row r="5" spans="3:15" ht="14.45" customHeight="1">
      <c r="C5" s="85"/>
      <c r="D5" s="83"/>
    </row>
    <row r="6" spans="3:15" ht="14.45" customHeight="1">
      <c r="C6" s="85"/>
      <c r="D6" s="89" t="s">
        <v>219</v>
      </c>
      <c r="E6" s="87"/>
      <c r="F6" s="87"/>
      <c r="G6" s="87"/>
      <c r="H6" s="87"/>
      <c r="I6" s="87"/>
      <c r="J6" s="87"/>
      <c r="K6" s="87"/>
      <c r="L6" s="87"/>
      <c r="M6" s="87"/>
      <c r="N6" s="87"/>
      <c r="O6" s="87"/>
    </row>
    <row r="7" spans="3:15">
      <c r="C7" s="85"/>
      <c r="D7" s="87"/>
      <c r="E7" s="87"/>
      <c r="F7" s="87"/>
      <c r="G7" s="87"/>
      <c r="H7" s="87"/>
      <c r="I7" s="87"/>
      <c r="J7" s="87"/>
      <c r="K7" s="87"/>
      <c r="L7" s="87"/>
      <c r="M7" s="87"/>
      <c r="N7" s="87"/>
      <c r="O7" s="87"/>
    </row>
    <row r="8" spans="3:15">
      <c r="C8" s="85"/>
      <c r="D8" s="87"/>
      <c r="E8" s="87"/>
      <c r="F8" s="87"/>
      <c r="G8" s="87"/>
      <c r="H8" s="87"/>
      <c r="I8" s="87"/>
      <c r="J8" s="87"/>
      <c r="K8" s="87"/>
      <c r="L8" s="87"/>
      <c r="M8" s="87"/>
      <c r="N8" s="87"/>
      <c r="O8" s="87"/>
    </row>
    <row r="9" spans="3:15">
      <c r="C9" s="85"/>
      <c r="D9" s="87"/>
      <c r="E9" s="87"/>
      <c r="F9" s="101"/>
      <c r="G9" s="87"/>
      <c r="H9" s="87"/>
      <c r="I9" s="87"/>
      <c r="J9" s="87"/>
      <c r="K9" s="87"/>
      <c r="L9" s="87"/>
      <c r="M9" s="87"/>
      <c r="N9" s="87"/>
      <c r="O9" s="87"/>
    </row>
    <row r="10" spans="3:15">
      <c r="D10" s="129" t="s">
        <v>344</v>
      </c>
      <c r="E10" s="86"/>
      <c r="F10" s="86"/>
      <c r="G10" s="86"/>
      <c r="H10" s="86"/>
      <c r="I10" s="86"/>
      <c r="J10" s="86"/>
    </row>
    <row r="11" spans="3:15" ht="15.75">
      <c r="D11" s="236" t="s">
        <v>345</v>
      </c>
      <c r="E11" s="130"/>
      <c r="F11" s="131"/>
      <c r="G11" s="132"/>
      <c r="H11" s="132"/>
      <c r="I11" s="132"/>
      <c r="J11" s="132"/>
      <c r="K11" s="133"/>
    </row>
    <row r="12" spans="3:15">
      <c r="D12" s="128"/>
      <c r="E12" s="86"/>
      <c r="F12" s="86"/>
      <c r="G12" s="86"/>
      <c r="H12" s="86"/>
      <c r="I12" s="86"/>
      <c r="J12" s="86"/>
    </row>
    <row r="13" spans="3:15">
      <c r="D13" s="83" t="s">
        <v>49</v>
      </c>
      <c r="E13" s="126"/>
      <c r="F13" s="127" t="s">
        <v>312</v>
      </c>
      <c r="G13" s="86"/>
      <c r="H13" s="86"/>
      <c r="I13" s="86"/>
      <c r="J13" s="86"/>
    </row>
    <row r="14" spans="3:15">
      <c r="G14" s="86"/>
      <c r="H14" s="86"/>
      <c r="I14" s="86"/>
      <c r="J14" s="86"/>
    </row>
    <row r="15" spans="3:15" ht="27.95" customHeight="1">
      <c r="D15" s="452" t="s">
        <v>59</v>
      </c>
      <c r="E15" s="453"/>
      <c r="F15" s="447" t="s">
        <v>329</v>
      </c>
      <c r="G15" s="447"/>
      <c r="H15" s="447"/>
      <c r="I15" s="447"/>
      <c r="J15" s="447"/>
      <c r="K15" s="447"/>
    </row>
    <row r="16" spans="3:15" ht="27.95" customHeight="1">
      <c r="D16" s="452" t="s">
        <v>275</v>
      </c>
      <c r="E16" s="453"/>
      <c r="F16" s="449" t="s">
        <v>318</v>
      </c>
      <c r="G16" s="450"/>
      <c r="H16" s="450"/>
      <c r="I16" s="450"/>
      <c r="J16" s="450"/>
      <c r="K16" s="451"/>
    </row>
    <row r="17" spans="4:11" ht="27.95" customHeight="1">
      <c r="D17" s="452" t="s">
        <v>300</v>
      </c>
      <c r="E17" s="453"/>
      <c r="F17" s="447" t="s">
        <v>352</v>
      </c>
      <c r="G17" s="447"/>
      <c r="H17" s="447"/>
      <c r="I17" s="447"/>
      <c r="J17" s="447"/>
      <c r="K17" s="447"/>
    </row>
    <row r="18" spans="4:11" ht="27.95" customHeight="1">
      <c r="D18" s="452" t="s">
        <v>361</v>
      </c>
      <c r="E18" s="453"/>
      <c r="F18" s="448" t="s">
        <v>363</v>
      </c>
      <c r="G18" s="448"/>
      <c r="H18" s="448"/>
      <c r="I18" s="448"/>
      <c r="J18" s="448"/>
      <c r="K18" s="448"/>
    </row>
    <row r="19" spans="4:11" ht="27.95" customHeight="1">
      <c r="D19" s="452" t="s">
        <v>287</v>
      </c>
      <c r="E19" s="453"/>
      <c r="F19" s="449" t="s">
        <v>330</v>
      </c>
      <c r="G19" s="450"/>
      <c r="H19" s="450"/>
      <c r="I19" s="450"/>
      <c r="J19" s="450"/>
      <c r="K19" s="451"/>
    </row>
    <row r="20" spans="4:11" ht="27.95" customHeight="1">
      <c r="D20" s="445" t="s">
        <v>288</v>
      </c>
      <c r="E20" s="446"/>
      <c r="F20" s="447" t="s">
        <v>319</v>
      </c>
      <c r="G20" s="447"/>
      <c r="H20" s="447"/>
      <c r="I20" s="447"/>
      <c r="J20" s="447"/>
      <c r="K20" s="447"/>
    </row>
    <row r="21" spans="4:11" ht="27.95" customHeight="1">
      <c r="D21" s="445" t="s">
        <v>282</v>
      </c>
      <c r="E21" s="446"/>
      <c r="F21" s="447" t="s">
        <v>320</v>
      </c>
      <c r="G21" s="447"/>
      <c r="H21" s="447"/>
      <c r="I21" s="447"/>
      <c r="J21" s="447"/>
      <c r="K21" s="447"/>
    </row>
    <row r="22" spans="4:11" ht="27.95" customHeight="1">
      <c r="D22" s="452" t="s">
        <v>283</v>
      </c>
      <c r="E22" s="453"/>
      <c r="F22" s="448" t="s">
        <v>321</v>
      </c>
      <c r="G22" s="448"/>
      <c r="H22" s="448"/>
      <c r="I22" s="448"/>
      <c r="J22" s="448"/>
      <c r="K22" s="448"/>
    </row>
    <row r="23" spans="4:11" ht="27.95" customHeight="1">
      <c r="D23" s="452" t="s">
        <v>289</v>
      </c>
      <c r="E23" s="453"/>
      <c r="F23" s="447" t="s">
        <v>322</v>
      </c>
      <c r="G23" s="447"/>
      <c r="H23" s="447"/>
      <c r="I23" s="447"/>
      <c r="J23" s="447"/>
      <c r="K23" s="447"/>
    </row>
    <row r="24" spans="4:11" ht="27.95" customHeight="1">
      <c r="D24" s="445" t="s">
        <v>200</v>
      </c>
      <c r="E24" s="446"/>
      <c r="F24" s="447" t="s">
        <v>324</v>
      </c>
      <c r="G24" s="447"/>
      <c r="H24" s="447"/>
      <c r="I24" s="447"/>
      <c r="J24" s="447"/>
      <c r="K24" s="447"/>
    </row>
    <row r="25" spans="4:11" ht="27.95" customHeight="1">
      <c r="D25" s="445" t="s">
        <v>201</v>
      </c>
      <c r="E25" s="446"/>
      <c r="F25" s="447" t="s">
        <v>323</v>
      </c>
      <c r="G25" s="447"/>
      <c r="H25" s="447"/>
      <c r="I25" s="447"/>
      <c r="J25" s="447"/>
      <c r="K25" s="447"/>
    </row>
    <row r="26" spans="4:11" ht="27.95" customHeight="1">
      <c r="D26" s="445" t="s">
        <v>343</v>
      </c>
      <c r="E26" s="446"/>
      <c r="F26" s="448" t="s">
        <v>340</v>
      </c>
      <c r="G26" s="448"/>
      <c r="H26" s="448"/>
      <c r="I26" s="448"/>
      <c r="J26" s="448"/>
      <c r="K26" s="448"/>
    </row>
    <row r="27" spans="4:11" ht="27.95" customHeight="1">
      <c r="D27" s="445" t="s">
        <v>202</v>
      </c>
      <c r="E27" s="446"/>
      <c r="F27" s="448" t="s">
        <v>325</v>
      </c>
      <c r="G27" s="448"/>
      <c r="H27" s="448"/>
      <c r="I27" s="448"/>
      <c r="J27" s="448"/>
      <c r="K27" s="448"/>
    </row>
    <row r="28" spans="4:11" ht="27.95" customHeight="1">
      <c r="D28" s="445" t="s">
        <v>199</v>
      </c>
      <c r="E28" s="446"/>
      <c r="F28" s="447" t="s">
        <v>326</v>
      </c>
      <c r="G28" s="447"/>
      <c r="H28" s="447"/>
      <c r="I28" s="447"/>
      <c r="J28" s="447"/>
      <c r="K28" s="447"/>
    </row>
    <row r="29" spans="4:11" ht="27.95" customHeight="1">
      <c r="D29" s="445" t="s">
        <v>197</v>
      </c>
      <c r="E29" s="446"/>
      <c r="F29" s="447" t="s">
        <v>327</v>
      </c>
      <c r="G29" s="447"/>
      <c r="H29" s="447"/>
      <c r="I29" s="447"/>
      <c r="J29" s="447"/>
      <c r="K29" s="447"/>
    </row>
    <row r="30" spans="4:11" ht="27.95" customHeight="1">
      <c r="D30" s="445" t="s">
        <v>198</v>
      </c>
      <c r="E30" s="446"/>
      <c r="F30" s="448" t="s">
        <v>328</v>
      </c>
      <c r="G30" s="448"/>
      <c r="H30" s="448"/>
      <c r="I30" s="448"/>
      <c r="J30" s="448"/>
      <c r="K30" s="448"/>
    </row>
    <row r="31" spans="4:11" ht="27.95" customHeight="1">
      <c r="D31" s="445" t="s">
        <v>180</v>
      </c>
      <c r="E31" s="446"/>
      <c r="F31" s="448" t="s">
        <v>438</v>
      </c>
      <c r="G31" s="448"/>
      <c r="H31" s="448"/>
      <c r="I31" s="448"/>
      <c r="J31" s="448"/>
      <c r="K31" s="448"/>
    </row>
    <row r="32" spans="4:11" ht="27.95" customHeight="1">
      <c r="D32" s="445" t="s">
        <v>292</v>
      </c>
      <c r="E32" s="446"/>
      <c r="F32" s="448" t="s">
        <v>331</v>
      </c>
      <c r="G32" s="448"/>
      <c r="H32" s="448"/>
      <c r="I32" s="448"/>
      <c r="J32" s="448"/>
      <c r="K32" s="448"/>
    </row>
    <row r="33" spans="4:11" ht="27.95" customHeight="1">
      <c r="D33" s="445" t="s">
        <v>66</v>
      </c>
      <c r="E33" s="446"/>
      <c r="F33" s="447" t="s">
        <v>332</v>
      </c>
      <c r="G33" s="447"/>
      <c r="H33" s="447"/>
      <c r="I33" s="447"/>
      <c r="J33" s="447"/>
      <c r="K33" s="447"/>
    </row>
    <row r="34" spans="4:11" ht="27.95" customHeight="1">
      <c r="D34" s="445" t="s">
        <v>285</v>
      </c>
      <c r="E34" s="446"/>
      <c r="F34" s="448" t="s">
        <v>333</v>
      </c>
      <c r="G34" s="448"/>
      <c r="H34" s="448"/>
      <c r="I34" s="448"/>
      <c r="J34" s="448"/>
      <c r="K34" s="448"/>
    </row>
    <row r="35" spans="4:11" ht="27.95" customHeight="1">
      <c r="D35" s="445" t="s">
        <v>334</v>
      </c>
      <c r="E35" s="446"/>
      <c r="F35" s="449" t="s">
        <v>336</v>
      </c>
      <c r="G35" s="450"/>
      <c r="H35" s="450"/>
      <c r="I35" s="450"/>
      <c r="J35" s="450"/>
      <c r="K35" s="451"/>
    </row>
    <row r="36" spans="4:11" ht="27.95" customHeight="1">
      <c r="D36" s="445" t="s">
        <v>286</v>
      </c>
      <c r="E36" s="446"/>
      <c r="F36" s="447" t="s">
        <v>341</v>
      </c>
      <c r="G36" s="447"/>
      <c r="H36" s="447"/>
      <c r="I36" s="447"/>
      <c r="J36" s="447"/>
      <c r="K36" s="447"/>
    </row>
    <row r="37" spans="4:11" ht="27.95" customHeight="1">
      <c r="D37" s="445" t="s">
        <v>365</v>
      </c>
      <c r="E37" s="446"/>
      <c r="F37" s="447" t="s">
        <v>395</v>
      </c>
      <c r="G37" s="447"/>
      <c r="H37" s="447"/>
      <c r="I37" s="447"/>
      <c r="J37" s="447"/>
      <c r="K37" s="447"/>
    </row>
    <row r="38" spans="4:11" ht="27.95" customHeight="1">
      <c r="D38" s="445" t="s">
        <v>366</v>
      </c>
      <c r="E38" s="446"/>
      <c r="F38" s="447" t="s">
        <v>396</v>
      </c>
      <c r="G38" s="447"/>
      <c r="H38" s="447"/>
      <c r="I38" s="447"/>
      <c r="J38" s="447"/>
      <c r="K38" s="447"/>
    </row>
    <row r="39" spans="4:11" ht="27.95" customHeight="1">
      <c r="D39" s="445" t="s">
        <v>367</v>
      </c>
      <c r="E39" s="446"/>
      <c r="F39" s="447" t="s">
        <v>397</v>
      </c>
      <c r="G39" s="447"/>
      <c r="H39" s="447"/>
      <c r="I39" s="447"/>
      <c r="J39" s="447"/>
      <c r="K39" s="447"/>
    </row>
    <row r="40" spans="4:11" ht="27.95" customHeight="1">
      <c r="D40" s="445" t="s">
        <v>501</v>
      </c>
      <c r="E40" s="446"/>
      <c r="F40" s="447" t="s">
        <v>502</v>
      </c>
      <c r="G40" s="447"/>
      <c r="H40" s="447"/>
      <c r="I40" s="447"/>
      <c r="J40" s="447"/>
      <c r="K40" s="447"/>
    </row>
    <row r="41" spans="4:11" ht="27.95" customHeight="1">
      <c r="D41" s="445" t="s">
        <v>195</v>
      </c>
      <c r="E41" s="446"/>
      <c r="F41" s="447" t="s">
        <v>339</v>
      </c>
      <c r="G41" s="447"/>
      <c r="H41" s="447"/>
      <c r="I41" s="447"/>
      <c r="J41" s="447"/>
      <c r="K41" s="447"/>
    </row>
    <row r="42" spans="4:11" ht="24.6" customHeight="1">
      <c r="D42" s="445" t="s">
        <v>92</v>
      </c>
      <c r="E42" s="446"/>
      <c r="F42" s="449" t="s">
        <v>338</v>
      </c>
      <c r="G42" s="450"/>
      <c r="H42" s="450"/>
      <c r="I42" s="450"/>
      <c r="J42" s="450"/>
      <c r="K42" s="451"/>
    </row>
    <row r="43" spans="4:11" ht="24.6" customHeight="1"/>
  </sheetData>
  <sheetProtection sort="0" autoFilter="0"/>
  <mergeCells count="56">
    <mergeCell ref="F42:K42"/>
    <mergeCell ref="D42:E42"/>
    <mergeCell ref="D37:E37"/>
    <mergeCell ref="F37:K37"/>
    <mergeCell ref="D38:E38"/>
    <mergeCell ref="F38:K38"/>
    <mergeCell ref="D39:E39"/>
    <mergeCell ref="F39:K39"/>
    <mergeCell ref="D41:E41"/>
    <mergeCell ref="F41:K41"/>
    <mergeCell ref="D15:E15"/>
    <mergeCell ref="F15:K15"/>
    <mergeCell ref="D16:E16"/>
    <mergeCell ref="F16:K16"/>
    <mergeCell ref="D17:E17"/>
    <mergeCell ref="F17:K17"/>
    <mergeCell ref="D18:E18"/>
    <mergeCell ref="F18:K18"/>
    <mergeCell ref="D19:E19"/>
    <mergeCell ref="F19:K19"/>
    <mergeCell ref="D20:E20"/>
    <mergeCell ref="F20:K20"/>
    <mergeCell ref="D21:E21"/>
    <mergeCell ref="F21:K21"/>
    <mergeCell ref="D22:E22"/>
    <mergeCell ref="F22:K22"/>
    <mergeCell ref="D23:E23"/>
    <mergeCell ref="F23:K23"/>
    <mergeCell ref="D24:E24"/>
    <mergeCell ref="F24:K24"/>
    <mergeCell ref="D25:E25"/>
    <mergeCell ref="F25:K25"/>
    <mergeCell ref="D26:E26"/>
    <mergeCell ref="F26:K26"/>
    <mergeCell ref="D27:E27"/>
    <mergeCell ref="F27:K27"/>
    <mergeCell ref="D28:E28"/>
    <mergeCell ref="F28:K28"/>
    <mergeCell ref="D29:E29"/>
    <mergeCell ref="F29:K29"/>
    <mergeCell ref="D30:E30"/>
    <mergeCell ref="F30:K30"/>
    <mergeCell ref="D31:E31"/>
    <mergeCell ref="F31:K31"/>
    <mergeCell ref="D32:E32"/>
    <mergeCell ref="F32:K32"/>
    <mergeCell ref="D36:E36"/>
    <mergeCell ref="F36:K36"/>
    <mergeCell ref="D40:E40"/>
    <mergeCell ref="F40:K40"/>
    <mergeCell ref="D33:E33"/>
    <mergeCell ref="F33:K33"/>
    <mergeCell ref="D34:E34"/>
    <mergeCell ref="F34:K34"/>
    <mergeCell ref="D35:E35"/>
    <mergeCell ref="F35:K35"/>
  </mergeCells>
  <hyperlinks>
    <hyperlink ref="J3" r:id="rId1" xr:uid="{C3CC3BE9-856E-451D-B0B2-897E10C87653}"/>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legacyDrawing r:id="rId4"/>
  <oleObjects>
    <mc:AlternateContent xmlns:mc="http://schemas.openxmlformats.org/markup-compatibility/2006">
      <mc:Choice Requires="x14">
        <oleObject progId="Document" dvAspect="DVASPECT_ICON" shapeId="1036" r:id="rId5">
          <objectPr defaultSize="0" r:id="rId6">
            <anchor moveWithCells="1">
              <from>
                <xdr:col>9</xdr:col>
                <xdr:colOff>447675</xdr:colOff>
                <xdr:row>3</xdr:row>
                <xdr:rowOff>171450</xdr:rowOff>
              </from>
              <to>
                <xdr:col>10</xdr:col>
                <xdr:colOff>495300</xdr:colOff>
                <xdr:row>7</xdr:row>
                <xdr:rowOff>123825</xdr:rowOff>
              </to>
            </anchor>
          </objectPr>
        </oleObject>
      </mc:Choice>
      <mc:Fallback>
        <oleObject progId="Document" dvAspect="DVASPECT_ICON" shapeId="103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FD15-9EC4-43DD-ABD1-DD4C2DD0E7A4}">
  <sheetPr>
    <pageSetUpPr autoPageBreaks="0" fitToPage="1"/>
  </sheetPr>
  <dimension ref="B1:L24"/>
  <sheetViews>
    <sheetView zoomScale="90" zoomScaleNormal="90" workbookViewId="0"/>
  </sheetViews>
  <sheetFormatPr defaultColWidth="9.140625" defaultRowHeight="12"/>
  <cols>
    <col min="1" max="1" width="9.140625" style="145"/>
    <col min="2" max="2" width="31.85546875" style="145" bestFit="1" customWidth="1"/>
    <col min="3" max="3" width="24" style="145" customWidth="1" collapsed="1"/>
    <col min="4" max="7" width="14" style="145" customWidth="1" collapsed="1"/>
    <col min="8" max="12" width="14" style="145" customWidth="1"/>
    <col min="13" max="16384" width="9.140625" style="145"/>
  </cols>
  <sheetData>
    <row r="1" spans="2:12">
      <c r="C1" s="170" t="str">
        <f>CONCATENATE(C2,D1,C6)</f>
        <v>Families with Dependent Children eligible for Child Benefit (%) - LGBF Family Group 1</v>
      </c>
      <c r="D1" s="170" t="s">
        <v>290</v>
      </c>
    </row>
    <row r="2" spans="2:12" ht="12.75">
      <c r="B2" s="171" t="s">
        <v>49</v>
      </c>
      <c r="C2" s="172" t="s">
        <v>287</v>
      </c>
      <c r="E2" s="173"/>
      <c r="G2" s="467" t="s">
        <v>216</v>
      </c>
      <c r="H2" s="468"/>
    </row>
    <row r="3" spans="2:12" ht="12.75">
      <c r="B3" s="171" t="s">
        <v>50</v>
      </c>
      <c r="C3" s="310" t="s">
        <v>306</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East Renfrewshire</v>
      </c>
      <c r="D7" s="217">
        <f>VLOOKUP($C7,'Raw - Child Benefit'!$A:$Q,4,FALSE)</f>
        <v>82.267950963222418</v>
      </c>
      <c r="E7" s="217">
        <f>VLOOKUP($C7,'Raw - Child Benefit'!$A:$Q,8,FALSE)</f>
        <v>81.25</v>
      </c>
      <c r="F7" s="217">
        <f>VLOOKUP($C7,'Raw - Child Benefit'!$A:$Q,12,FALSE)</f>
        <v>81.25</v>
      </c>
      <c r="G7" s="217">
        <f>VLOOKUP($C7,'Raw - Child Benefit'!$A:$Q,16,FALSE)</f>
        <v>79.517543859649123</v>
      </c>
      <c r="H7" s="218">
        <f>VLOOKUP(C7,'Raw - Child Benefit'!A:Q,14,FALSE)</f>
        <v>9065</v>
      </c>
      <c r="I7" s="219">
        <f>IFERROR(SUM(G7-D7),"-")</f>
        <v>-2.7504071035732949</v>
      </c>
      <c r="J7" s="220">
        <f>IFERROR(SUM(VLOOKUP(C7,'Raw - Child Benefit'!A:Q,14,FALSE)-VLOOKUP(C7,'Raw - Child Benefit'!A:Q,2,FALSE)),"-")</f>
        <v>-330</v>
      </c>
      <c r="K7" s="221">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-0.34644927941533865</v>
      </c>
      <c r="L7" s="222">
        <f>IF(K7=""," ",IF($K$5="LGBF Family Group Average",SUM(MROUND(SUM(SUM(VLOOKUP(C$18,'Raw - Child Benefit'!A:Q,16,FALSE)*VLOOKUP(C7,'Raw - Child Benefit'!A:Q,15,FALSE))/100),100)-MROUND(SUM(SUM(VLOOKUP(C7,'Raw - Child Benefit'!A:Q,16,FALSE)*VLOOKUP(C7,'Raw - Child Benefit'!A:Q,15,FALSE))/100),100)),IF($K$5="City Region Comparator",SUM(MROUND(SUM(SUM(VLOOKUP(C$19,'Raw - Child Benefit'!A:Q,16,FALSE)*VLOOKUP(C7,'Raw - Child Benefit'!A:Q,15,FALSE))/100),100)-MROUND(SUM(SUM(VLOOKUP(C7,'Raw - Child Benefit'!A:Q,16,FALSE)*VLOOKUP(C7,'Raw - Child Benefit'!A:Q,15,FALSE))/100),100)),IF($K$5="Scotland",SUM(MROUND(SUM(SUM(VLOOKUP(C$20,'Raw - Child Benefit'!A:Q,16,FALSE)*VLOOKUP(C7,'Raw - Child Benefit'!A:Q,15,FALSE))/100),100)-MROUND(SUM(SUM(VLOOKUP(C7,'Raw - Child Benefit'!A:Q,16,FALSE)*VLOOKUP(C7,'Raw - Child Benefit'!A:Q,15,FALSE))/100),100)),IF($K$5="United Kingdom",SUM(MROUND(SUM(SUM(VLOOKUP(C$21,'Raw - Child Benefit'!A:Q,16,FALSE)*VLOOKUP(C7,'Raw - Child Benefit'!A:Q,15,FALSE))/100),100)-MROUND(SUM(SUM(VLOOKUP(C7,'Raw - Child Benefit'!A:Q,16,FALSE)*VLOOKUP(C7,'Raw - Child Benefit'!A:Q,15,FALSE))/100),100)),SUM(MROUND(SUM(SUM(VLOOKUP(C$17,'Raw - Child Benefit'!A:Q,16,FALSE)*VLOOKUP(C7,'Raw - Child Benefit'!A:Q,15,FALSE))/100),100)-MROUND(SUM(SUM(VLOOKUP(C7,'Raw - Child Benefit'!A:Q,16,FALSE)*VLOOKUP(C7,'Raw - Child Benefit'!A:Q,15,FALSE))/100),100)))))))</f>
        <v>-100</v>
      </c>
    </row>
    <row r="8" spans="2:12" s="137" customFormat="1" ht="19.5" customHeight="1">
      <c r="B8" s="216" t="s">
        <v>153</v>
      </c>
      <c r="C8" s="216" t="str">
        <f>IF(C$6="LGBF Family Group 1",Lookups!B29,IF(C$6="LGBF Family Group 2",Lookups!C29,IF(C$6="LGBF Family Group 3",Lookups!D29,Lookups!E29)))</f>
        <v>East Dunbartonshire</v>
      </c>
      <c r="D8" s="217">
        <f>VLOOKUP($C8,'Raw - Child Benefit'!$A:$Q,4,FALSE)</f>
        <v>83.607230895645017</v>
      </c>
      <c r="E8" s="217">
        <f>VLOOKUP($C8,'Raw - Child Benefit'!$A:$Q,8,FALSE)</f>
        <v>82.633744855967066</v>
      </c>
      <c r="F8" s="217">
        <f>VLOOKUP($C8,'Raw - Child Benefit'!$A:$Q,12,FALSE)</f>
        <v>82.633744855967066</v>
      </c>
      <c r="G8" s="217">
        <f>VLOOKUP($C8,'Raw - Child Benefit'!$A:$Q,16,FALSE)</f>
        <v>81.205821205821209</v>
      </c>
      <c r="H8" s="218">
        <f>VLOOKUP(C8,'Raw - Child Benefit'!A:Q,14,FALSE)</f>
        <v>9765</v>
      </c>
      <c r="I8" s="219">
        <f t="shared" ref="I8:I14" si="1">IFERROR(SUM(G8-D8),"-")</f>
        <v>-2.401409689823808</v>
      </c>
      <c r="J8" s="220">
        <f>IFERROR(SUM(VLOOKUP(C8,'Raw - Child Benefit'!A:Q,14,FALSE)-VLOOKUP(C8,'Raw - Child Benefit'!A:Q,2,FALSE)),"-")</f>
        <v>-410</v>
      </c>
      <c r="K8" s="221">
        <f t="shared" si="0"/>
        <v>-2.0347266255874246</v>
      </c>
      <c r="L8" s="222">
        <f>IF(K8=""," ",IF($K$5="LGBF Family Group Average",SUM(MROUND(SUM(SUM(VLOOKUP(C$18,'Raw - Child Benefit'!A:Q,16,FALSE)*VLOOKUP(C8,'Raw - Child Benefit'!A:Q,15,FALSE))/100),100)-MROUND(SUM(SUM(VLOOKUP(C8,'Raw - Child Benefit'!A:Q,16,FALSE)*VLOOKUP(C8,'Raw - Child Benefit'!A:Q,15,FALSE))/100),100)),IF($K$5="City Region Comparator",SUM(MROUND(SUM(SUM(VLOOKUP(C$19,'Raw - Child Benefit'!A:Q,16,FALSE)*VLOOKUP(C8,'Raw - Child Benefit'!A:Q,15,FALSE))/100),100)-MROUND(SUM(SUM(VLOOKUP(C8,'Raw - Child Benefit'!A:Q,16,FALSE)*VLOOKUP(C8,'Raw - Child Benefit'!A:Q,15,FALSE))/100),100)),IF($K$5="Scotland",SUM(MROUND(SUM(SUM(VLOOKUP(C$20,'Raw - Child Benefit'!A:Q,16,FALSE)*VLOOKUP(C8,'Raw - Child Benefit'!A:Q,15,FALSE))/100),100)-MROUND(SUM(SUM(VLOOKUP(C8,'Raw - Child Benefit'!A:Q,16,FALSE)*VLOOKUP(C8,'Raw - Child Benefit'!A:Q,15,FALSE))/100),100)),IF($K$5="United Kingdom",SUM(MROUND(SUM(SUM(VLOOKUP(C$21,'Raw - Child Benefit'!A:Q,16,FALSE)*VLOOKUP(C8,'Raw - Child Benefit'!A:Q,15,FALSE))/100),100)-MROUND(SUM(SUM(VLOOKUP(C8,'Raw - Child Benefit'!A:Q,16,FALSE)*VLOOKUP(C8,'Raw - Child Benefit'!A:Q,15,FALSE))/100),100)),SUM(MROUND(SUM(SUM(VLOOKUP(C$17,'Raw - Child Benefit'!A:Q,16,FALSE)*VLOOKUP(C8,'Raw - Child Benefit'!A:Q,15,FALSE))/100),100)-MROUND(SUM(SUM(VLOOKUP(C8,'Raw - Child Benefit'!A:Q,16,FALSE)*VLOOKUP(C8,'Raw - Child Benefit'!A:Q,15,FALSE))/100),100)))))))</f>
        <v>-300</v>
      </c>
    </row>
    <row r="9" spans="2:12" s="137" customFormat="1" ht="19.5" customHeight="1">
      <c r="B9" s="216" t="s">
        <v>153</v>
      </c>
      <c r="C9" s="216" t="str">
        <f>IF(C$6="LGBF Family Group 1",Lookups!B30,IF(C$6="LGBF Family Group 2",Lookups!C30,IF(C$6="LGBF Family Group 3",Lookups!D30,Lookups!E30)))</f>
        <v>Aberdeenshire</v>
      </c>
      <c r="D9" s="217">
        <f>VLOOKUP($C9,'Raw - Child Benefit'!$A:$Q,4,FALSE)</f>
        <v>80.803338549817425</v>
      </c>
      <c r="E9" s="217">
        <f>VLOOKUP($C9,'Raw - Child Benefit'!$A:$Q,8,FALSE)</f>
        <v>80.462589801997538</v>
      </c>
      <c r="F9" s="217">
        <f>VLOOKUP($C9,'Raw - Child Benefit'!$A:$Q,12,FALSE)</f>
        <v>80.462589801997538</v>
      </c>
      <c r="G9" s="217">
        <f>VLOOKUP($C9,'Raw - Child Benefit'!$A:$Q,16,FALSE)</f>
        <v>79.171094580233785</v>
      </c>
      <c r="H9" s="218">
        <f>VLOOKUP(C9,'Raw - Child Benefit'!A:Q,14,FALSE)</f>
        <v>22350</v>
      </c>
      <c r="I9" s="219">
        <f t="shared" si="1"/>
        <v>-1.6322439695836408</v>
      </c>
      <c r="J9" s="220">
        <f>IFERROR(SUM(VLOOKUP(C9,'Raw - Child Benefit'!A:Q,14,FALSE)-VLOOKUP(C9,'Raw - Child Benefit'!A:Q,2,FALSE)),"-")</f>
        <v>-885</v>
      </c>
      <c r="K9" s="221" t="str">
        <f t="shared" si="0"/>
        <v/>
      </c>
      <c r="L9" s="222" t="str">
        <f>IF(K9=""," ",IF($K$5="LGBF Family Group Average",SUM(MROUND(SUM(SUM(VLOOKUP(C$18,'Raw - Child Benefit'!A:Q,16,FALSE)*VLOOKUP(C9,'Raw - Child Benefit'!A:Q,15,FALSE))/100),100)-MROUND(SUM(SUM(VLOOKUP(C9,'Raw - Child Benefit'!A:Q,16,FALSE)*VLOOKUP(C9,'Raw - Child Benefit'!A:Q,15,FALSE))/100),100)),IF($K$5="City Region Comparator",SUM(MROUND(SUM(SUM(VLOOKUP(C$19,'Raw - Child Benefit'!A:Q,16,FALSE)*VLOOKUP(C9,'Raw - Child Benefit'!A:Q,15,FALSE))/100),100)-MROUND(SUM(SUM(VLOOKUP(C9,'Raw - Child Benefit'!A:Q,16,FALSE)*VLOOKUP(C9,'Raw - Child Benefit'!A:Q,15,FALSE))/100),100)),IF($K$5="Scotland",SUM(MROUND(SUM(SUM(VLOOKUP(C$20,'Raw - Child Benefit'!A:Q,16,FALSE)*VLOOKUP(C9,'Raw - Child Benefit'!A:Q,15,FALSE))/100),100)-MROUND(SUM(SUM(VLOOKUP(C9,'Raw - Child Benefit'!A:Q,16,FALSE)*VLOOKUP(C9,'Raw - Child Benefit'!A:Q,15,FALSE))/100),100)),IF($K$5="United Kingdom",SUM(MROUND(SUM(SUM(VLOOKUP(C$21,'Raw - Child Benefit'!A:Q,16,FALSE)*VLOOKUP(C9,'Raw - Child Benefit'!A:Q,15,FALSE))/100),100)-MROUND(SUM(SUM(VLOOKUP(C9,'Raw - Child Benefit'!A:Q,16,FALSE)*VLOOKUP(C9,'Raw - Child Benefit'!A:Q,15,FALSE))/100),100)),SUM(MROUND(SUM(SUM(VLOOKUP(C$17,'Raw - Child Benefit'!A:Q,16,FALSE)*VLOOKUP(C9,'Raw - Child Benefit'!A:Q,15,FALSE))/100),100)-MROUND(SUM(SUM(VLOOKUP(C9,'Raw - Child Benefit'!A:Q,16,FALSE)*VLOOKUP(C9,'Raw - Child Benefit'!A:Q,15,FALSE))/100),100)))))))</f>
        <v xml:space="preserve"> </v>
      </c>
    </row>
    <row r="10" spans="2:12" s="137" customFormat="1" ht="19.5" customHeight="1">
      <c r="B10" s="216" t="s">
        <v>153</v>
      </c>
      <c r="C10" s="216" t="str">
        <f>IF(C$6="LGBF Family Group 1",Lookups!B31,IF(C$6="LGBF Family Group 2",Lookups!C31,IF(C$6="LGBF Family Group 3",Lookups!D31,Lookups!E31)))</f>
        <v>Edinburgh, City of</v>
      </c>
      <c r="D10" s="217">
        <f>VLOOKUP($C10,'Raw - Child Benefit'!$A:$Q,4,FALSE)</f>
        <v>86.582741553690553</v>
      </c>
      <c r="E10" s="217">
        <f>VLOOKUP($C10,'Raw - Child Benefit'!$A:$Q,8,FALSE)</f>
        <v>85.887972210160655</v>
      </c>
      <c r="F10" s="217">
        <f>VLOOKUP($C10,'Raw - Child Benefit'!$A:$Q,12,FALSE)</f>
        <v>85.887972210160655</v>
      </c>
      <c r="G10" s="217">
        <f>VLOOKUP($C10,'Raw - Child Benefit'!$A:$Q,16,FALSE)</f>
        <v>84.65280849181778</v>
      </c>
      <c r="H10" s="218">
        <f>VLOOKUP(C10,'Raw - Child Benefit'!A:Q,14,FALSE)</f>
        <v>38280</v>
      </c>
      <c r="I10" s="219">
        <f t="shared" si="1"/>
        <v>-1.9299330618727737</v>
      </c>
      <c r="J10" s="220">
        <f>IFERROR(SUM(VLOOKUP(C10,'Raw - Child Benefit'!A:Q,14,FALSE)-VLOOKUP(C10,'Raw - Child Benefit'!A:Q,2,FALSE)),"-")</f>
        <v>-1955</v>
      </c>
      <c r="K10" s="221">
        <f t="shared" si="0"/>
        <v>-5.481713911583995</v>
      </c>
      <c r="L10" s="222">
        <f>IF(K10=""," ",IF($K$5="LGBF Family Group Average",SUM(MROUND(SUM(SUM(VLOOKUP(C$18,'Raw - Child Benefit'!A:Q,16,FALSE)*VLOOKUP(C10,'Raw - Child Benefit'!A:Q,15,FALSE))/100),100)-MROUND(SUM(SUM(VLOOKUP(C10,'Raw - Child Benefit'!A:Q,16,FALSE)*VLOOKUP(C10,'Raw - Child Benefit'!A:Q,15,FALSE))/100),100)),IF($K$5="City Region Comparator",SUM(MROUND(SUM(SUM(VLOOKUP(C$19,'Raw - Child Benefit'!A:Q,16,FALSE)*VLOOKUP(C10,'Raw - Child Benefit'!A:Q,15,FALSE))/100),100)-MROUND(SUM(SUM(VLOOKUP(C10,'Raw - Child Benefit'!A:Q,16,FALSE)*VLOOKUP(C10,'Raw - Child Benefit'!A:Q,15,FALSE))/100),100)),IF($K$5="Scotland",SUM(MROUND(SUM(SUM(VLOOKUP(C$20,'Raw - Child Benefit'!A:Q,16,FALSE)*VLOOKUP(C10,'Raw - Child Benefit'!A:Q,15,FALSE))/100),100)-MROUND(SUM(SUM(VLOOKUP(C10,'Raw - Child Benefit'!A:Q,16,FALSE)*VLOOKUP(C10,'Raw - Child Benefit'!A:Q,15,FALSE))/100),100)),IF($K$5="United Kingdom",SUM(MROUND(SUM(SUM(VLOOKUP(C$21,'Raw - Child Benefit'!A:Q,16,FALSE)*VLOOKUP(C10,'Raw - Child Benefit'!A:Q,15,FALSE))/100),100)-MROUND(SUM(SUM(VLOOKUP(C10,'Raw - Child Benefit'!A:Q,16,FALSE)*VLOOKUP(C10,'Raw - Child Benefit'!A:Q,15,FALSE))/100),100)),SUM(MROUND(SUM(SUM(VLOOKUP(C$17,'Raw - Child Benefit'!A:Q,16,FALSE)*VLOOKUP(C10,'Raw - Child Benefit'!A:Q,15,FALSE))/100),100)-MROUND(SUM(SUM(VLOOKUP(C10,'Raw - Child Benefit'!A:Q,16,FALSE)*VLOOKUP(C10,'Raw - Child Benefit'!A:Q,15,FALSE))/100),100)))))))</f>
        <v>-2500</v>
      </c>
    </row>
    <row r="11" spans="2:12" s="137" customFormat="1" ht="19.5" customHeight="1">
      <c r="B11" s="216" t="s">
        <v>153</v>
      </c>
      <c r="C11" s="216" t="str">
        <f>IF(C$6="LGBF Family Group 1",Lookups!B32,IF(C$6="LGBF Family Group 2",Lookups!C32,IF(C$6="LGBF Family Group 3",Lookups!D32,Lookups!E32)))</f>
        <v>Perth and Kinross</v>
      </c>
      <c r="D11" s="217">
        <f>VLOOKUP($C11,'Raw - Child Benefit'!$A:$Q,4,FALSE)</f>
        <v>91.607258587167848</v>
      </c>
      <c r="E11" s="217">
        <f>VLOOKUP($C11,'Raw - Child Benefit'!$A:$Q,8,FALSE)</f>
        <v>91.18985695708713</v>
      </c>
      <c r="F11" s="217">
        <f>VLOOKUP($C11,'Raw - Child Benefit'!$A:$Q,12,FALSE)</f>
        <v>91.18985695708713</v>
      </c>
      <c r="G11" s="217">
        <f>VLOOKUP($C11,'Raw - Child Benefit'!$A:$Q,16,FALSE)</f>
        <v>90.133943155831432</v>
      </c>
      <c r="H11" s="218">
        <f>VLOOKUP(C11,'Raw - Child Benefit'!A:Q,14,FALSE)</f>
        <v>13795</v>
      </c>
      <c r="I11" s="219">
        <f t="shared" si="1"/>
        <v>-1.4733154313364167</v>
      </c>
      <c r="J11" s="220">
        <f>IFERROR(SUM(VLOOKUP(C11,'Raw - Child Benefit'!A:Q,14,FALSE)-VLOOKUP(C11,'Raw - Child Benefit'!A:Q,2,FALSE)),"-")</f>
        <v>-340</v>
      </c>
      <c r="K11" s="221">
        <f t="shared" si="0"/>
        <v>-10.962848575597647</v>
      </c>
      <c r="L11" s="222">
        <f>IF(K11=""," ",IF($K$5="LGBF Family Group Average",SUM(MROUND(SUM(SUM(VLOOKUP(C$18,'Raw - Child Benefit'!A:Q,16,FALSE)*VLOOKUP(C11,'Raw - Child Benefit'!A:Q,15,FALSE))/100),100)-MROUND(SUM(SUM(VLOOKUP(C11,'Raw - Child Benefit'!A:Q,16,FALSE)*VLOOKUP(C11,'Raw - Child Benefit'!A:Q,15,FALSE))/100),100)),IF($K$5="City Region Comparator",SUM(MROUND(SUM(SUM(VLOOKUP(C$19,'Raw - Child Benefit'!A:Q,16,FALSE)*VLOOKUP(C11,'Raw - Child Benefit'!A:Q,15,FALSE))/100),100)-MROUND(SUM(SUM(VLOOKUP(C11,'Raw - Child Benefit'!A:Q,16,FALSE)*VLOOKUP(C11,'Raw - Child Benefit'!A:Q,15,FALSE))/100),100)),IF($K$5="Scotland",SUM(MROUND(SUM(SUM(VLOOKUP(C$20,'Raw - Child Benefit'!A:Q,16,FALSE)*VLOOKUP(C11,'Raw - Child Benefit'!A:Q,15,FALSE))/100),100)-MROUND(SUM(SUM(VLOOKUP(C11,'Raw - Child Benefit'!A:Q,16,FALSE)*VLOOKUP(C11,'Raw - Child Benefit'!A:Q,15,FALSE))/100),100)),IF($K$5="United Kingdom",SUM(MROUND(SUM(SUM(VLOOKUP(C$21,'Raw - Child Benefit'!A:Q,16,FALSE)*VLOOKUP(C11,'Raw - Child Benefit'!A:Q,15,FALSE))/100),100)-MROUND(SUM(SUM(VLOOKUP(C11,'Raw - Child Benefit'!A:Q,16,FALSE)*VLOOKUP(C11,'Raw - Child Benefit'!A:Q,15,FALSE))/100),100)),SUM(MROUND(SUM(SUM(VLOOKUP(C$17,'Raw - Child Benefit'!A:Q,16,FALSE)*VLOOKUP(C11,'Raw - Child Benefit'!A:Q,15,FALSE))/100),100)-MROUND(SUM(SUM(VLOOKUP(C11,'Raw - Child Benefit'!A:Q,16,FALSE)*VLOOKUP(C11,'Raw - Child Benefit'!A:Q,15,FALSE))/100),100)))))))</f>
        <v>-1700</v>
      </c>
    </row>
    <row r="12" spans="2:12" s="137" customFormat="1" ht="19.5" customHeight="1">
      <c r="B12" s="216" t="s">
        <v>153</v>
      </c>
      <c r="C12" s="216" t="str">
        <f>IF(C$6="LGBF Family Group 1",Lookups!B33,IF(C$6="LGBF Family Group 2",Lookups!C33,IF(C$6="LGBF Family Group 3",Lookups!D33,Lookups!E33)))</f>
        <v>Aberdeen City</v>
      </c>
      <c r="D12" s="217">
        <f>VLOOKUP($C12,'Raw - Child Benefit'!$A:$Q,4,FALSE)</f>
        <v>86.681437715411121</v>
      </c>
      <c r="E12" s="217">
        <f>VLOOKUP($C12,'Raw - Child Benefit'!$A:$Q,8,FALSE)</f>
        <v>86.55834564254063</v>
      </c>
      <c r="F12" s="217">
        <f>VLOOKUP($C12,'Raw - Child Benefit'!$A:$Q,12,FALSE)</f>
        <v>86.55834564254063</v>
      </c>
      <c r="G12" s="217">
        <f>VLOOKUP($C12,'Raw - Child Benefit'!$A:$Q,16,FALSE)</f>
        <v>85.728518057285186</v>
      </c>
      <c r="H12" s="218">
        <f>VLOOKUP(C12,'Raw - Child Benefit'!A:Q,14,FALSE)</f>
        <v>17210</v>
      </c>
      <c r="I12" s="219">
        <f t="shared" si="1"/>
        <v>-0.9529196581259356</v>
      </c>
      <c r="J12" s="220">
        <f>IFERROR(SUM(VLOOKUP(C12,'Raw - Child Benefit'!A:Q,14,FALSE)-VLOOKUP(C12,'Raw - Child Benefit'!A:Q,2,FALSE)),"-")</f>
        <v>-395</v>
      </c>
      <c r="K12" s="221">
        <f t="shared" si="0"/>
        <v>-6.5574234770514011</v>
      </c>
      <c r="L12" s="222">
        <f>IF(K12=""," ",IF($K$5="LGBF Family Group Average",SUM(MROUND(SUM(SUM(VLOOKUP(C$18,'Raw - Child Benefit'!A:Q,16,FALSE)*VLOOKUP(C12,'Raw - Child Benefit'!A:Q,15,FALSE))/100),100)-MROUND(SUM(SUM(VLOOKUP(C12,'Raw - Child Benefit'!A:Q,16,FALSE)*VLOOKUP(C12,'Raw - Child Benefit'!A:Q,15,FALSE))/100),100)),IF($K$5="City Region Comparator",SUM(MROUND(SUM(SUM(VLOOKUP(C$19,'Raw - Child Benefit'!A:Q,16,FALSE)*VLOOKUP(C12,'Raw - Child Benefit'!A:Q,15,FALSE))/100),100)-MROUND(SUM(SUM(VLOOKUP(C12,'Raw - Child Benefit'!A:Q,16,FALSE)*VLOOKUP(C12,'Raw - Child Benefit'!A:Q,15,FALSE))/100),100)),IF($K$5="Scotland",SUM(MROUND(SUM(SUM(VLOOKUP(C$20,'Raw - Child Benefit'!A:Q,16,FALSE)*VLOOKUP(C12,'Raw - Child Benefit'!A:Q,15,FALSE))/100),100)-MROUND(SUM(SUM(VLOOKUP(C12,'Raw - Child Benefit'!A:Q,16,FALSE)*VLOOKUP(C12,'Raw - Child Benefit'!A:Q,15,FALSE))/100),100)),IF($K$5="United Kingdom",SUM(MROUND(SUM(SUM(VLOOKUP(C$21,'Raw - Child Benefit'!A:Q,16,FALSE)*VLOOKUP(C12,'Raw - Child Benefit'!A:Q,15,FALSE))/100),100)-MROUND(SUM(SUM(VLOOKUP(C12,'Raw - Child Benefit'!A:Q,16,FALSE)*VLOOKUP(C12,'Raw - Child Benefit'!A:Q,15,FALSE))/100),100)),SUM(MROUND(SUM(SUM(VLOOKUP(C$17,'Raw - Child Benefit'!A:Q,16,FALSE)*VLOOKUP(C12,'Raw - Child Benefit'!A:Q,15,FALSE))/100),100)-MROUND(SUM(SUM(VLOOKUP(C12,'Raw - Child Benefit'!A:Q,16,FALSE)*VLOOKUP(C12,'Raw - Child Benefit'!A:Q,15,FALSE))/100),100)))))))</f>
        <v>-1300</v>
      </c>
    </row>
    <row r="13" spans="2:12" s="137" customFormat="1" ht="19.5" customHeight="1">
      <c r="B13" s="216" t="s">
        <v>153</v>
      </c>
      <c r="C13" s="216" t="str">
        <f>IF(C$6="LGBF Family Group 1",Lookups!B34,IF(C$6="LGBF Family Group 2",Lookups!C34,IF(C$6="LGBF Family Group 3",Lookups!D34,Lookups!E34)))</f>
        <v>Shetland Islands</v>
      </c>
      <c r="D13" s="217">
        <f>VLOOKUP($C13,'Raw - Child Benefit'!$A:$Q,4,FALSE)</f>
        <v>90.445859872611464</v>
      </c>
      <c r="E13" s="217">
        <f>VLOOKUP($C13,'Raw - Child Benefit'!$A:$Q,8,FALSE)</f>
        <v>90.752688172043008</v>
      </c>
      <c r="F13" s="217">
        <f>VLOOKUP($C13,'Raw - Child Benefit'!$A:$Q,12,FALSE)</f>
        <v>90.752688172043008</v>
      </c>
      <c r="G13" s="217">
        <f>VLOOKUP($C13,'Raw - Child Benefit'!$A:$Q,16,FALSE)</f>
        <v>89.804772234273315</v>
      </c>
      <c r="H13" s="218">
        <f>VLOOKUP(C13,'Raw - Child Benefit'!A:Q,14,FALSE)</f>
        <v>2070</v>
      </c>
      <c r="I13" s="219">
        <f t="shared" si="1"/>
        <v>-0.64108763833814919</v>
      </c>
      <c r="J13" s="220">
        <f>IFERROR(SUM(VLOOKUP(C13,'Raw - Child Benefit'!A:Q,14,FALSE)-VLOOKUP(C13,'Raw - Child Benefit'!A:Q,2,FALSE)),"-")</f>
        <v>-60</v>
      </c>
      <c r="K13" s="221">
        <f t="shared" si="0"/>
        <v>-10.633677654039531</v>
      </c>
      <c r="L13" s="222">
        <f>IF(K13=""," ",IF($K$5="LGBF Family Group Average",SUM(MROUND(SUM(SUM(VLOOKUP(C$18,'Raw - Child Benefit'!A:Q,16,FALSE)*VLOOKUP(C13,'Raw - Child Benefit'!A:Q,15,FALSE))/100),100)-MROUND(SUM(SUM(VLOOKUP(C13,'Raw - Child Benefit'!A:Q,16,FALSE)*VLOOKUP(C13,'Raw - Child Benefit'!A:Q,15,FALSE))/100),100)),IF($K$5="City Region Comparator",SUM(MROUND(SUM(SUM(VLOOKUP(C$19,'Raw - Child Benefit'!A:Q,16,FALSE)*VLOOKUP(C13,'Raw - Child Benefit'!A:Q,15,FALSE))/100),100)-MROUND(SUM(SUM(VLOOKUP(C13,'Raw - Child Benefit'!A:Q,16,FALSE)*VLOOKUP(C13,'Raw - Child Benefit'!A:Q,15,FALSE))/100),100)),IF($K$5="Scotland",SUM(MROUND(SUM(SUM(VLOOKUP(C$20,'Raw - Child Benefit'!A:Q,16,FALSE)*VLOOKUP(C13,'Raw - Child Benefit'!A:Q,15,FALSE))/100),100)-MROUND(SUM(SUM(VLOOKUP(C13,'Raw - Child Benefit'!A:Q,16,FALSE)*VLOOKUP(C13,'Raw - Child Benefit'!A:Q,15,FALSE))/100),100)),IF($K$5="United Kingdom",SUM(MROUND(SUM(SUM(VLOOKUP(C$21,'Raw - Child Benefit'!A:Q,16,FALSE)*VLOOKUP(C13,'Raw - Child Benefit'!A:Q,15,FALSE))/100),100)-MROUND(SUM(SUM(VLOOKUP(C13,'Raw - Child Benefit'!A:Q,16,FALSE)*VLOOKUP(C13,'Raw - Child Benefit'!A:Q,15,FALSE))/100),100)),SUM(MROUND(SUM(SUM(VLOOKUP(C$17,'Raw - Child Benefit'!A:Q,16,FALSE)*VLOOKUP(C13,'Raw - Child Benefit'!A:Q,15,FALSE))/100),100)-MROUND(SUM(SUM(VLOOKUP(C13,'Raw - Child Benefit'!A:Q,16,FALSE)*VLOOKUP(C13,'Raw - Child Benefit'!A:Q,15,FALSE))/100),100)))))))</f>
        <v>-300</v>
      </c>
    </row>
    <row r="14" spans="2:12" s="137" customFormat="1" ht="19.5" customHeight="1">
      <c r="B14" s="216" t="s">
        <v>153</v>
      </c>
      <c r="C14" s="216" t="str">
        <f>IF(C$6="LGBF Family Group 1",Lookups!B35,IF(C$6="LGBF Family Group 2",Lookups!C35,IF(C$6="LGBF Family Group 3",Lookups!D35,Lookups!E35)))</f>
        <v>Orkney Islands</v>
      </c>
      <c r="D14" s="217">
        <f>VLOOKUP($C14,'Raw - Child Benefit'!$A:$Q,4,FALSE)</f>
        <v>95.704057279236281</v>
      </c>
      <c r="E14" s="217">
        <f>VLOOKUP($C14,'Raw - Child Benefit'!$A:$Q,8,FALSE)</f>
        <v>95.215311004784681</v>
      </c>
      <c r="F14" s="217">
        <f>VLOOKUP($C14,'Raw - Child Benefit'!$A:$Q,12,FALSE)</f>
        <v>95.215311004784681</v>
      </c>
      <c r="G14" s="217">
        <f>VLOOKUP($C14,'Raw - Child Benefit'!$A:$Q,16,FALSE)</f>
        <v>94.939759036144579</v>
      </c>
      <c r="H14" s="218">
        <f>VLOOKUP(C14,'Raw - Child Benefit'!A:Q,14,FALSE)</f>
        <v>1970</v>
      </c>
      <c r="I14" s="219">
        <f t="shared" si="1"/>
        <v>-0.76429824309170158</v>
      </c>
      <c r="J14" s="220">
        <f>IFERROR(SUM(VLOOKUP(C14,'Raw - Child Benefit'!A:Q,14,FALSE)-VLOOKUP(C14,'Raw - Child Benefit'!A:Q,2,FALSE)),"-")</f>
        <v>-35</v>
      </c>
      <c r="K14" s="221">
        <f t="shared" si="0"/>
        <v>-15.768664455910795</v>
      </c>
      <c r="L14" s="222">
        <f>IF(K14=""," ",IF($K$5="LGBF Family Group Average",SUM(MROUND(SUM(SUM(VLOOKUP(C$18,'Raw - Child Benefit'!A:Q,16,FALSE)*VLOOKUP(C14,'Raw - Child Benefit'!A:Q,15,FALSE))/100),100)-MROUND(SUM(SUM(VLOOKUP(C14,'Raw - Child Benefit'!A:Q,16,FALSE)*VLOOKUP(C14,'Raw - Child Benefit'!A:Q,15,FALSE))/100),100)),IF($K$5="City Region Comparator",SUM(MROUND(SUM(SUM(VLOOKUP(C$19,'Raw - Child Benefit'!A:Q,16,FALSE)*VLOOKUP(C14,'Raw - Child Benefit'!A:Q,15,FALSE))/100),100)-MROUND(SUM(SUM(VLOOKUP(C14,'Raw - Child Benefit'!A:Q,16,FALSE)*VLOOKUP(C14,'Raw - Child Benefit'!A:Q,15,FALSE))/100),100)),IF($K$5="Scotland",SUM(MROUND(SUM(SUM(VLOOKUP(C$20,'Raw - Child Benefit'!A:Q,16,FALSE)*VLOOKUP(C14,'Raw - Child Benefit'!A:Q,15,FALSE))/100),100)-MROUND(SUM(SUM(VLOOKUP(C14,'Raw - Child Benefit'!A:Q,16,FALSE)*VLOOKUP(C14,'Raw - Child Benefit'!A:Q,15,FALSE))/100),100)),IF($K$5="United Kingdom",SUM(MROUND(SUM(SUM(VLOOKUP(C$21,'Raw - Child Benefit'!A:Q,16,FALSE)*VLOOKUP(C14,'Raw - Child Benefit'!A:Q,15,FALSE))/100),100)-MROUND(SUM(SUM(VLOOKUP(C14,'Raw - Child Benefit'!A:Q,16,FALSE)*VLOOKUP(C14,'Raw - Child Benefit'!A:Q,15,FALSE))/100),100)),SUM(MROUND(SUM(SUM(VLOOKUP(C$17,'Raw - Child Benefit'!A:Q,16,FALSE)*VLOOKUP(C14,'Raw - Child Benefit'!A:Q,15,FALSE))/100),100)-MROUND(SUM(SUM(VLOOKUP(C14,'Raw - Child Benefit'!A:Q,16,FALSE)*VLOOKUP(C14,'Raw - Child Benefit'!A:Q,15,FALSE))/100),100)))))))</f>
        <v>-400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Child Benefit'!$A$9:$A$40,MATCH(MIN('Raw - Child Benefit'!L9:L40),'Raw - Child Benefit'!L9:L40,0))</f>
        <v>Aberdeenshire</v>
      </c>
      <c r="D17" s="217">
        <f>VLOOKUP($C17,'Raw - Child Benefit'!$A:$Q,4,FALSE)</f>
        <v>80.803338549817425</v>
      </c>
      <c r="E17" s="217">
        <f>VLOOKUP($C17,'Raw - Child Benefit'!$A:$Q,8,FALSE)</f>
        <v>80.462589801997538</v>
      </c>
      <c r="F17" s="217">
        <f>VLOOKUP($C17,'Raw - Child Benefit'!$A:$Q,12,FALSE)</f>
        <v>80.462589801997538</v>
      </c>
      <c r="G17" s="217">
        <f>VLOOKUP($C17,'Raw - Child Benefit'!$A:$Q,16,FALSE)</f>
        <v>79.171094580233785</v>
      </c>
      <c r="H17" s="218">
        <f>VLOOKUP(C17,'Raw - Child Benefit'!A:Q,14,FALSE)</f>
        <v>22350</v>
      </c>
      <c r="I17" s="219">
        <f t="shared" ref="I17" si="2">IFERROR(SUM(G17-D17),"-")</f>
        <v>-1.6322439695836408</v>
      </c>
      <c r="J17" s="220">
        <f>IFERROR(SUM(VLOOKUP(C17,'Raw - Child Benefit'!A:Q,14,FALSE)-VLOOKUP(C17,'Raw - Child Benefit'!A:Q,2,FALSE)),"-")</f>
        <v>-885</v>
      </c>
    </row>
    <row r="18" spans="2:12" s="137" customFormat="1" ht="19.5" customHeight="1">
      <c r="B18" s="226" t="s">
        <v>271</v>
      </c>
      <c r="C18" s="227" t="s">
        <v>246</v>
      </c>
      <c r="D18" s="217">
        <f>VLOOKUP($C18,'Raw - Child Benefit'!$A:$Q,4,FALSE)</f>
        <v>85.547282471853521</v>
      </c>
      <c r="E18" s="217">
        <f>VLOOKUP($C18,'Raw - Child Benefit'!$A:$Q,8,FALSE)</f>
        <v>85.009762094149977</v>
      </c>
      <c r="F18" s="217">
        <f>VLOOKUP($C18,'Raw - Child Benefit'!$A:$Q,12,FALSE)</f>
        <v>85.009762094149977</v>
      </c>
      <c r="G18" s="217">
        <f>VLOOKUP($C18,'Raw - Child Benefit'!$A:$Q,16,FALSE)</f>
        <v>83.803564240494737</v>
      </c>
      <c r="H18" s="218">
        <f>VLOOKUP(C18,'Raw - Child Benefit'!A:Q,14,FALSE)</f>
        <v>114505</v>
      </c>
      <c r="I18" s="219">
        <f t="shared" ref="I18:I21" si="3">IFERROR(SUM(G18-D18),"-")</f>
        <v>-1.743718231358784</v>
      </c>
      <c r="J18" s="220">
        <f>IFERROR(SUM(VLOOKUP(C18,'Raw - Child Benefit'!A:Q,14,FALSE)-VLOOKUP(C18,'Raw - Child Benefit'!A:Q,2,FALSE)),"-")</f>
        <v>-4410</v>
      </c>
    </row>
    <row r="19" spans="2:12" s="137" customFormat="1" ht="19.5" customHeight="1">
      <c r="B19" s="226" t="s">
        <v>270</v>
      </c>
      <c r="C19" s="216" t="s">
        <v>156</v>
      </c>
      <c r="D19" s="217">
        <f>VLOOKUP($C19,'Raw - Child Benefit'!$A:$Q,4,FALSE)</f>
        <v>90.474174428450468</v>
      </c>
      <c r="E19" s="217">
        <f>VLOOKUP($C19,'Raw - Child Benefit'!$A:$Q,8,FALSE)</f>
        <v>82.997236155184765</v>
      </c>
      <c r="F19" s="217">
        <f>VLOOKUP($C19,'Raw - Child Benefit'!$A:$Q,12,FALSE)</f>
        <v>82.997236155184765</v>
      </c>
      <c r="G19" s="217">
        <f>VLOOKUP($C19,'Raw - Child Benefit'!$A:$Q,16,FALSE)</f>
        <v>81.896284028568473</v>
      </c>
      <c r="H19" s="218">
        <f>VLOOKUP(C19,'Raw - Child Benefit'!A:Q,14,FALSE)</f>
        <v>39560</v>
      </c>
      <c r="I19" s="219">
        <f t="shared" si="3"/>
        <v>-8.5778903998819942</v>
      </c>
      <c r="J19" s="220">
        <f>IFERROR(SUM(VLOOKUP(C19,'Raw - Child Benefit'!A:Q,14,FALSE)-VLOOKUP(C19,'Raw - Child Benefit'!A:Q,2,FALSE)),"-")</f>
        <v>-45920</v>
      </c>
    </row>
    <row r="20" spans="2:12" s="137" customFormat="1" ht="19.5" customHeight="1">
      <c r="B20" s="226" t="s">
        <v>164</v>
      </c>
      <c r="C20" s="216" t="s">
        <v>46</v>
      </c>
      <c r="D20" s="217">
        <f>VLOOKUP($C20,'Raw - Child Benefit'!$A:$Q,4,FALSE)</f>
        <v>92.129248933168299</v>
      </c>
      <c r="E20" s="217">
        <f>VLOOKUP($C20,'Raw - Child Benefit'!$A:$Q,8,FALSE)</f>
        <v>91.682195788850379</v>
      </c>
      <c r="F20" s="217">
        <f>VLOOKUP($C20,'Raw - Child Benefit'!$A:$Q,12,FALSE)</f>
        <v>100</v>
      </c>
      <c r="G20" s="217">
        <f>VLOOKUP($C20,'Raw - Child Benefit'!$A:$Q,16,FALSE)</f>
        <v>90.791979290070643</v>
      </c>
      <c r="H20" s="218">
        <f>VLOOKUP(C20,'Raw - Child Benefit'!A:Q,14,FALSE)</f>
        <v>517310</v>
      </c>
      <c r="I20" s="219">
        <f t="shared" si="3"/>
        <v>-1.3372696430976561</v>
      </c>
      <c r="J20" s="220">
        <f>IFERROR(SUM(VLOOKUP(C20,'Raw - Child Benefit'!A:Q,14,FALSE)-VLOOKUP(C20,'Raw - Child Benefit'!A:Q,2,FALSE)),"-")</f>
        <v>-14870</v>
      </c>
    </row>
    <row r="21" spans="2:12" s="137" customFormat="1" ht="19.5" customHeight="1">
      <c r="B21" s="226" t="s">
        <v>164</v>
      </c>
      <c r="C21" s="216" t="s">
        <v>47</v>
      </c>
      <c r="D21" s="217">
        <f>VLOOKUP($C21,'Raw - Child Benefit'!$A:$Q,4,FALSE)</f>
        <v>91.589386431326432</v>
      </c>
      <c r="E21" s="217">
        <f>VLOOKUP($C21,'Raw - Child Benefit'!$A:$Q,8,FALSE)</f>
        <v>91.123721788391819</v>
      </c>
      <c r="F21" s="217">
        <f>VLOOKUP($C21,'Raw - Child Benefit'!$A:$Q,12,FALSE)</f>
        <v>100</v>
      </c>
      <c r="G21" s="217">
        <f>VLOOKUP($C21,'Raw - Child Benefit'!$A:$Q,16,FALSE)</f>
        <v>90.308408343628869</v>
      </c>
      <c r="H21" s="218">
        <f>VLOOKUP(C21,'Raw - Child Benefit'!A:Q,14,FALSE)</f>
        <v>6907645</v>
      </c>
      <c r="I21" s="219">
        <f t="shared" si="3"/>
        <v>-1.2809780876975623</v>
      </c>
      <c r="J21" s="220">
        <f>IFERROR(SUM(VLOOKUP(C21,'Raw - Child Benefit'!A:Q,14,FALSE)-VLOOKUP(C21,'Raw - Child Benefit'!A:Q,2,FALSE)),"-")</f>
        <v>-180595</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c r="I23" s="170"/>
    </row>
    <row r="24" spans="2:12">
      <c r="B24" s="193" t="s">
        <v>207</v>
      </c>
    </row>
  </sheetData>
  <sheetProtection algorithmName="SHA-512" hashValue="RQT4Pkm9WyoCw2Zw4CLetcaKhzpGMwlyor+5gQOvJ0cUj/Vtf4kNLHahlYwuLXkqoKnjo7j1y3sGup4o3cDfGA==" saltValue="SqsZNYUCn6u2qZ5ooDPAVw==" spinCount="100000" sheet="1" sort="0"/>
  <mergeCells count="4">
    <mergeCell ref="K4:L4"/>
    <mergeCell ref="I5:J5"/>
    <mergeCell ref="K5:L5"/>
    <mergeCell ref="G2:H2"/>
  </mergeCells>
  <hyperlinks>
    <hyperlink ref="C3" r:id="rId1" xr:uid="{0CEB9DBA-BC66-4223-8241-F58FF9B7CE8D}"/>
    <hyperlink ref="G2:H2" location="'Index RAG'!A1" display="Return to Index RAG" xr:uid="{446D4D4B-36E2-4541-A6E2-BC846C3E556F}"/>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3C24D5EC-7DF0-4655-8E41-0FDECD3677D8}">
          <x14:formula1>
            <xm:f>Lookups!$B$27:$E$27</xm:f>
          </x14:formula1>
          <xm:sqref>C6</xm:sqref>
        </x14:dataValidation>
        <x14:dataValidation type="list" allowBlank="1" showInputMessage="1" showErrorMessage="1" xr:uid="{4CE55BE0-3261-4E09-AE84-ECCC067DEE01}">
          <x14:formula1>
            <xm:f>Lookups!$B$36:$E$36</xm:f>
          </x14:formula1>
          <xm:sqref>C18</xm:sqref>
        </x14:dataValidation>
        <x14:dataValidation type="list" allowBlank="1" showInputMessage="1" showErrorMessage="1" xr:uid="{CE39B429-7EAE-4B9B-8457-6CB62AA97398}">
          <x14:formula1>
            <xm:f>Lookups!$B$9:$B$13</xm:f>
          </x14:formula1>
          <xm:sqref>K5:L5</xm:sqref>
        </x14:dataValidation>
        <x14:dataValidation type="list" allowBlank="1" showInputMessage="1" showErrorMessage="1" xr:uid="{313C1717-6A28-44D1-9AD4-60B13621A287}">
          <x14:formula1>
            <xm:f>Lookups!$Q$3:$Q$7</xm:f>
          </x14:formula1>
          <xm:sqref>C19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Claimant Count Rate (%) - LGBF Family Group 1</v>
      </c>
      <c r="D1" s="170" t="s">
        <v>290</v>
      </c>
    </row>
    <row r="2" spans="2:12" ht="12.75">
      <c r="B2" s="171" t="s">
        <v>49</v>
      </c>
      <c r="C2" s="172" t="s">
        <v>288</v>
      </c>
      <c r="F2" s="467" t="s">
        <v>216</v>
      </c>
      <c r="G2" s="468"/>
    </row>
    <row r="3" spans="2:12" ht="12.75">
      <c r="B3" s="171" t="s">
        <v>50</v>
      </c>
      <c r="C3" s="309" t="s">
        <v>103</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201" t="str">
        <f>'Raw - Claimant Count'!D8</f>
        <v>October 2021</v>
      </c>
      <c r="E6" s="201" t="str">
        <f>'Raw - Claimant Count'!H8</f>
        <v>October 2022</v>
      </c>
      <c r="F6" s="201" t="str">
        <f>'Raw - Claimant Count'!L8</f>
        <v>October 2023</v>
      </c>
      <c r="G6" s="201" t="str">
        <f>'Raw - Claimant Count'!P8</f>
        <v>October 2024</v>
      </c>
      <c r="H6" s="181" t="s">
        <v>508</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cm="1">
        <f t="array" ref="D7">INDEX('Raw - Claimant Count'!$A$8:$P$51,_xlfn.XMATCH($C7,'Raw - Claimant Count'!$A$8:$A$51),_xlfn.XMATCH(D$6,'Raw - Claimant Count'!$A$8:$P$8))</f>
        <v>3.1</v>
      </c>
      <c r="E7" s="217" cm="1">
        <f t="array" ref="E7">INDEX('Raw - Claimant Count'!$A$8:$P$51,_xlfn.XMATCH($C7,'Raw - Claimant Count'!$A$8:$A$51),_xlfn.XMATCH(E$6,'Raw - Claimant Count'!$A$8:$P$8))</f>
        <v>1.9</v>
      </c>
      <c r="F7" s="217" cm="1">
        <f t="array" ref="F7">INDEX('Raw - Claimant Count'!$A$8:$P$51,_xlfn.XMATCH($C7,'Raw - Claimant Count'!$A$8:$A$51),_xlfn.XMATCH(F$6,'Raw - Claimant Count'!$A$8:$P$8))</f>
        <v>1.7</v>
      </c>
      <c r="G7" s="217" cm="1">
        <f t="array" ref="G7">INDEX('Raw - Claimant Count'!$A$8:$P$51,_xlfn.XMATCH($C7,'Raw - Claimant Count'!$A$8:$A$51),_xlfn.XMATCH(G$6,'Raw - Claimant Count'!$A$8:$P$8))</f>
        <v>1.8</v>
      </c>
      <c r="H7" s="218" cm="1">
        <f t="array" ref="H7">INDEX('Raw - Claimant Count'!$A$8:$P$51,_xlfn.XMATCH($C7,'Raw - Claimant Count'!$A$8:$A$51),_xlfn.XMATCH(G$6,'Raw - Claimant Count'!$A$8:$P$8)-2)</f>
        <v>280</v>
      </c>
      <c r="I7" s="219">
        <f>IFERROR(SUM(G7-D7),"-")</f>
        <v>-1.3</v>
      </c>
      <c r="J7" s="220">
        <f>IFERROR(SUM(VLOOKUP(C7,'Raw - Claimant Count'!A:Q,14,FALSE)-VLOOKUP(C7,'Raw - Claimant Count'!A:Q,2,FALSE)),"-")</f>
        <v>-205</v>
      </c>
      <c r="K7" s="221">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-0.30000000000000004</v>
      </c>
      <c r="L7" s="222">
        <f>IF(K7=""," ",IF($K$5="LGBF Family Group Average",SUM(MROUND(SUM(SUM(VLOOKUP(C$18,'Raw - Claimant Count'!A:Q,16,FALSE)*VLOOKUP(C7,'Raw - Claimant Count'!A:Q,15,FALSE))/100),100)-MROUND(SUM(SUM(VLOOKUP(C7,'Raw - Claimant Count'!A:Q,16,FALSE)*VLOOKUP(C7,'Raw - Claimant Count'!A:Q,15,FALSE))/100),100)),IF($K$5="City Region Comparator",SUM(MROUND(SUM(SUM(VLOOKUP(C$19,'Raw - Claimant Count'!A:Q,16,FALSE)*VLOOKUP(C7,'Raw - Claimant Count'!A:Q,15,FALSE))/100),100)-MROUND(SUM(SUM(VLOOKUP(C7,'Raw - Claimant Count'!A:Q,16,FALSE)*VLOOKUP(C7,'Raw - Claimant Count'!A:Q,15,FALSE))/100),100)),IF($K$5="Scotland",SUM(MROUND(SUM(SUM(VLOOKUP(C$20,'Raw - Claimant Count'!A:Q,16,FALSE)*VLOOKUP(C7,'Raw - Claimant Count'!A:Q,15,FALSE))/100),100)-MROUND(SUM(SUM(VLOOKUP(C7,'Raw - Claimant Count'!A:Q,16,FALSE)*VLOOKUP(C7,'Raw - Claimant Count'!A:Q,15,FALSE))/100),100)),IF($K$5="United Kingdom",SUM(MROUND(SUM(SUM(VLOOKUP(C$21,'Raw - Claimant Count'!A:Q,16,FALSE)*VLOOKUP(C7,'Raw - Claimant Count'!A:Q,15,FALSE))/100),100)-MROUND(SUM(SUM(VLOOKUP(C7,'Raw - Claimant Count'!A:Q,16,FALSE)*VLOOKUP(C7,'Raw - Claimant Count'!A:Q,15,FALSE))/100),100)),SUM(MROUND(SUM(SUM(VLOOKUP(C$17,'Raw - Claimant Count'!A:Q,16,FALSE)*VLOOKUP(C7,'Raw - Claimant Count'!A:Q,15,FALSE))/100),100)-MROUND(SUM(SUM(VLOOKUP(C7,'Raw - Claimant Count'!A:Q,16,FALSE)*VLOOKUP(C7,'Raw - Claimant Count'!A:Q,15,FALSE))/100),100)))))))</f>
        <v>-100</v>
      </c>
    </row>
    <row r="8" spans="2:12" s="137" customFormat="1" ht="19.5" customHeight="1">
      <c r="B8" s="216" t="s">
        <v>153</v>
      </c>
      <c r="C8" s="216" t="str">
        <f>IF(C$6="LGBF Family Group 1",Lookups!I29,IF(C$6="LGBF Family Group 2",Lookups!J29,IF(C$6="LGBF Family Group 3",Lookups!K29,Lookups!L29)))</f>
        <v>Argyll and Bute</v>
      </c>
      <c r="D8" s="217" cm="1">
        <f t="array" ref="D8">INDEX('Raw - Claimant Count'!$A$8:$P$51,_xlfn.XMATCH($C8,'Raw - Claimant Count'!$A$8:$A$51),_xlfn.XMATCH(D$6,'Raw - Claimant Count'!$A$8:$P$8))</f>
        <v>3.6</v>
      </c>
      <c r="E8" s="217" cm="1">
        <f t="array" ref="E8">INDEX('Raw - Claimant Count'!$A$8:$P$51,_xlfn.XMATCH($C8,'Raw - Claimant Count'!$A$8:$A$51),_xlfn.XMATCH(E$6,'Raw - Claimant Count'!$A$8:$P$8))</f>
        <v>2.6</v>
      </c>
      <c r="F8" s="217" cm="1">
        <f t="array" ref="F8">INDEX('Raw - Claimant Count'!$A$8:$P$51,_xlfn.XMATCH($C8,'Raw - Claimant Count'!$A$8:$A$51),_xlfn.XMATCH(F$6,'Raw - Claimant Count'!$A$8:$P$8))</f>
        <v>2.5</v>
      </c>
      <c r="G8" s="217" cm="1">
        <f t="array" ref="G8">INDEX('Raw - Claimant Count'!$A$8:$P$51,_xlfn.XMATCH($C8,'Raw - Claimant Count'!$A$8:$A$51),_xlfn.XMATCH(G$6,'Raw - Claimant Count'!$A$8:$P$8))</f>
        <v>2.6</v>
      </c>
      <c r="H8" s="218" cm="1">
        <f t="array" ref="H8">INDEX('Raw - Claimant Count'!$A$8:$P$51,_xlfn.XMATCH($C8,'Raw - Claimant Count'!$A$8:$A$51),_xlfn.XMATCH(G$6,'Raw - Claimant Count'!$A$8:$P$8)-2)</f>
        <v>1335</v>
      </c>
      <c r="I8" s="219">
        <f t="shared" ref="I8:I14" si="1">IFERROR(SUM(G8-D8),"-")</f>
        <v>-1</v>
      </c>
      <c r="J8" s="220">
        <f>IFERROR(SUM(VLOOKUP(C8,'Raw - Claimant Count'!A:Q,14,FALSE)-VLOOKUP(C8,'Raw - Claimant Count'!A:Q,2,FALSE)),"-")</f>
        <v>-510</v>
      </c>
      <c r="K8" s="221">
        <f t="shared" si="0"/>
        <v>-1.1000000000000001</v>
      </c>
      <c r="L8" s="222">
        <f>IF(K8=""," ",IF($K$5="LGBF Family Group Average",SUM(MROUND(SUM(SUM(VLOOKUP(C$18,'Raw - Claimant Count'!A:Q,16,FALSE)*VLOOKUP(C8,'Raw - Claimant Count'!A:Q,15,FALSE))/100),100)-MROUND(SUM(SUM(VLOOKUP(C8,'Raw - Claimant Count'!A:Q,16,FALSE)*VLOOKUP(C8,'Raw - Claimant Count'!A:Q,15,FALSE))/100),100)),IF($K$5="City Region Comparator",SUM(MROUND(SUM(SUM(VLOOKUP(C$19,'Raw - Claimant Count'!A:Q,16,FALSE)*VLOOKUP(C8,'Raw - Claimant Count'!A:Q,15,FALSE))/100),100)-MROUND(SUM(SUM(VLOOKUP(C8,'Raw - Claimant Count'!A:Q,16,FALSE)*VLOOKUP(C8,'Raw - Claimant Count'!A:Q,15,FALSE))/100),100)),IF($K$5="Scotland",SUM(MROUND(SUM(SUM(VLOOKUP(C$20,'Raw - Claimant Count'!A:Q,16,FALSE)*VLOOKUP(C8,'Raw - Claimant Count'!A:Q,15,FALSE))/100),100)-MROUND(SUM(SUM(VLOOKUP(C8,'Raw - Claimant Count'!A:Q,16,FALSE)*VLOOKUP(C8,'Raw - Claimant Count'!A:Q,15,FALSE))/100),100)),IF($K$5="United Kingdom",SUM(MROUND(SUM(SUM(VLOOKUP(C$21,'Raw - Claimant Count'!A:Q,16,FALSE)*VLOOKUP(C8,'Raw - Claimant Count'!A:Q,15,FALSE))/100),100)-MROUND(SUM(SUM(VLOOKUP(C8,'Raw - Claimant Count'!A:Q,16,FALSE)*VLOOKUP(C8,'Raw - Claimant Count'!A:Q,15,FALSE))/100),100)),SUM(MROUND(SUM(SUM(VLOOKUP(C$17,'Raw - Claimant Count'!A:Q,16,FALSE)*VLOOKUP(C8,'Raw - Claimant Count'!A:Q,15,FALSE))/100),100)-MROUND(SUM(SUM(VLOOKUP(C8,'Raw - Claimant Count'!A:Q,16,FALSE)*VLOOKUP(C8,'Raw - Claimant Count'!A:Q,15,FALSE))/100),100)))))))</f>
        <v>-500</v>
      </c>
    </row>
    <row r="9" spans="2:12" s="137" customFormat="1" ht="19.5" customHeight="1">
      <c r="B9" s="216" t="s">
        <v>153</v>
      </c>
      <c r="C9" s="216" t="str">
        <f>IF(C$6="LGBF Family Group 1",Lookups!I30,IF(C$6="LGBF Family Group 2",Lookups!J30,IF(C$6="LGBF Family Group 3",Lookups!K30,Lookups!L30)))</f>
        <v>Shetland Islands</v>
      </c>
      <c r="D9" s="217" cm="1">
        <f t="array" ref="D9">INDEX('Raw - Claimant Count'!$A$8:$P$51,_xlfn.XMATCH($C9,'Raw - Claimant Count'!$A$8:$A$51),_xlfn.XMATCH(D$6,'Raw - Claimant Count'!$A$8:$P$8))</f>
        <v>2.2999999999999998</v>
      </c>
      <c r="E9" s="217" cm="1">
        <f t="array" ref="E9">INDEX('Raw - Claimant Count'!$A$8:$P$51,_xlfn.XMATCH($C9,'Raw - Claimant Count'!$A$8:$A$51),_xlfn.XMATCH(E$6,'Raw - Claimant Count'!$A$8:$P$8))</f>
        <v>1.8</v>
      </c>
      <c r="F9" s="217" cm="1">
        <f t="array" ref="F9">INDEX('Raw - Claimant Count'!$A$8:$P$51,_xlfn.XMATCH($C9,'Raw - Claimant Count'!$A$8:$A$51),_xlfn.XMATCH(F$6,'Raw - Claimant Count'!$A$8:$P$8))</f>
        <v>1.5</v>
      </c>
      <c r="G9" s="217" cm="1">
        <f t="array" ref="G9">INDEX('Raw - Claimant Count'!$A$8:$P$51,_xlfn.XMATCH($C9,'Raw - Claimant Count'!$A$8:$A$51),_xlfn.XMATCH(G$6,'Raw - Claimant Count'!$A$8:$P$8))</f>
        <v>1.5</v>
      </c>
      <c r="H9" s="218" cm="1">
        <f t="array" ref="H9">INDEX('Raw - Claimant Count'!$A$8:$P$51,_xlfn.XMATCH($C9,'Raw - Claimant Count'!$A$8:$A$51),_xlfn.XMATCH(G$6,'Raw - Claimant Count'!$A$8:$P$8)-2)</f>
        <v>210</v>
      </c>
      <c r="I9" s="219">
        <f t="shared" si="1"/>
        <v>-0.79999999999999982</v>
      </c>
      <c r="J9" s="220">
        <f>IFERROR(SUM(VLOOKUP(C9,'Raw - Claimant Count'!A:Q,14,FALSE)-VLOOKUP(C9,'Raw - Claimant Count'!A:Q,2,FALSE)),"-")</f>
        <v>-110</v>
      </c>
      <c r="K9" s="221" t="str">
        <f t="shared" si="0"/>
        <v/>
      </c>
      <c r="L9" s="222" t="str">
        <f>IF(K9=""," ",IF($K$5="LGBF Family Group Average",SUM(MROUND(SUM(SUM(VLOOKUP(C$18,'Raw - Claimant Count'!A:Q,16,FALSE)*VLOOKUP(C9,'Raw - Claimant Count'!A:Q,15,FALSE))/100),100)-MROUND(SUM(SUM(VLOOKUP(C9,'Raw - Claimant Count'!A:Q,16,FALSE)*VLOOKUP(C9,'Raw - Claimant Count'!A:Q,15,FALSE))/100),100)),IF($K$5="City Region Comparator",SUM(MROUND(SUM(SUM(VLOOKUP(C$19,'Raw - Claimant Count'!A:Q,16,FALSE)*VLOOKUP(C9,'Raw - Claimant Count'!A:Q,15,FALSE))/100),100)-MROUND(SUM(SUM(VLOOKUP(C9,'Raw - Claimant Count'!A:Q,16,FALSE)*VLOOKUP(C9,'Raw - Claimant Count'!A:Q,15,FALSE))/100),100)),IF($K$5="Scotland",SUM(MROUND(SUM(SUM(VLOOKUP(C$20,'Raw - Claimant Count'!A:Q,16,FALSE)*VLOOKUP(C9,'Raw - Claimant Count'!A:Q,15,FALSE))/100),100)-MROUND(SUM(SUM(VLOOKUP(C9,'Raw - Claimant Count'!A:Q,16,FALSE)*VLOOKUP(C9,'Raw - Claimant Count'!A:Q,15,FALSE))/100),100)),IF($K$5="United Kingdom",SUM(MROUND(SUM(SUM(VLOOKUP(C$21,'Raw - Claimant Count'!A:Q,16,FALSE)*VLOOKUP(C9,'Raw - Claimant Count'!A:Q,15,FALSE))/100),100)-MROUND(SUM(SUM(VLOOKUP(C9,'Raw - Claimant Count'!A:Q,16,FALSE)*VLOOKUP(C9,'Raw - Claimant Count'!A:Q,15,FALSE))/100),100)),SUM(MROUND(SUM(SUM(VLOOKUP(C$17,'Raw - Claimant Count'!A:Q,16,FALSE)*VLOOKUP(C9,'Raw - Claimant Count'!A:Q,15,FALSE))/100),100)-MROUND(SUM(SUM(VLOOKUP(C9,'Raw - Claimant Count'!A:Q,16,FALSE)*VLOOKUP(C9,'Raw - Claimant Count'!A:Q,15,FALSE))/100),100)))))))</f>
        <v xml:space="preserve"> </v>
      </c>
    </row>
    <row r="10" spans="2:12" s="137" customFormat="1" ht="19.5" customHeight="1">
      <c r="B10" s="216" t="s">
        <v>153</v>
      </c>
      <c r="C10" s="216" t="str">
        <f>IF(C$6="LGBF Family Group 1",Lookups!I31,IF(C$6="LGBF Family Group 2",Lookups!J31,IF(C$6="LGBF Family Group 3",Lookups!K31,Lookups!L31)))</f>
        <v>Highland</v>
      </c>
      <c r="D10" s="217" cm="1">
        <f t="array" ref="D10">INDEX('Raw - Claimant Count'!$A$8:$P$51,_xlfn.XMATCH($C10,'Raw - Claimant Count'!$A$8:$A$51),_xlfn.XMATCH(D$6,'Raw - Claimant Count'!$A$8:$P$8))</f>
        <v>3</v>
      </c>
      <c r="E10" s="217" cm="1">
        <f t="array" ref="E10">INDEX('Raw - Claimant Count'!$A$8:$P$51,_xlfn.XMATCH($C10,'Raw - Claimant Count'!$A$8:$A$51),_xlfn.XMATCH(E$6,'Raw - Claimant Count'!$A$8:$P$8))</f>
        <v>2.2000000000000002</v>
      </c>
      <c r="F10" s="217" cm="1">
        <f t="array" ref="F10">INDEX('Raw - Claimant Count'!$A$8:$P$51,_xlfn.XMATCH($C10,'Raw - Claimant Count'!$A$8:$A$51),_xlfn.XMATCH(F$6,'Raw - Claimant Count'!$A$8:$P$8))</f>
        <v>2.1</v>
      </c>
      <c r="G10" s="217" cm="1">
        <f t="array" ref="G10">INDEX('Raw - Claimant Count'!$A$8:$P$51,_xlfn.XMATCH($C10,'Raw - Claimant Count'!$A$8:$A$51),_xlfn.XMATCH(G$6,'Raw - Claimant Count'!$A$8:$P$8))</f>
        <v>2.2999999999999998</v>
      </c>
      <c r="H10" s="218" cm="1">
        <f t="array" ref="H10">INDEX('Raw - Claimant Count'!$A$8:$P$51,_xlfn.XMATCH($C10,'Raw - Claimant Count'!$A$8:$A$51),_xlfn.XMATCH(G$6,'Raw - Claimant Count'!$A$8:$P$8)-2)</f>
        <v>3335</v>
      </c>
      <c r="I10" s="219">
        <f t="shared" si="1"/>
        <v>-0.70000000000000018</v>
      </c>
      <c r="J10" s="220">
        <f>IFERROR(SUM(VLOOKUP(C10,'Raw - Claimant Count'!A:Q,14,FALSE)-VLOOKUP(C10,'Raw - Claimant Count'!A:Q,2,FALSE)),"-")</f>
        <v>-960</v>
      </c>
      <c r="K10" s="221">
        <f t="shared" si="0"/>
        <v>-0.79999999999999982</v>
      </c>
      <c r="L10" s="222">
        <f>IF(K10=""," ",IF($K$5="LGBF Family Group Average",SUM(MROUND(SUM(SUM(VLOOKUP(C$18,'Raw - Claimant Count'!A:Q,16,FALSE)*VLOOKUP(C10,'Raw - Claimant Count'!A:Q,15,FALSE))/100),100)-MROUND(SUM(SUM(VLOOKUP(C10,'Raw - Claimant Count'!A:Q,16,FALSE)*VLOOKUP(C10,'Raw - Claimant Count'!A:Q,15,FALSE))/100),100)),IF($K$5="City Region Comparator",SUM(MROUND(SUM(SUM(VLOOKUP(C$19,'Raw - Claimant Count'!A:Q,16,FALSE)*VLOOKUP(C10,'Raw - Claimant Count'!A:Q,15,FALSE))/100),100)-MROUND(SUM(SUM(VLOOKUP(C10,'Raw - Claimant Count'!A:Q,16,FALSE)*VLOOKUP(C10,'Raw - Claimant Count'!A:Q,15,FALSE))/100),100)),IF($K$5="Scotland",SUM(MROUND(SUM(SUM(VLOOKUP(C$20,'Raw - Claimant Count'!A:Q,16,FALSE)*VLOOKUP(C10,'Raw - Claimant Count'!A:Q,15,FALSE))/100),100)-MROUND(SUM(SUM(VLOOKUP(C10,'Raw - Claimant Count'!A:Q,16,FALSE)*VLOOKUP(C10,'Raw - Claimant Count'!A:Q,15,FALSE))/100),100)),IF($K$5="United Kingdom",SUM(MROUND(SUM(SUM(VLOOKUP(C$21,'Raw - Claimant Count'!A:Q,16,FALSE)*VLOOKUP(C10,'Raw - Claimant Count'!A:Q,15,FALSE))/100),100)-MROUND(SUM(SUM(VLOOKUP(C10,'Raw - Claimant Count'!A:Q,16,FALSE)*VLOOKUP(C10,'Raw - Claimant Count'!A:Q,15,FALSE))/100),100)),SUM(MROUND(SUM(SUM(VLOOKUP(C$17,'Raw - Claimant Count'!A:Q,16,FALSE)*VLOOKUP(C10,'Raw - Claimant Count'!A:Q,15,FALSE))/100),100)-MROUND(SUM(SUM(VLOOKUP(C10,'Raw - Claimant Count'!A:Q,16,FALSE)*VLOOKUP(C10,'Raw - Claimant Count'!A:Q,15,FALSE))/100),100)))))))</f>
        <v>-1100</v>
      </c>
    </row>
    <row r="11" spans="2:12" s="137" customFormat="1" ht="19.5" customHeight="1">
      <c r="B11" s="216" t="s">
        <v>153</v>
      </c>
      <c r="C11" s="216" t="str">
        <f>IF(C$6="LGBF Family Group 1",Lookups!I32,IF(C$6="LGBF Family Group 2",Lookups!J32,IF(C$6="LGBF Family Group 3",Lookups!K32,Lookups!L32)))</f>
        <v>Orkney Islands</v>
      </c>
      <c r="D11" s="217" cm="1">
        <f t="array" ref="D11">INDEX('Raw - Claimant Count'!$A$8:$P$51,_xlfn.XMATCH($C11,'Raw - Claimant Count'!$A$8:$A$51),_xlfn.XMATCH(D$6,'Raw - Claimant Count'!$A$8:$P$8))</f>
        <v>1.8</v>
      </c>
      <c r="E11" s="217" cm="1">
        <f t="array" ref="E11">INDEX('Raw - Claimant Count'!$A$8:$P$51,_xlfn.XMATCH($C11,'Raw - Claimant Count'!$A$8:$A$51),_xlfn.XMATCH(E$6,'Raw - Claimant Count'!$A$8:$P$8))</f>
        <v>1.5</v>
      </c>
      <c r="F11" s="217" cm="1">
        <f t="array" ref="F11">INDEX('Raw - Claimant Count'!$A$8:$P$51,_xlfn.XMATCH($C11,'Raw - Claimant Count'!$A$8:$A$51),_xlfn.XMATCH(F$6,'Raw - Claimant Count'!$A$8:$P$8))</f>
        <v>1.5</v>
      </c>
      <c r="G11" s="217" cm="1">
        <f t="array" ref="G11">INDEX('Raw - Claimant Count'!$A$8:$P$51,_xlfn.XMATCH($C11,'Raw - Claimant Count'!$A$8:$A$51),_xlfn.XMATCH(G$6,'Raw - Claimant Count'!$A$8:$P$8))</f>
        <v>1.6</v>
      </c>
      <c r="H11" s="218" cm="1">
        <f t="array" ref="H11">INDEX('Raw - Claimant Count'!$A$8:$P$51,_xlfn.XMATCH($C11,'Raw - Claimant Count'!$A$8:$A$51),_xlfn.XMATCH(G$6,'Raw - Claimant Count'!$A$8:$P$8)-2)</f>
        <v>220</v>
      </c>
      <c r="I11" s="219">
        <f t="shared" si="1"/>
        <v>-0.19999999999999996</v>
      </c>
      <c r="J11" s="220">
        <f>IFERROR(SUM(VLOOKUP(C11,'Raw - Claimant Count'!A:Q,14,FALSE)-VLOOKUP(C11,'Raw - Claimant Count'!A:Q,2,FALSE)),"-")</f>
        <v>-20</v>
      </c>
      <c r="K11" s="221">
        <f t="shared" si="0"/>
        <v>-0.10000000000000009</v>
      </c>
      <c r="L11" s="222">
        <f>IF(K11=""," ",IF($K$5="LGBF Family Group Average",SUM(MROUND(SUM(SUM(VLOOKUP(C$18,'Raw - Claimant Count'!A:Q,16,FALSE)*VLOOKUP(C11,'Raw - Claimant Count'!A:Q,15,FALSE))/100),100)-MROUND(SUM(SUM(VLOOKUP(C11,'Raw - Claimant Count'!A:Q,16,FALSE)*VLOOKUP(C11,'Raw - Claimant Count'!A:Q,15,FALSE))/100),100)),IF($K$5="City Region Comparator",SUM(MROUND(SUM(SUM(VLOOKUP(C$19,'Raw - Claimant Count'!A:Q,16,FALSE)*VLOOKUP(C11,'Raw - Claimant Count'!A:Q,15,FALSE))/100),100)-MROUND(SUM(SUM(VLOOKUP(C11,'Raw - Claimant Count'!A:Q,16,FALSE)*VLOOKUP(C11,'Raw - Claimant Count'!A:Q,15,FALSE))/100),100)),IF($K$5="Scotland",SUM(MROUND(SUM(SUM(VLOOKUP(C$20,'Raw - Claimant Count'!A:Q,16,FALSE)*VLOOKUP(C11,'Raw - Claimant Count'!A:Q,15,FALSE))/100),100)-MROUND(SUM(SUM(VLOOKUP(C11,'Raw - Claimant Count'!A:Q,16,FALSE)*VLOOKUP(C11,'Raw - Claimant Count'!A:Q,15,FALSE))/100),100)),IF($K$5="United Kingdom",SUM(MROUND(SUM(SUM(VLOOKUP(C$21,'Raw - Claimant Count'!A:Q,16,FALSE)*VLOOKUP(C11,'Raw - Claimant Count'!A:Q,15,FALSE))/100),100)-MROUND(SUM(SUM(VLOOKUP(C11,'Raw - Claimant Count'!A:Q,16,FALSE)*VLOOKUP(C11,'Raw - Claimant Count'!A:Q,15,FALSE))/100),100)),SUM(MROUND(SUM(SUM(VLOOKUP(C$17,'Raw - Claimant Count'!A:Q,16,FALSE)*VLOOKUP(C11,'Raw - Claimant Count'!A:Q,15,FALSE))/100),100)-MROUND(SUM(SUM(VLOOKUP(C11,'Raw - Claimant Count'!A:Q,16,FALSE)*VLOOKUP(C11,'Raw - Claimant Count'!A:Q,15,FALSE))/100),100)))))))</f>
        <v>0</v>
      </c>
    </row>
    <row r="12" spans="2:12" s="137" customFormat="1" ht="19.5" customHeight="1">
      <c r="B12" s="216" t="s">
        <v>153</v>
      </c>
      <c r="C12" s="216" t="str">
        <f>IF(C$6="LGBF Family Group 1",Lookups!I33,IF(C$6="LGBF Family Group 2",Lookups!J33,IF(C$6="LGBF Family Group 3",Lookups!K33,Lookups!L33)))</f>
        <v>Scottish Borders</v>
      </c>
      <c r="D12" s="217" cm="1">
        <f t="array" ref="D12">INDEX('Raw - Claimant Count'!$A$8:$P$51,_xlfn.XMATCH($C12,'Raw - Claimant Count'!$A$8:$A$51),_xlfn.XMATCH(D$6,'Raw - Claimant Count'!$A$8:$P$8))</f>
        <v>3.7</v>
      </c>
      <c r="E12" s="217" cm="1">
        <f t="array" ref="E12">INDEX('Raw - Claimant Count'!$A$8:$P$51,_xlfn.XMATCH($C12,'Raw - Claimant Count'!$A$8:$A$51),_xlfn.XMATCH(E$6,'Raw - Claimant Count'!$A$8:$P$8))</f>
        <v>2.8</v>
      </c>
      <c r="F12" s="217" cm="1">
        <f t="array" ref="F12">INDEX('Raw - Claimant Count'!$A$8:$P$51,_xlfn.XMATCH($C12,'Raw - Claimant Count'!$A$8:$A$51),_xlfn.XMATCH(F$6,'Raw - Claimant Count'!$A$8:$P$8))</f>
        <v>2.8</v>
      </c>
      <c r="G12" s="217" cm="1">
        <f t="array" ref="G12">INDEX('Raw - Claimant Count'!$A$8:$P$51,_xlfn.XMATCH($C12,'Raw - Claimant Count'!$A$8:$A$51),_xlfn.XMATCH(G$6,'Raw - Claimant Count'!$A$8:$P$8))</f>
        <v>3.1</v>
      </c>
      <c r="H12" s="218" cm="1">
        <f t="array" ref="H12">INDEX('Raw - Claimant Count'!$A$8:$P$51,_xlfn.XMATCH($C12,'Raw - Claimant Count'!$A$8:$A$51),_xlfn.XMATCH(G$6,'Raw - Claimant Count'!$A$8:$P$8)-2)</f>
        <v>2070</v>
      </c>
      <c r="I12" s="219">
        <f t="shared" si="1"/>
        <v>-0.60000000000000009</v>
      </c>
      <c r="J12" s="220">
        <f>IFERROR(SUM(VLOOKUP(C12,'Raw - Claimant Count'!A:Q,14,FALSE)-VLOOKUP(C12,'Raw - Claimant Count'!A:Q,2,FALSE)),"-")</f>
        <v>-440</v>
      </c>
      <c r="K12" s="221">
        <f t="shared" si="0"/>
        <v>-1.6</v>
      </c>
      <c r="L12" s="222">
        <f>IF(K12=""," ",IF($K$5="LGBF Family Group Average",SUM(MROUND(SUM(SUM(VLOOKUP(C$18,'Raw - Claimant Count'!A:Q,16,FALSE)*VLOOKUP(C12,'Raw - Claimant Count'!A:Q,15,FALSE))/100),100)-MROUND(SUM(SUM(VLOOKUP(C12,'Raw - Claimant Count'!A:Q,16,FALSE)*VLOOKUP(C12,'Raw - Claimant Count'!A:Q,15,FALSE))/100),100)),IF($K$5="City Region Comparator",SUM(MROUND(SUM(SUM(VLOOKUP(C$19,'Raw - Claimant Count'!A:Q,16,FALSE)*VLOOKUP(C12,'Raw - Claimant Count'!A:Q,15,FALSE))/100),100)-MROUND(SUM(SUM(VLOOKUP(C12,'Raw - Claimant Count'!A:Q,16,FALSE)*VLOOKUP(C12,'Raw - Claimant Count'!A:Q,15,FALSE))/100),100)),IF($K$5="Scotland",SUM(MROUND(SUM(SUM(VLOOKUP(C$20,'Raw - Claimant Count'!A:Q,16,FALSE)*VLOOKUP(C12,'Raw - Claimant Count'!A:Q,15,FALSE))/100),100)-MROUND(SUM(SUM(VLOOKUP(C12,'Raw - Claimant Count'!A:Q,16,FALSE)*VLOOKUP(C12,'Raw - Claimant Count'!A:Q,15,FALSE))/100),100)),IF($K$5="United Kingdom",SUM(MROUND(SUM(SUM(VLOOKUP(C$21,'Raw - Claimant Count'!A:Q,16,FALSE)*VLOOKUP(C12,'Raw - Claimant Count'!A:Q,15,FALSE))/100),100)-MROUND(SUM(SUM(VLOOKUP(C12,'Raw - Claimant Count'!A:Q,16,FALSE)*VLOOKUP(C12,'Raw - Claimant Count'!A:Q,15,FALSE))/100),100)),SUM(MROUND(SUM(SUM(VLOOKUP(C$17,'Raw - Claimant Count'!A:Q,16,FALSE)*VLOOKUP(C12,'Raw - Claimant Count'!A:Q,15,FALSE))/100),100)-MROUND(SUM(SUM(VLOOKUP(C12,'Raw - Claimant Count'!A:Q,16,FALSE)*VLOOKUP(C12,'Raw - Claimant Count'!A:Q,15,FALSE))/100),100)))))))</f>
        <v>-1100</v>
      </c>
    </row>
    <row r="13" spans="2:12" s="137" customFormat="1" ht="19.5" customHeight="1">
      <c r="B13" s="216" t="s">
        <v>153</v>
      </c>
      <c r="C13" s="216" t="str">
        <f>IF(C$6="LGBF Family Group 1",Lookups!I34,IF(C$6="LGBF Family Group 2",Lookups!J34,IF(C$6="LGBF Family Group 3",Lookups!K34,Lookups!L34)))</f>
        <v>Dumfries and Galloway</v>
      </c>
      <c r="D13" s="217" cm="1">
        <f t="array" ref="D13">INDEX('Raw - Claimant Count'!$A$8:$P$51,_xlfn.XMATCH($C13,'Raw - Claimant Count'!$A$8:$A$51),_xlfn.XMATCH(D$6,'Raw - Claimant Count'!$A$8:$P$8))</f>
        <v>3.8</v>
      </c>
      <c r="E13" s="217" cm="1">
        <f t="array" ref="E13">INDEX('Raw - Claimant Count'!$A$8:$P$51,_xlfn.XMATCH($C13,'Raw - Claimant Count'!$A$8:$A$51),_xlfn.XMATCH(E$6,'Raw - Claimant Count'!$A$8:$P$8))</f>
        <v>2.8</v>
      </c>
      <c r="F13" s="217" cm="1">
        <f t="array" ref="F13">INDEX('Raw - Claimant Count'!$A$8:$P$51,_xlfn.XMATCH($C13,'Raw - Claimant Count'!$A$8:$A$51),_xlfn.XMATCH(F$6,'Raw - Claimant Count'!$A$8:$P$8))</f>
        <v>2.7</v>
      </c>
      <c r="G13" s="217" cm="1">
        <f t="array" ref="G13">INDEX('Raw - Claimant Count'!$A$8:$P$51,_xlfn.XMATCH($C13,'Raw - Claimant Count'!$A$8:$A$51),_xlfn.XMATCH(G$6,'Raw - Claimant Count'!$A$8:$P$8))</f>
        <v>3</v>
      </c>
      <c r="H13" s="218" cm="1">
        <f t="array" ref="H13">INDEX('Raw - Claimant Count'!$A$8:$P$51,_xlfn.XMATCH($C13,'Raw - Claimant Count'!$A$8:$A$51),_xlfn.XMATCH(G$6,'Raw - Claimant Count'!$A$8:$P$8)-2)</f>
        <v>2550</v>
      </c>
      <c r="I13" s="219">
        <f t="shared" si="1"/>
        <v>-0.79999999999999982</v>
      </c>
      <c r="J13" s="220">
        <f>IFERROR(SUM(VLOOKUP(C13,'Raw - Claimant Count'!A:Q,14,FALSE)-VLOOKUP(C13,'Raw - Claimant Count'!A:Q,2,FALSE)),"-")</f>
        <v>-745</v>
      </c>
      <c r="K13" s="221">
        <f t="shared" si="0"/>
        <v>-1.5</v>
      </c>
      <c r="L13" s="222">
        <f>IF(K13=""," ",IF($K$5="LGBF Family Group Average",SUM(MROUND(SUM(SUM(VLOOKUP(C$18,'Raw - Claimant Count'!A:Q,16,FALSE)*VLOOKUP(C13,'Raw - Claimant Count'!A:Q,15,FALSE))/100),100)-MROUND(SUM(SUM(VLOOKUP(C13,'Raw - Claimant Count'!A:Q,16,FALSE)*VLOOKUP(C13,'Raw - Claimant Count'!A:Q,15,FALSE))/100),100)),IF($K$5="City Region Comparator",SUM(MROUND(SUM(SUM(VLOOKUP(C$19,'Raw - Claimant Count'!A:Q,16,FALSE)*VLOOKUP(C13,'Raw - Claimant Count'!A:Q,15,FALSE))/100),100)-MROUND(SUM(SUM(VLOOKUP(C13,'Raw - Claimant Count'!A:Q,16,FALSE)*VLOOKUP(C13,'Raw - Claimant Count'!A:Q,15,FALSE))/100),100)),IF($K$5="Scotland",SUM(MROUND(SUM(SUM(VLOOKUP(C$20,'Raw - Claimant Count'!A:Q,16,FALSE)*VLOOKUP(C13,'Raw - Claimant Count'!A:Q,15,FALSE))/100),100)-MROUND(SUM(SUM(VLOOKUP(C13,'Raw - Claimant Count'!A:Q,16,FALSE)*VLOOKUP(C13,'Raw - Claimant Count'!A:Q,15,FALSE))/100),100)),IF($K$5="United Kingdom",SUM(MROUND(SUM(SUM(VLOOKUP(C$21,'Raw - Claimant Count'!A:Q,16,FALSE)*VLOOKUP(C13,'Raw - Claimant Count'!A:Q,15,FALSE))/100),100)-MROUND(SUM(SUM(VLOOKUP(C13,'Raw - Claimant Count'!A:Q,16,FALSE)*VLOOKUP(C13,'Raw - Claimant Count'!A:Q,15,FALSE))/100),100)),SUM(MROUND(SUM(SUM(VLOOKUP(C$17,'Raw - Claimant Count'!A:Q,16,FALSE)*VLOOKUP(C13,'Raw - Claimant Count'!A:Q,15,FALSE))/100),100)-MROUND(SUM(SUM(VLOOKUP(C13,'Raw - Claimant Count'!A:Q,16,FALSE)*VLOOKUP(C13,'Raw - Claimant Count'!A:Q,15,FALSE))/100),100)))))))</f>
        <v>-1300</v>
      </c>
    </row>
    <row r="14" spans="2:12" s="137" customFormat="1" ht="19.5" customHeight="1">
      <c r="B14" s="216" t="s">
        <v>153</v>
      </c>
      <c r="C14" s="216" t="str">
        <f>IF(C$6="LGBF Family Group 1",Lookups!I35,IF(C$6="LGBF Family Group 2",Lookups!J35,IF(C$6="LGBF Family Group 3",Lookups!K35,Lookups!L35)))</f>
        <v>Aberdeenshire</v>
      </c>
      <c r="D14" s="217" cm="1">
        <f t="array" ref="D14">INDEX('Raw - Claimant Count'!$A$8:$P$51,_xlfn.XMATCH($C14,'Raw - Claimant Count'!$A$8:$A$51),_xlfn.XMATCH(D$6,'Raw - Claimant Count'!$A$8:$P$8))</f>
        <v>2.7</v>
      </c>
      <c r="E14" s="217" cm="1">
        <f t="array" ref="E14">INDEX('Raw - Claimant Count'!$A$8:$P$51,_xlfn.XMATCH($C14,'Raw - Claimant Count'!$A$8:$A$51),_xlfn.XMATCH(E$6,'Raw - Claimant Count'!$A$8:$P$8))</f>
        <v>1.8</v>
      </c>
      <c r="F14" s="217" cm="1">
        <f t="array" ref="F14">INDEX('Raw - Claimant Count'!$A$8:$P$51,_xlfn.XMATCH($C14,'Raw - Claimant Count'!$A$8:$A$51),_xlfn.XMATCH(F$6,'Raw - Claimant Count'!$A$8:$P$8))</f>
        <v>1.7</v>
      </c>
      <c r="G14" s="217" cm="1">
        <f t="array" ref="G14">INDEX('Raw - Claimant Count'!$A$8:$P$51,_xlfn.XMATCH($C14,'Raw - Claimant Count'!$A$8:$A$51),_xlfn.XMATCH(G$6,'Raw - Claimant Count'!$A$8:$P$8))</f>
        <v>1.8</v>
      </c>
      <c r="H14" s="218" cm="1">
        <f t="array" ref="H14">INDEX('Raw - Claimant Count'!$A$8:$P$51,_xlfn.XMATCH($C14,'Raw - Claimant Count'!$A$8:$A$51),_xlfn.XMATCH(G$6,'Raw - Claimant Count'!$A$8:$P$8)-2)</f>
        <v>2950</v>
      </c>
      <c r="I14" s="219">
        <f t="shared" si="1"/>
        <v>-0.90000000000000013</v>
      </c>
      <c r="J14" s="220">
        <f>IFERROR(SUM(VLOOKUP(C14,'Raw - Claimant Count'!A:Q,14,FALSE)-VLOOKUP(C14,'Raw - Claimant Count'!A:Q,2,FALSE)),"-")</f>
        <v>-1445</v>
      </c>
      <c r="K14" s="221">
        <f t="shared" si="0"/>
        <v>-0.30000000000000004</v>
      </c>
      <c r="L14" s="222">
        <f>IF(K14=""," ",IF($K$5="LGBF Family Group Average",SUM(MROUND(SUM(SUM(VLOOKUP(C$18,'Raw - Claimant Count'!A:Q,16,FALSE)*VLOOKUP(C14,'Raw - Claimant Count'!A:Q,15,FALSE))/100),100)-MROUND(SUM(SUM(VLOOKUP(C14,'Raw - Claimant Count'!A:Q,16,FALSE)*VLOOKUP(C14,'Raw - Claimant Count'!A:Q,15,FALSE))/100),100)),IF($K$5="City Region Comparator",SUM(MROUND(SUM(SUM(VLOOKUP(C$19,'Raw - Claimant Count'!A:Q,16,FALSE)*VLOOKUP(C14,'Raw - Claimant Count'!A:Q,15,FALSE))/100),100)-MROUND(SUM(SUM(VLOOKUP(C14,'Raw - Claimant Count'!A:Q,16,FALSE)*VLOOKUP(C14,'Raw - Claimant Count'!A:Q,15,FALSE))/100),100)),IF($K$5="Scotland",SUM(MROUND(SUM(SUM(VLOOKUP(C$20,'Raw - Claimant Count'!A:Q,16,FALSE)*VLOOKUP(C14,'Raw - Claimant Count'!A:Q,15,FALSE))/100),100)-MROUND(SUM(SUM(VLOOKUP(C14,'Raw - Claimant Count'!A:Q,16,FALSE)*VLOOKUP(C14,'Raw - Claimant Count'!A:Q,15,FALSE))/100),100)),IF($K$5="United Kingdom",SUM(MROUND(SUM(SUM(VLOOKUP(C$21,'Raw - Claimant Count'!A:Q,16,FALSE)*VLOOKUP(C14,'Raw - Claimant Count'!A:Q,15,FALSE))/100),100)-MROUND(SUM(SUM(VLOOKUP(C14,'Raw - Claimant Count'!A:Q,16,FALSE)*VLOOKUP(C14,'Raw - Claimant Count'!A:Q,15,FALSE))/100),100)),SUM(MROUND(SUM(SUM(VLOOKUP(C$17,'Raw - Claimant Count'!A:Q,16,FALSE)*VLOOKUP(C14,'Raw - Claimant Count'!A:Q,15,FALSE))/100),100)-MROUND(SUM(SUM(VLOOKUP(C14,'Raw - Claimant Count'!A:Q,16,FALSE)*VLOOKUP(C14,'Raw - Claimant Count'!A:Q,15,FALSE))/100),100)))))))</f>
        <v>-500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Claimant Count'!$A$9:$A$40,MATCH(MIN('Raw - Claimant Count'!P9:P40),'Raw - Claimant Count'!P9:P40,0))</f>
        <v>Shetland Islands</v>
      </c>
      <c r="D17" s="217" cm="1">
        <f t="array" ref="D17">INDEX('Raw - Claimant Count'!$A$8:$P$51,_xlfn.XMATCH($C17,'Raw - Claimant Count'!$A$8:$A$51),_xlfn.XMATCH(D$6,'Raw - Claimant Count'!$A$8:$P$8))</f>
        <v>2.2999999999999998</v>
      </c>
      <c r="E17" s="217" cm="1">
        <f t="array" ref="E17">INDEX('Raw - Claimant Count'!$A$8:$P$51,_xlfn.XMATCH($C17,'Raw - Claimant Count'!$A$8:$A$51),_xlfn.XMATCH(E$6,'Raw - Claimant Count'!$A$8:$P$8))</f>
        <v>1.8</v>
      </c>
      <c r="F17" s="217" cm="1">
        <f t="array" ref="F17">INDEX('Raw - Claimant Count'!$A$8:$P$51,_xlfn.XMATCH($C17,'Raw - Claimant Count'!$A$8:$A$51),_xlfn.XMATCH(F$6,'Raw - Claimant Count'!$A$8:$P$8))</f>
        <v>1.5</v>
      </c>
      <c r="G17" s="217" cm="1">
        <f t="array" ref="G17">INDEX('Raw - Claimant Count'!$A$8:$P$51,_xlfn.XMATCH($C17,'Raw - Claimant Count'!$A$8:$A$51),_xlfn.XMATCH(G$6,'Raw - Claimant Count'!$A$8:$P$8))</f>
        <v>1.5</v>
      </c>
      <c r="H17" s="218" cm="1">
        <f t="array" ref="H17">INDEX('Raw - Claimant Count'!$A$8:$P$51,_xlfn.XMATCH($C17,'Raw - Claimant Count'!$A$8:$A$51),_xlfn.XMATCH(G$6,'Raw - Claimant Count'!$A$8:$P$8)-2)</f>
        <v>210</v>
      </c>
      <c r="I17" s="219">
        <f t="shared" ref="I17" si="2">IFERROR(SUM(G17-D17),"-")</f>
        <v>-0.79999999999999982</v>
      </c>
      <c r="J17" s="220">
        <f>IFERROR(SUM(VLOOKUP(C17,'Raw - Claimant Count'!A:Q,14,FALSE)-VLOOKUP(C17,'Raw - Claimant Count'!A:Q,2,FALSE)),"-")</f>
        <v>-110</v>
      </c>
    </row>
    <row r="18" spans="2:12" s="137" customFormat="1" ht="19.5" customHeight="1">
      <c r="B18" s="226" t="s">
        <v>271</v>
      </c>
      <c r="C18" s="227" t="s">
        <v>246</v>
      </c>
      <c r="D18" s="217" cm="1">
        <f t="array" ref="D18">INDEX('Raw - Claimant Count'!$A$8:$P$51,_xlfn.XMATCH($C18,'Raw - Claimant Count'!$A$8:$A$51),_xlfn.XMATCH(D$6,'Raw - Claimant Count'!$A$8:$P$8))</f>
        <v>3.1344975484188424</v>
      </c>
      <c r="E18" s="217" cm="1">
        <f t="array" ref="E18">INDEX('Raw - Claimant Count'!$A$8:$P$51,_xlfn.XMATCH($C18,'Raw - Claimant Count'!$A$8:$A$51),_xlfn.XMATCH(E$6,'Raw - Claimant Count'!$A$8:$P$8))</f>
        <v>2.2537032360551832</v>
      </c>
      <c r="F18" s="217" cm="1">
        <f t="array" ref="F18">INDEX('Raw - Claimant Count'!$A$8:$P$51,_xlfn.XMATCH($C18,'Raw - Claimant Count'!$A$8:$A$51),_xlfn.XMATCH(F$6,'Raw - Claimant Count'!$A$8:$P$8))</f>
        <v>2.1599686462143892</v>
      </c>
      <c r="G18" s="217" cm="1">
        <f t="array" ref="G18">INDEX('Raw - Claimant Count'!$A$8:$P$51,_xlfn.XMATCH($C18,'Raw - Claimant Count'!$A$8:$A$51),_xlfn.XMATCH(G$6,'Raw - Claimant Count'!$A$8:$P$8))</f>
        <v>2.3320106343853486</v>
      </c>
      <c r="H18" s="218" cm="1">
        <f t="array" ref="H18">INDEX('Raw - Claimant Count'!$A$8:$P$51,_xlfn.XMATCH($C18,'Raw - Claimant Count'!$A$8:$A$51),_xlfn.XMATCH(G$6,'Raw - Claimant Count'!$A$8:$P$8)-2)</f>
        <v>12950</v>
      </c>
      <c r="I18" s="219">
        <f t="shared" ref="I18:I21" si="3">IFERROR(SUM(G18-D18),"-")</f>
        <v>-0.80248691403349381</v>
      </c>
      <c r="J18" s="220">
        <f>IFERROR(SUM(VLOOKUP(C18,'Raw - Claimant Count'!A:Q,14,FALSE)-VLOOKUP(C18,'Raw - Claimant Count'!A:Q,2,FALSE)),"-")</f>
        <v>-4435</v>
      </c>
    </row>
    <row r="19" spans="2:12" s="137" customFormat="1" ht="19.5" customHeight="1">
      <c r="B19" s="226" t="s">
        <v>270</v>
      </c>
      <c r="C19" s="216" t="s">
        <v>157</v>
      </c>
      <c r="D19" s="217" cm="1">
        <f t="array" ref="D19">INDEX('Raw - Claimant Count'!$A$8:$P$51,_xlfn.XMATCH($C19,'Raw - Claimant Count'!$A$8:$A$51),_xlfn.XMATCH(D$6,'Raw - Claimant Count'!$A$8:$P$8))</f>
        <v>3.6708930710690972</v>
      </c>
      <c r="E19" s="217" cm="1">
        <f t="array" ref="E19">INDEX('Raw - Claimant Count'!$A$8:$P$51,_xlfn.XMATCH($C19,'Raw - Claimant Count'!$A$8:$A$51),_xlfn.XMATCH(E$6,'Raw - Claimant Count'!$A$8:$P$8))</f>
        <v>2.6189356967072372</v>
      </c>
      <c r="F19" s="217" cm="1">
        <f t="array" ref="F19">INDEX('Raw - Claimant Count'!$A$8:$P$51,_xlfn.XMATCH($C19,'Raw - Claimant Count'!$A$8:$A$51),_xlfn.XMATCH(F$6,'Raw - Claimant Count'!$A$8:$P$8))</f>
        <v>2.5866294415453788</v>
      </c>
      <c r="G19" s="217" cm="1">
        <f t="array" ref="G19">INDEX('Raw - Claimant Count'!$A$8:$P$51,_xlfn.XMATCH($C19,'Raw - Claimant Count'!$A$8:$A$51),_xlfn.XMATCH(G$6,'Raw - Claimant Count'!$A$8:$P$8))</f>
        <v>2.7545456202903029</v>
      </c>
      <c r="H19" s="218" cm="1">
        <f t="array" ref="H19">INDEX('Raw - Claimant Count'!$A$8:$P$51,_xlfn.XMATCH($C19,'Raw - Claimant Count'!$A$8:$A$51),_xlfn.XMATCH(G$6,'Raw - Claimant Count'!$A$8:$P$8)-2)</f>
        <v>25280</v>
      </c>
      <c r="I19" s="219">
        <f t="shared" si="3"/>
        <v>-0.91634745077879431</v>
      </c>
      <c r="J19" s="220">
        <f>IFERROR(SUM(VLOOKUP(C19,'Raw - Claimant Count'!A:Q,14,FALSE)-VLOOKUP(C19,'Raw - Claimant Count'!A:Q,2,FALSE)),"-")</f>
        <v>-8235</v>
      </c>
    </row>
    <row r="20" spans="2:12" s="137" customFormat="1" ht="19.5" customHeight="1">
      <c r="B20" s="226" t="s">
        <v>164</v>
      </c>
      <c r="C20" s="216" t="s">
        <v>46</v>
      </c>
      <c r="D20" s="217" cm="1">
        <f t="array" ref="D20">INDEX('Raw - Claimant Count'!$A$8:$P$51,_xlfn.XMATCH($C20,'Raw - Claimant Count'!$A$8:$A$51),_xlfn.XMATCH(D$6,'Raw - Claimant Count'!$A$8:$P$8))</f>
        <v>4.2</v>
      </c>
      <c r="E20" s="217" cm="1">
        <f t="array" ref="E20">INDEX('Raw - Claimant Count'!$A$8:$P$51,_xlfn.XMATCH($C20,'Raw - Claimant Count'!$A$8:$A$51),_xlfn.XMATCH(E$6,'Raw - Claimant Count'!$A$8:$P$8))</f>
        <v>3.1</v>
      </c>
      <c r="F20" s="217" cm="1">
        <f t="array" ref="F20">INDEX('Raw - Claimant Count'!$A$8:$P$51,_xlfn.XMATCH($C20,'Raw - Claimant Count'!$A$8:$A$51),_xlfn.XMATCH(F$6,'Raw - Claimant Count'!$A$8:$P$8))</f>
        <v>3</v>
      </c>
      <c r="G20" s="217" cm="1">
        <f t="array" ref="G20">INDEX('Raw - Claimant Count'!$A$8:$P$51,_xlfn.XMATCH($C20,'Raw - Claimant Count'!$A$8:$A$51),_xlfn.XMATCH(G$6,'Raw - Claimant Count'!$A$8:$P$8))</f>
        <v>3.2</v>
      </c>
      <c r="H20" s="218" cm="1">
        <f t="array" ref="H20">INDEX('Raw - Claimant Count'!$A$8:$P$51,_xlfn.XMATCH($C20,'Raw - Claimant Count'!$A$8:$A$51),_xlfn.XMATCH(G$6,'Raw - Claimant Count'!$A$8:$P$8)-2)</f>
        <v>111400</v>
      </c>
      <c r="I20" s="219">
        <f t="shared" si="3"/>
        <v>-1</v>
      </c>
      <c r="J20" s="220">
        <f>IFERROR(SUM(VLOOKUP(C20,'Raw - Claimant Count'!A:Q,14,FALSE)-VLOOKUP(C20,'Raw - Claimant Count'!A:Q,2,FALSE)),"-")</f>
        <v>-36215</v>
      </c>
    </row>
    <row r="21" spans="2:12" s="137" customFormat="1" ht="19.5" customHeight="1">
      <c r="B21" s="226" t="s">
        <v>164</v>
      </c>
      <c r="C21" s="216" t="s">
        <v>47</v>
      </c>
      <c r="D21" s="217" cm="1">
        <f t="array" ref="D21">INDEX('Raw - Claimant Count'!$A$8:$P$51,_xlfn.XMATCH($C21,'Raw - Claimant Count'!$A$8:$A$51),_xlfn.XMATCH(D$6,'Raw - Claimant Count'!$A$8:$P$8))</f>
        <v>4.5999999999999996</v>
      </c>
      <c r="E21" s="217" cm="1">
        <f t="array" ref="E21">INDEX('Raw - Claimant Count'!$A$8:$P$51,_xlfn.XMATCH($C21,'Raw - Claimant Count'!$A$8:$A$51),_xlfn.XMATCH(E$6,'Raw - Claimant Count'!$A$8:$P$8))</f>
        <v>3.5</v>
      </c>
      <c r="F21" s="217" cm="1">
        <f t="array" ref="F21">INDEX('Raw - Claimant Count'!$A$8:$P$51,_xlfn.XMATCH($C21,'Raw - Claimant Count'!$A$8:$A$51),_xlfn.XMATCH(F$6,'Raw - Claimant Count'!$A$8:$P$8))</f>
        <v>3.6</v>
      </c>
      <c r="G21" s="217" cm="1">
        <f t="array" ref="G21">INDEX('Raw - Claimant Count'!$A$8:$P$51,_xlfn.XMATCH($C21,'Raw - Claimant Count'!$A$8:$A$51),_xlfn.XMATCH(G$6,'Raw - Claimant Count'!$A$8:$P$8))</f>
        <v>4.2</v>
      </c>
      <c r="H21" s="218" cm="1">
        <f t="array" ref="H21">INDEX('Raw - Claimant Count'!$A$8:$P$51,_xlfn.XMATCH($C21,'Raw - Claimant Count'!$A$8:$A$51),_xlfn.XMATCH(G$6,'Raw - Claimant Count'!$A$8:$P$8)-2)</f>
        <v>1791725</v>
      </c>
      <c r="I21" s="219">
        <f t="shared" si="3"/>
        <v>-0.39999999999999947</v>
      </c>
      <c r="J21" s="220">
        <f>IFERROR(SUM(VLOOKUP(C21,'Raw - Claimant Count'!A:Q,14,FALSE)-VLOOKUP(C21,'Raw - Claimant Count'!A:Q,2,FALSE)),"-")</f>
        <v>-166010</v>
      </c>
    </row>
    <row r="22" spans="2:12" ht="19.5" customHeight="1">
      <c r="C22" s="189"/>
      <c r="D22" s="190"/>
      <c r="E22" s="190"/>
      <c r="F22" s="190"/>
      <c r="G22" s="190"/>
      <c r="H22" s="190"/>
      <c r="I22" s="190"/>
      <c r="J22" s="190"/>
      <c r="K22" s="190"/>
      <c r="L22" s="190"/>
    </row>
    <row r="23" spans="2:12">
      <c r="B23" s="193"/>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ikLxkpuyXC/NxaWvKQDPEYPTdI8FYl3RKU912WH9hOVmKwD+qGBBQLi/OHKyYZca9l321/Wi4zuAC6QskN6Vjg==" saltValue="FZWILw4BKrT7/bJuV04hQg==" spinCount="100000" sheet="1" sort="0"/>
  <mergeCells count="4">
    <mergeCell ref="K4:L4"/>
    <mergeCell ref="I5:J5"/>
    <mergeCell ref="K5:L5"/>
    <mergeCell ref="F2:G2"/>
  </mergeCells>
  <hyperlinks>
    <hyperlink ref="C3" r:id="rId1" xr:uid="{00000000-0004-0000-0600-000000000000}"/>
    <hyperlink ref="F2:G2" location="'Index RAG'!A1" display="Return to Index RAG" xr:uid="{00000000-0004-0000-06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Lookups!$B$27:$E$27</xm:f>
          </x14:formula1>
          <xm:sqref>C6</xm:sqref>
        </x14:dataValidation>
        <x14:dataValidation type="list" allowBlank="1" showInputMessage="1" showErrorMessage="1" xr:uid="{D52854B2-148E-426A-BC7C-A151C9FD27AE}">
          <x14:formula1>
            <xm:f>Lookups!$B$36:$E$36</xm:f>
          </x14:formula1>
          <xm:sqref>C18</xm:sqref>
        </x14:dataValidation>
        <x14:dataValidation type="list" allowBlank="1" showInputMessage="1" showErrorMessage="1" xr:uid="{088D1749-9348-4C30-97CC-0F35C7CCD6A1}">
          <x14:formula1>
            <xm:f>Lookups!$B$9:$B$13</xm:f>
          </x14:formula1>
          <xm:sqref>K5:L5</xm:sqref>
        </x14:dataValidation>
        <x14:dataValidation type="list" allowBlank="1" showInputMessage="1" showErrorMessage="1" xr:uid="{D08EA35F-B451-4D8B-A0E0-E3F87B24B2C3}">
          <x14:formula1>
            <xm:f>Lookups!$Q$3:$Q$7</xm:f>
          </x14:formula1>
          <xm:sqref>C19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 of Households that are Workless - LGBF Family Group 1</v>
      </c>
      <c r="D1" s="170" t="s">
        <v>290</v>
      </c>
    </row>
    <row r="2" spans="2:12" ht="12.75">
      <c r="B2" s="171" t="s">
        <v>49</v>
      </c>
      <c r="C2" s="172" t="s">
        <v>191</v>
      </c>
      <c r="F2" s="467" t="s">
        <v>216</v>
      </c>
      <c r="G2" s="468"/>
    </row>
    <row r="3" spans="2:12" ht="12.75">
      <c r="B3" s="171" t="s">
        <v>50</v>
      </c>
      <c r="C3" s="309" t="s">
        <v>192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2019</v>
      </c>
      <c r="E6" s="181">
        <v>2020</v>
      </c>
      <c r="F6" s="181">
        <v>2021</v>
      </c>
      <c r="G6" s="181">
        <v>2022</v>
      </c>
      <c r="H6" s="181" t="s">
        <v>360</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f>IF(VLOOKUP($C7,'Raw - Workless Households'!$A:$Q,4,FALSE)="","-",VLOOKUP($C7,'Raw - Workless Households'!$A:$Q,4,FALSE))</f>
        <v>14.677214295804491</v>
      </c>
      <c r="E7" s="217">
        <f>IF(VLOOKUP($C7,'Raw - Workless Households'!$A:$Q,8,FALSE)="","-",VLOOKUP($C7,'Raw - Workless Households'!$A:$Q,8,FALSE))</f>
        <v>12.711352657004833</v>
      </c>
      <c r="F7" s="217">
        <f>IF(VLOOKUP($C7,'Raw - Workless Households'!$A:$Q,12,FALSE)="","-",VLOOKUP($C7,'Raw - Workless Households'!$A:$Q,12,FALSE))</f>
        <v>11.289808917197453</v>
      </c>
      <c r="G7" s="217">
        <f>IF(VLOOKUP($C7,'Raw - Workless Households'!$A:$Q,16,FALSE)="","-",VLOOKUP($C7,'Raw - Workless Households'!$A:$Q,16,FALSE))</f>
        <v>10.901499922684398</v>
      </c>
      <c r="H7" s="218">
        <f>IF(VLOOKUP($C7,'Raw - Workless Households'!$A:$Q,14,FALSE)="","-",VLOOKUP($C7,'Raw - Workless Households'!$A:$Q,14,FALSE))</f>
        <v>705</v>
      </c>
      <c r="I7" s="219">
        <f>IFERROR(SUM(G7-D7),"-")</f>
        <v>-3.7757143731200937</v>
      </c>
      <c r="J7" s="220">
        <f>IFERROR(IF(H7="-","-",SUM(VLOOKUP(C7,'Raw - Workless Households'!A:Q,14,FALSE)-VLOOKUP(C7,'Raw - Workless Households'!A:Q,2,FALSE))),"-")</f>
        <v>-334</v>
      </c>
      <c r="K7" s="221" t="str">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
      </c>
      <c r="L7" s="222" t="str">
        <f>IF(K7="-","-",IF(K7=""," ",IF($K$5="LGBF Family Group Average",SUM(MROUND(SUM(SUM(VLOOKUP(C$18,'Raw - Workless Households'!A:Q,16,FALSE)*VLOOKUP(C7,'Raw - Workless Households'!A:Q,15,FALSE))/100),100)-MROUND(SUM(SUM(VLOOKUP(C7,'Raw - Workless Households'!A:Q,16,FALSE)*VLOOKUP(C7,'Raw - Workless Households'!A:Q,15,FALSE))/100),100)),IF($K$5="City Region Comparator",SUM(MROUND(SUM(SUM(VLOOKUP(C$19,'Raw - Workless Households'!A:Q,16,FALSE)*VLOOKUP(C7,'Raw - Workless Households'!A:Q,15,FALSE))/100),100)-MROUND(SUM(SUM(VLOOKUP(C7,'Raw - Workless Households'!A:Q,16,FALSE)*VLOOKUP(C7,'Raw - Workless Households'!A:Q,15,FALSE))/100),100)),IF($K$5="Scotland",SUM(MROUND(SUM(SUM(VLOOKUP(C$20,'Raw - Workless Households'!A:Q,16,FALSE)*VLOOKUP(C7,'Raw - Workless Households'!A:Q,15,FALSE))/100),100)-MROUND(SUM(SUM(VLOOKUP(C7,'Raw - Workless Households'!A:Q,16,FALSE)*VLOOKUP(C7,'Raw - Workless Households'!A:Q,15,FALSE))/100),100)),IF($K$5="United Kingdom",SUM(MROUND(SUM(SUM(VLOOKUP(C$21,'Raw - Workless Households'!A:Q,16,FALSE)*VLOOKUP(C7,'Raw - Workless Households'!A:Q,15,FALSE))/100),100)-MROUND(SUM(SUM(VLOOKUP(C7,'Raw - Workless Households'!A:Q,16,FALSE)*VLOOKUP(C7,'Raw - Workless Households'!A:Q,15,FALSE))/100),100)),SUM(MROUND(SUM(SUM(VLOOKUP(C$17,'Raw - Workless Households'!A:Q,16,FALSE)*VLOOKUP(C7,'Raw - Workless Households'!A:Q,15,FALSE))/100),100)-MROUND(SUM(SUM(VLOOKUP(C7,'Raw - Workless Households'!A:Q,16,FALSE)*VLOOKUP(C7,'Raw - Workless Households'!A:Q,15,FALSE))/100),100))))))))</f>
        <v xml:space="preserve"> </v>
      </c>
    </row>
    <row r="8" spans="2:12" s="137" customFormat="1" ht="19.5" customHeight="1">
      <c r="B8" s="216" t="s">
        <v>153</v>
      </c>
      <c r="C8" s="216" t="str">
        <f>IF(C$6="LGBF Family Group 1",Lookups!I29,IF(C$6="LGBF Family Group 2",Lookups!J29,IF(C$6="LGBF Family Group 3",Lookups!K29,Lookups!L29)))</f>
        <v>Argyll and Bute</v>
      </c>
      <c r="D8" s="217">
        <f>IF(VLOOKUP($C8,'Raw - Workless Households'!$A:$Q,4,FALSE)="","-",VLOOKUP($C8,'Raw - Workless Households'!$A:$Q,4,FALSE))</f>
        <v>19.189307624890446</v>
      </c>
      <c r="E8" s="217">
        <f>IF(VLOOKUP($C8,'Raw - Workless Households'!$A:$Q,8,FALSE)="","-",VLOOKUP($C8,'Raw - Workless Households'!$A:$Q,8,FALSE))</f>
        <v>14.745933101809541</v>
      </c>
      <c r="F8" s="217">
        <f>IF(VLOOKUP($C8,'Raw - Workless Households'!$A:$Q,12,FALSE)="","-",VLOOKUP($C8,'Raw - Workless Households'!$A:$Q,12,FALSE))</f>
        <v>13.50407450523865</v>
      </c>
      <c r="G8" s="217">
        <f>IF(VLOOKUP($C8,'Raw - Workless Households'!$A:$Q,16,FALSE)="","-",VLOOKUP($C8,'Raw - Workless Households'!$A:$Q,16,FALSE))</f>
        <v>18.605204319490035</v>
      </c>
      <c r="H8" s="218">
        <f>IF(VLOOKUP($C8,'Raw - Workless Households'!$A:$Q,14,FALSE)="","-",VLOOKUP($C8,'Raw - Workless Households'!$A:$Q,14,FALSE))</f>
        <v>3911</v>
      </c>
      <c r="I8" s="219">
        <f t="shared" ref="I8:I14" si="1">IFERROR(SUM(G8-D8),"-")</f>
        <v>-0.58410330540041144</v>
      </c>
      <c r="J8" s="220">
        <f>IFERROR(IF(H8="-","-",SUM(VLOOKUP(C8,'Raw - Workless Households'!A:Q,14,FALSE)-VLOOKUP(C8,'Raw - Workless Households'!A:Q,2,FALSE))),"-")</f>
        <v>-468</v>
      </c>
      <c r="K8" s="221">
        <f t="shared" si="0"/>
        <v>-2.841158236852106</v>
      </c>
      <c r="L8" s="222">
        <f>IF(K8="-","-",IF(K8=""," ",IF($K$5="LGBF Family Group Average",SUM(MROUND(SUM(SUM(VLOOKUP(C$18,'Raw - Workless Households'!A:Q,16,FALSE)*VLOOKUP(C8,'Raw - Workless Households'!A:Q,15,FALSE))/100),100)-MROUND(SUM(SUM(VLOOKUP(C8,'Raw - Workless Households'!A:Q,16,FALSE)*VLOOKUP(C8,'Raw - Workless Households'!A:Q,15,FALSE))/100),100)),IF($K$5="City Region Comparator",SUM(MROUND(SUM(SUM(VLOOKUP(C$19,'Raw - Workless Households'!A:Q,16,FALSE)*VLOOKUP(C8,'Raw - Workless Households'!A:Q,15,FALSE))/100),100)-MROUND(SUM(SUM(VLOOKUP(C8,'Raw - Workless Households'!A:Q,16,FALSE)*VLOOKUP(C8,'Raw - Workless Households'!A:Q,15,FALSE))/100),100)),IF($K$5="Scotland",SUM(MROUND(SUM(SUM(VLOOKUP(C$20,'Raw - Workless Households'!A:Q,16,FALSE)*VLOOKUP(C8,'Raw - Workless Households'!A:Q,15,FALSE))/100),100)-MROUND(SUM(SUM(VLOOKUP(C8,'Raw - Workless Households'!A:Q,16,FALSE)*VLOOKUP(C8,'Raw - Workless Households'!A:Q,15,FALSE))/100),100)),IF($K$5="United Kingdom",SUM(MROUND(SUM(SUM(VLOOKUP(C$21,'Raw - Workless Households'!A:Q,16,FALSE)*VLOOKUP(C8,'Raw - Workless Households'!A:Q,15,FALSE))/100),100)-MROUND(SUM(SUM(VLOOKUP(C8,'Raw - Workless Households'!A:Q,16,FALSE)*VLOOKUP(C8,'Raw - Workless Households'!A:Q,15,FALSE))/100),100)),SUM(MROUND(SUM(SUM(VLOOKUP(C$17,'Raw - Workless Households'!A:Q,16,FALSE)*VLOOKUP(C8,'Raw - Workless Households'!A:Q,15,FALSE))/100),100)-MROUND(SUM(SUM(VLOOKUP(C8,'Raw - Workless Households'!A:Q,16,FALSE)*VLOOKUP(C8,'Raw - Workless Households'!A:Q,15,FALSE))/100),100))))))))</f>
        <v>-600</v>
      </c>
    </row>
    <row r="9" spans="2:12" s="137" customFormat="1" ht="19.5" customHeight="1">
      <c r="B9" s="216" t="s">
        <v>153</v>
      </c>
      <c r="C9" s="216" t="str">
        <f>IF(C$6="LGBF Family Group 1",Lookups!I30,IF(C$6="LGBF Family Group 2",Lookups!J30,IF(C$6="LGBF Family Group 3",Lookups!K30,Lookups!L30)))</f>
        <v>Shetland Islands</v>
      </c>
      <c r="D9" s="217" t="str">
        <f>IF(VLOOKUP($C9,'Raw - Workless Households'!$A:$Q,4,FALSE)="","-",VLOOKUP($C9,'Raw - Workless Households'!$A:$Q,4,FALSE))</f>
        <v>-</v>
      </c>
      <c r="E9" s="217">
        <f>IF(VLOOKUP($C9,'Raw - Workless Households'!$A:$Q,8,FALSE)="","-",VLOOKUP($C9,'Raw - Workless Households'!$A:$Q,8,FALSE))</f>
        <v>9.7835350264189529</v>
      </c>
      <c r="F9" s="217">
        <f>IF(VLOOKUP($C9,'Raw - Workless Households'!$A:$Q,12,FALSE)="","-",VLOOKUP($C9,'Raw - Workless Households'!$A:$Q,12,FALSE))</f>
        <v>18.694362017804153</v>
      </c>
      <c r="G9" s="217">
        <f>IF(VLOOKUP($C9,'Raw - Workless Households'!$A:$Q,16,FALSE)="","-",VLOOKUP($C9,'Raw - Workless Households'!$A:$Q,16,FALSE))</f>
        <v>14.829226113272806</v>
      </c>
      <c r="H9" s="218">
        <f>IF(VLOOKUP($C9,'Raw - Workless Households'!$A:$Q,14,FALSE)="","-",VLOOKUP($C9,'Raw - Workless Households'!$A:$Q,14,FALSE))</f>
        <v>1029</v>
      </c>
      <c r="I9" s="219" t="str">
        <f t="shared" si="1"/>
        <v>-</v>
      </c>
      <c r="J9" s="220" t="str">
        <f>IFERROR(IF(H9="-","-",SUM(VLOOKUP(C9,'Raw - Workless Households'!A:Q,14,FALSE)-VLOOKUP(C9,'Raw - Workless Households'!A:Q,2,FALSE))),"-")</f>
        <v>-</v>
      </c>
      <c r="K9" s="221" t="str">
        <f t="shared" si="0"/>
        <v/>
      </c>
      <c r="L9" s="222" t="str">
        <f>IF(K9="-","-",IF(K9=""," ",IF($K$5="LGBF Family Group Average",SUM(MROUND(SUM(SUM(VLOOKUP(C$18,'Raw - Workless Households'!A:Q,16,FALSE)*VLOOKUP(C9,'Raw - Workless Households'!A:Q,15,FALSE))/100),100)-MROUND(SUM(SUM(VLOOKUP(C9,'Raw - Workless Households'!A:Q,16,FALSE)*VLOOKUP(C9,'Raw - Workless Households'!A:Q,15,FALSE))/100),100)),IF($K$5="City Region Comparator",SUM(MROUND(SUM(SUM(VLOOKUP(C$19,'Raw - Workless Households'!A:Q,16,FALSE)*VLOOKUP(C9,'Raw - Workless Households'!A:Q,15,FALSE))/100),100)-MROUND(SUM(SUM(VLOOKUP(C9,'Raw - Workless Households'!A:Q,16,FALSE)*VLOOKUP(C9,'Raw - Workless Households'!A:Q,15,FALSE))/100),100)),IF($K$5="Scotland",SUM(MROUND(SUM(SUM(VLOOKUP(C$20,'Raw - Workless Households'!A:Q,16,FALSE)*VLOOKUP(C9,'Raw - Workless Households'!A:Q,15,FALSE))/100),100)-MROUND(SUM(SUM(VLOOKUP(C9,'Raw - Workless Households'!A:Q,16,FALSE)*VLOOKUP(C9,'Raw - Workless Households'!A:Q,15,FALSE))/100),100)),IF($K$5="United Kingdom",SUM(MROUND(SUM(SUM(VLOOKUP(C$21,'Raw - Workless Households'!A:Q,16,FALSE)*VLOOKUP(C9,'Raw - Workless Households'!A:Q,15,FALSE))/100),100)-MROUND(SUM(SUM(VLOOKUP(C9,'Raw - Workless Households'!A:Q,16,FALSE)*VLOOKUP(C9,'Raw - Workless Households'!A:Q,15,FALSE))/100),100)),SUM(MROUND(SUM(SUM(VLOOKUP(C$17,'Raw - Workless Households'!A:Q,16,FALSE)*VLOOKUP(C9,'Raw - Workless Households'!A:Q,15,FALSE))/100),100)-MROUND(SUM(SUM(VLOOKUP(C9,'Raw - Workless Households'!A:Q,16,FALSE)*VLOOKUP(C9,'Raw - Workless Households'!A:Q,15,FALSE))/100),100))))))))</f>
        <v xml:space="preserve"> </v>
      </c>
    </row>
    <row r="10" spans="2:12" s="137" customFormat="1" ht="19.5" customHeight="1">
      <c r="B10" s="216" t="s">
        <v>153</v>
      </c>
      <c r="C10" s="216" t="str">
        <f>IF(C$6="LGBF Family Group 1",Lookups!I31,IF(C$6="LGBF Family Group 2",Lookups!J31,IF(C$6="LGBF Family Group 3",Lookups!K31,Lookups!L31)))</f>
        <v>Highland</v>
      </c>
      <c r="D10" s="217">
        <f>IF(VLOOKUP($C10,'Raw - Workless Households'!$A:$Q,4,FALSE)="","-",VLOOKUP($C10,'Raw - Workless Households'!$A:$Q,4,FALSE))</f>
        <v>13.883269011713903</v>
      </c>
      <c r="E10" s="217">
        <f>IF(VLOOKUP($C10,'Raw - Workless Households'!$A:$Q,8,FALSE)="","-",VLOOKUP($C10,'Raw - Workless Households'!$A:$Q,8,FALSE))</f>
        <v>13.873402175142612</v>
      </c>
      <c r="F10" s="217">
        <f>IF(VLOOKUP($C10,'Raw - Workless Households'!$A:$Q,12,FALSE)="","-",VLOOKUP($C10,'Raw - Workless Households'!$A:$Q,12,FALSE))</f>
        <v>19.690013350265378</v>
      </c>
      <c r="G10" s="217">
        <f>IF(VLOOKUP($C10,'Raw - Workless Households'!$A:$Q,16,FALSE)="","-",VLOOKUP($C10,'Raw - Workless Households'!$A:$Q,16,FALSE))</f>
        <v>15.929937626621149</v>
      </c>
      <c r="H10" s="218">
        <f>IF(VLOOKUP($C10,'Raw - Workless Households'!$A:$Q,14,FALSE)="","-",VLOOKUP($C10,'Raw - Workless Households'!$A:$Q,14,FALSE))</f>
        <v>9986</v>
      </c>
      <c r="I10" s="219">
        <f t="shared" si="1"/>
        <v>2.0466686149072455</v>
      </c>
      <c r="J10" s="220">
        <f>IFERROR(IF(H10="-","-",SUM(VLOOKUP(C10,'Raw - Workless Households'!A:Q,14,FALSE)-VLOOKUP(C10,'Raw - Workless Households'!A:Q,2,FALSE))),"-")</f>
        <v>1820</v>
      </c>
      <c r="K10" s="221">
        <f t="shared" si="0"/>
        <v>-0.16589154398321959</v>
      </c>
      <c r="L10" s="222">
        <f>IF(K10="-","-",IF(K10=""," ",IF($K$5="LGBF Family Group Average",SUM(MROUND(SUM(SUM(VLOOKUP(C$18,'Raw - Workless Households'!A:Q,16,FALSE)*VLOOKUP(C10,'Raw - Workless Households'!A:Q,15,FALSE))/100),100)-MROUND(SUM(SUM(VLOOKUP(C10,'Raw - Workless Households'!A:Q,16,FALSE)*VLOOKUP(C10,'Raw - Workless Households'!A:Q,15,FALSE))/100),100)),IF($K$5="City Region Comparator",SUM(MROUND(SUM(SUM(VLOOKUP(C$19,'Raw - Workless Households'!A:Q,16,FALSE)*VLOOKUP(C10,'Raw - Workless Households'!A:Q,15,FALSE))/100),100)-MROUND(SUM(SUM(VLOOKUP(C10,'Raw - Workless Households'!A:Q,16,FALSE)*VLOOKUP(C10,'Raw - Workless Households'!A:Q,15,FALSE))/100),100)),IF($K$5="Scotland",SUM(MROUND(SUM(SUM(VLOOKUP(C$20,'Raw - Workless Households'!A:Q,16,FALSE)*VLOOKUP(C10,'Raw - Workless Households'!A:Q,15,FALSE))/100),100)-MROUND(SUM(SUM(VLOOKUP(C10,'Raw - Workless Households'!A:Q,16,FALSE)*VLOOKUP(C10,'Raw - Workless Households'!A:Q,15,FALSE))/100),100)),IF($K$5="United Kingdom",SUM(MROUND(SUM(SUM(VLOOKUP(C$21,'Raw - Workless Households'!A:Q,16,FALSE)*VLOOKUP(C10,'Raw - Workless Households'!A:Q,15,FALSE))/100),100)-MROUND(SUM(SUM(VLOOKUP(C10,'Raw - Workless Households'!A:Q,16,FALSE)*VLOOKUP(C10,'Raw - Workless Households'!A:Q,15,FALSE))/100),100)),SUM(MROUND(SUM(SUM(VLOOKUP(C$17,'Raw - Workless Households'!A:Q,16,FALSE)*VLOOKUP(C10,'Raw - Workless Households'!A:Q,15,FALSE))/100),100)-MROUND(SUM(SUM(VLOOKUP(C10,'Raw - Workless Households'!A:Q,16,FALSE)*VLOOKUP(C10,'Raw - Workless Households'!A:Q,15,FALSE))/100),100))))))))</f>
        <v>-100</v>
      </c>
    </row>
    <row r="11" spans="2:12" s="137" customFormat="1" ht="19.5" customHeight="1">
      <c r="B11" s="216" t="s">
        <v>153</v>
      </c>
      <c r="C11" s="216" t="str">
        <f>IF(C$6="LGBF Family Group 1",Lookups!I32,IF(C$6="LGBF Family Group 2",Lookups!J32,IF(C$6="LGBF Family Group 3",Lookups!K32,Lookups!L32)))</f>
        <v>Orkney Islands</v>
      </c>
      <c r="D11" s="217" t="str">
        <f>IF(VLOOKUP($C11,'Raw - Workless Households'!$A:$Q,4,FALSE)="","-",VLOOKUP($C11,'Raw - Workless Households'!$A:$Q,4,FALSE))</f>
        <v>-</v>
      </c>
      <c r="E11" s="217" t="str">
        <f>IF(VLOOKUP($C11,'Raw - Workless Households'!$A:$Q,8,FALSE)="","-",VLOOKUP($C11,'Raw - Workless Households'!$A:$Q,8,FALSE))</f>
        <v>-</v>
      </c>
      <c r="F11" s="217">
        <f>IF(VLOOKUP($C11,'Raw - Workless Households'!$A:$Q,12,FALSE)="","-",VLOOKUP($C11,'Raw - Workless Households'!$A:$Q,12,FALSE))</f>
        <v>17.74457634056488</v>
      </c>
      <c r="G11" s="217">
        <f>IF(VLOOKUP($C11,'Raw - Workless Households'!$A:$Q,16,FALSE)="","-",VLOOKUP($C11,'Raw - Workless Households'!$A:$Q,16,FALSE))</f>
        <v>11.742722265932336</v>
      </c>
      <c r="H11" s="218">
        <f>IF(VLOOKUP($C11,'Raw - Workless Households'!$A:$Q,14,FALSE)="","-",VLOOKUP($C11,'Raw - Workless Households'!$A:$Q,14,FALSE))</f>
        <v>597</v>
      </c>
      <c r="I11" s="219" t="str">
        <f t="shared" si="1"/>
        <v>-</v>
      </c>
      <c r="J11" s="220" t="str">
        <f>IFERROR(IF(H11="-","-",SUM(VLOOKUP(C11,'Raw - Workless Households'!A:Q,14,FALSE)-VLOOKUP(C11,'Raw - Workless Households'!A:Q,2,FALSE))),"-")</f>
        <v>-</v>
      </c>
      <c r="K11" s="221" t="str">
        <f t="shared" si="0"/>
        <v/>
      </c>
      <c r="L11" s="222" t="str">
        <f>IF(K11="-","-",IF(K11=""," ",IF($K$5="LGBF Family Group Average",SUM(MROUND(SUM(SUM(VLOOKUP(C$18,'Raw - Workless Households'!A:Q,16,FALSE)*VLOOKUP(C11,'Raw - Workless Households'!A:Q,15,FALSE))/100),100)-MROUND(SUM(SUM(VLOOKUP(C11,'Raw - Workless Households'!A:Q,16,FALSE)*VLOOKUP(C11,'Raw - Workless Households'!A:Q,15,FALSE))/100),100)),IF($K$5="City Region Comparator",SUM(MROUND(SUM(SUM(VLOOKUP(C$19,'Raw - Workless Households'!A:Q,16,FALSE)*VLOOKUP(C11,'Raw - Workless Households'!A:Q,15,FALSE))/100),100)-MROUND(SUM(SUM(VLOOKUP(C11,'Raw - Workless Households'!A:Q,16,FALSE)*VLOOKUP(C11,'Raw - Workless Households'!A:Q,15,FALSE))/100),100)),IF($K$5="Scotland",SUM(MROUND(SUM(SUM(VLOOKUP(C$20,'Raw - Workless Households'!A:Q,16,FALSE)*VLOOKUP(C11,'Raw - Workless Households'!A:Q,15,FALSE))/100),100)-MROUND(SUM(SUM(VLOOKUP(C11,'Raw - Workless Households'!A:Q,16,FALSE)*VLOOKUP(C11,'Raw - Workless Households'!A:Q,15,FALSE))/100),100)),IF($K$5="United Kingdom",SUM(MROUND(SUM(SUM(VLOOKUP(C$21,'Raw - Workless Households'!A:Q,16,FALSE)*VLOOKUP(C11,'Raw - Workless Households'!A:Q,15,FALSE))/100),100)-MROUND(SUM(SUM(VLOOKUP(C11,'Raw - Workless Households'!A:Q,16,FALSE)*VLOOKUP(C11,'Raw - Workless Households'!A:Q,15,FALSE))/100),100)),SUM(MROUND(SUM(SUM(VLOOKUP(C$17,'Raw - Workless Households'!A:Q,16,FALSE)*VLOOKUP(C11,'Raw - Workless Households'!A:Q,15,FALSE))/100),100)-MROUND(SUM(SUM(VLOOKUP(C11,'Raw - Workless Households'!A:Q,16,FALSE)*VLOOKUP(C11,'Raw - Workless Households'!A:Q,15,FALSE))/100),100))))))))</f>
        <v xml:space="preserve"> </v>
      </c>
    </row>
    <row r="12" spans="2:12" s="137" customFormat="1" ht="19.5" customHeight="1">
      <c r="B12" s="216" t="s">
        <v>153</v>
      </c>
      <c r="C12" s="216" t="str">
        <f>IF(C$6="LGBF Family Group 1",Lookups!I33,IF(C$6="LGBF Family Group 2",Lookups!J33,IF(C$6="LGBF Family Group 3",Lookups!K33,Lookups!L33)))</f>
        <v>Scottish Borders</v>
      </c>
      <c r="D12" s="217">
        <f>IF(VLOOKUP($C12,'Raw - Workless Households'!$A:$Q,4,FALSE)="","-",VLOOKUP($C12,'Raw - Workless Households'!$A:$Q,4,FALSE))</f>
        <v>16.300408445032502</v>
      </c>
      <c r="E12" s="217">
        <f>IF(VLOOKUP($C12,'Raw - Workless Households'!$A:$Q,8,FALSE)="","-",VLOOKUP($C12,'Raw - Workless Households'!$A:$Q,8,FALSE))</f>
        <v>12.441292936734506</v>
      </c>
      <c r="F12" s="217">
        <f>IF(VLOOKUP($C12,'Raw - Workless Households'!$A:$Q,12,FALSE)="","-",VLOOKUP($C12,'Raw - Workless Households'!$A:$Q,12,FALSE))</f>
        <v>22.380769967439189</v>
      </c>
      <c r="G12" s="217">
        <f>IF(VLOOKUP($C12,'Raw - Workless Households'!$A:$Q,16,FALSE)="","-",VLOOKUP($C12,'Raw - Workless Households'!$A:$Q,16,FALSE))</f>
        <v>15.412589834617716</v>
      </c>
      <c r="H12" s="218">
        <f>IF(VLOOKUP($C12,'Raw - Workless Households'!$A:$Q,14,FALSE)="","-",VLOOKUP($C12,'Raw - Workless Households'!$A:$Q,14,FALSE))</f>
        <v>5340</v>
      </c>
      <c r="I12" s="219">
        <f t="shared" si="1"/>
        <v>-0.88781861041478649</v>
      </c>
      <c r="J12" s="220">
        <f>IFERROR(IF(H12="-","-",SUM(VLOOKUP(C12,'Raw - Workless Households'!A:Q,14,FALSE)-VLOOKUP(C12,'Raw - Workless Households'!A:Q,2,FALSE))),"-")</f>
        <v>-327</v>
      </c>
      <c r="K12" s="221" t="str">
        <f t="shared" si="0"/>
        <v/>
      </c>
      <c r="L12" s="222" t="str">
        <f>IF(K12="-","-",IF(K12=""," ",IF($K$5="LGBF Family Group Average",SUM(MROUND(SUM(SUM(VLOOKUP(C$18,'Raw - Workless Households'!A:Q,16,FALSE)*VLOOKUP(C12,'Raw - Workless Households'!A:Q,15,FALSE))/100),100)-MROUND(SUM(SUM(VLOOKUP(C12,'Raw - Workless Households'!A:Q,16,FALSE)*VLOOKUP(C12,'Raw - Workless Households'!A:Q,15,FALSE))/100),100)),IF($K$5="City Region Comparator",SUM(MROUND(SUM(SUM(VLOOKUP(C$19,'Raw - Workless Households'!A:Q,16,FALSE)*VLOOKUP(C12,'Raw - Workless Households'!A:Q,15,FALSE))/100),100)-MROUND(SUM(SUM(VLOOKUP(C12,'Raw - Workless Households'!A:Q,16,FALSE)*VLOOKUP(C12,'Raw - Workless Households'!A:Q,15,FALSE))/100),100)),IF($K$5="Scotland",SUM(MROUND(SUM(SUM(VLOOKUP(C$20,'Raw - Workless Households'!A:Q,16,FALSE)*VLOOKUP(C12,'Raw - Workless Households'!A:Q,15,FALSE))/100),100)-MROUND(SUM(SUM(VLOOKUP(C12,'Raw - Workless Households'!A:Q,16,FALSE)*VLOOKUP(C12,'Raw - Workless Households'!A:Q,15,FALSE))/100),100)),IF($K$5="United Kingdom",SUM(MROUND(SUM(SUM(VLOOKUP(C$21,'Raw - Workless Households'!A:Q,16,FALSE)*VLOOKUP(C12,'Raw - Workless Households'!A:Q,15,FALSE))/100),100)-MROUND(SUM(SUM(VLOOKUP(C12,'Raw - Workless Households'!A:Q,16,FALSE)*VLOOKUP(C12,'Raw - Workless Households'!A:Q,15,FALSE))/100),100)),SUM(MROUND(SUM(SUM(VLOOKUP(C$17,'Raw - Workless Households'!A:Q,16,FALSE)*VLOOKUP(C12,'Raw - Workless Households'!A:Q,15,FALSE))/100),100)-MROUND(SUM(SUM(VLOOKUP(C12,'Raw - Workless Households'!A:Q,16,FALSE)*VLOOKUP(C12,'Raw - Workless Households'!A:Q,15,FALSE))/100),100))))))))</f>
        <v xml:space="preserve"> </v>
      </c>
    </row>
    <row r="13" spans="2:12" s="137" customFormat="1" ht="19.5" customHeight="1">
      <c r="B13" s="216" t="s">
        <v>153</v>
      </c>
      <c r="C13" s="216" t="str">
        <f>IF(C$6="LGBF Family Group 1",Lookups!I34,IF(C$6="LGBF Family Group 2",Lookups!J34,IF(C$6="LGBF Family Group 3",Lookups!K34,Lookups!L34)))</f>
        <v>Dumfries and Galloway</v>
      </c>
      <c r="D13" s="217">
        <f>IF(VLOOKUP($C13,'Raw - Workless Households'!$A:$Q,4,FALSE)="","-",VLOOKUP($C13,'Raw - Workless Households'!$A:$Q,4,FALSE))</f>
        <v>18.076443234660317</v>
      </c>
      <c r="E13" s="217">
        <f>IF(VLOOKUP($C13,'Raw - Workless Households'!$A:$Q,8,FALSE)="","-",VLOOKUP($C13,'Raw - Workless Households'!$A:$Q,8,FALSE))</f>
        <v>23.729689114304499</v>
      </c>
      <c r="F13" s="217">
        <f>IF(VLOOKUP($C13,'Raw - Workless Households'!$A:$Q,12,FALSE)="","-",VLOOKUP($C13,'Raw - Workless Households'!$A:$Q,12,FALSE))</f>
        <v>22.59718069201196</v>
      </c>
      <c r="G13" s="217">
        <f>IF(VLOOKUP($C13,'Raw - Workless Households'!$A:$Q,16,FALSE)="","-",VLOOKUP($C13,'Raw - Workless Households'!$A:$Q,16,FALSE))</f>
        <v>22.484107130562506</v>
      </c>
      <c r="H13" s="218">
        <f>IF(VLOOKUP($C13,'Raw - Workless Households'!$A:$Q,14,FALSE)="","-",VLOOKUP($C13,'Raw - Workless Households'!$A:$Q,14,FALSE))</f>
        <v>9797</v>
      </c>
      <c r="I13" s="219">
        <f t="shared" si="1"/>
        <v>4.4076638959021892</v>
      </c>
      <c r="J13" s="220">
        <f>IFERROR(IF(H13="-","-",SUM(VLOOKUP(C13,'Raw - Workless Households'!A:Q,14,FALSE)-VLOOKUP(C13,'Raw - Workless Households'!A:Q,2,FALSE))),"-")</f>
        <v>1828</v>
      </c>
      <c r="K13" s="221">
        <f t="shared" si="0"/>
        <v>-6.7200610479245775</v>
      </c>
      <c r="L13" s="222">
        <f>IF(K13="-","-",IF(K13=""," ",IF($K$5="LGBF Family Group Average",SUM(MROUND(SUM(SUM(VLOOKUP(C$18,'Raw - Workless Households'!A:Q,16,FALSE)*VLOOKUP(C13,'Raw - Workless Households'!A:Q,15,FALSE))/100),100)-MROUND(SUM(SUM(VLOOKUP(C13,'Raw - Workless Households'!A:Q,16,FALSE)*VLOOKUP(C13,'Raw - Workless Households'!A:Q,15,FALSE))/100),100)),IF($K$5="City Region Comparator",SUM(MROUND(SUM(SUM(VLOOKUP(C$19,'Raw - Workless Households'!A:Q,16,FALSE)*VLOOKUP(C13,'Raw - Workless Households'!A:Q,15,FALSE))/100),100)-MROUND(SUM(SUM(VLOOKUP(C13,'Raw - Workless Households'!A:Q,16,FALSE)*VLOOKUP(C13,'Raw - Workless Households'!A:Q,15,FALSE))/100),100)),IF($K$5="Scotland",SUM(MROUND(SUM(SUM(VLOOKUP(C$20,'Raw - Workless Households'!A:Q,16,FALSE)*VLOOKUP(C13,'Raw - Workless Households'!A:Q,15,FALSE))/100),100)-MROUND(SUM(SUM(VLOOKUP(C13,'Raw - Workless Households'!A:Q,16,FALSE)*VLOOKUP(C13,'Raw - Workless Households'!A:Q,15,FALSE))/100),100)),IF($K$5="United Kingdom",SUM(MROUND(SUM(SUM(VLOOKUP(C$21,'Raw - Workless Households'!A:Q,16,FALSE)*VLOOKUP(C13,'Raw - Workless Households'!A:Q,15,FALSE))/100),100)-MROUND(SUM(SUM(VLOOKUP(C13,'Raw - Workless Households'!A:Q,16,FALSE)*VLOOKUP(C13,'Raw - Workless Households'!A:Q,15,FALSE))/100),100)),SUM(MROUND(SUM(SUM(VLOOKUP(C$17,'Raw - Workless Households'!A:Q,16,FALSE)*VLOOKUP(C13,'Raw - Workless Households'!A:Q,15,FALSE))/100),100)-MROUND(SUM(SUM(VLOOKUP(C13,'Raw - Workless Households'!A:Q,16,FALSE)*VLOOKUP(C13,'Raw - Workless Households'!A:Q,15,FALSE))/100),100))))))))</f>
        <v>-2900</v>
      </c>
    </row>
    <row r="14" spans="2:12" s="137" customFormat="1" ht="19.5" customHeight="1">
      <c r="B14" s="216" t="s">
        <v>153</v>
      </c>
      <c r="C14" s="216" t="str">
        <f>IF(C$6="LGBF Family Group 1",Lookups!I35,IF(C$6="LGBF Family Group 2",Lookups!J35,IF(C$6="LGBF Family Group 3",Lookups!K35,Lookups!L35)))</f>
        <v>Aberdeenshire</v>
      </c>
      <c r="D14" s="217">
        <f>IF(VLOOKUP($C14,'Raw - Workless Households'!$A:$Q,4,FALSE)="","-",VLOOKUP($C14,'Raw - Workless Households'!$A:$Q,4,FALSE))</f>
        <v>11.903559240596779</v>
      </c>
      <c r="E14" s="217">
        <f>IF(VLOOKUP($C14,'Raw - Workless Households'!$A:$Q,8,FALSE)="","-",VLOOKUP($C14,'Raw - Workless Households'!$A:$Q,8,FALSE))</f>
        <v>13.01927466396145</v>
      </c>
      <c r="F14" s="217">
        <f>IF(VLOOKUP($C14,'Raw - Workless Households'!$A:$Q,12,FALSE)="","-",VLOOKUP($C14,'Raw - Workless Households'!$A:$Q,12,FALSE))</f>
        <v>12.751328940356895</v>
      </c>
      <c r="G14" s="217">
        <f>IF(VLOOKUP($C14,'Raw - Workless Households'!$A:$Q,16,FALSE)="","-",VLOOKUP($C14,'Raw - Workless Households'!$A:$Q,16,FALSE))</f>
        <v>12.758333866530169</v>
      </c>
      <c r="H14" s="218">
        <f>IF(VLOOKUP($C14,'Raw - Workless Households'!$A:$Q,14,FALSE)="","-",VLOOKUP($C14,'Raw - Workless Households'!$A:$Q,14,FALSE))</f>
        <v>9970</v>
      </c>
      <c r="I14" s="219">
        <f t="shared" si="1"/>
        <v>0.85477462593338949</v>
      </c>
      <c r="J14" s="220">
        <f>IFERROR(IF(H14="-","-",SUM(VLOOKUP(C14,'Raw - Workless Households'!A:Q,14,FALSE)-VLOOKUP(C14,'Raw - Workless Households'!A:Q,2,FALSE))),"-")</f>
        <v>308</v>
      </c>
      <c r="K14" s="221" t="str">
        <f t="shared" si="0"/>
        <v/>
      </c>
      <c r="L14" s="222" t="str">
        <f>IF(K14="-","-",IF(K14=""," ",IF($K$5="LGBF Family Group Average",SUM(MROUND(SUM(SUM(VLOOKUP(C$18,'Raw - Workless Households'!A:Q,16,FALSE)*VLOOKUP(C14,'Raw - Workless Households'!A:Q,15,FALSE))/100),100)-MROUND(SUM(SUM(VLOOKUP(C14,'Raw - Workless Households'!A:Q,16,FALSE)*VLOOKUP(C14,'Raw - Workless Households'!A:Q,15,FALSE))/100),100)),IF($K$5="City Region Comparator",SUM(MROUND(SUM(SUM(VLOOKUP(C$19,'Raw - Workless Households'!A:Q,16,FALSE)*VLOOKUP(C14,'Raw - Workless Households'!A:Q,15,FALSE))/100),100)-MROUND(SUM(SUM(VLOOKUP(C14,'Raw - Workless Households'!A:Q,16,FALSE)*VLOOKUP(C14,'Raw - Workless Households'!A:Q,15,FALSE))/100),100)),IF($K$5="Scotland",SUM(MROUND(SUM(SUM(VLOOKUP(C$20,'Raw - Workless Households'!A:Q,16,FALSE)*VLOOKUP(C14,'Raw - Workless Households'!A:Q,15,FALSE))/100),100)-MROUND(SUM(SUM(VLOOKUP(C14,'Raw - Workless Households'!A:Q,16,FALSE)*VLOOKUP(C14,'Raw - Workless Households'!A:Q,15,FALSE))/100),100)),IF($K$5="United Kingdom",SUM(MROUND(SUM(SUM(VLOOKUP(C$21,'Raw - Workless Households'!A:Q,16,FALSE)*VLOOKUP(C14,'Raw - Workless Households'!A:Q,15,FALSE))/100),100)-MROUND(SUM(SUM(VLOOKUP(C14,'Raw - Workless Households'!A:Q,16,FALSE)*VLOOKUP(C14,'Raw - Workless Households'!A:Q,15,FALSE))/100),100)),SUM(MROUND(SUM(SUM(VLOOKUP(C$17,'Raw - Workless Households'!A:Q,16,FALSE)*VLOOKUP(C14,'Raw - Workless Households'!A:Q,15,FALSE))/100),100)-MROUND(SUM(SUM(VLOOKUP(C14,'Raw - Workless Households'!A:Q,16,FALSE)*VLOOKUP(C14,'Raw - Workless Households'!A:Q,15,FALSE))/100),100))))))))</f>
        <v xml:space="preserve"> </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Workless Households'!$A$9:$A$41,MATCH(MIN('Raw - Workless Households'!P10:P42),'Raw - Workless Households'!P10:P42,0))</f>
        <v>East Dunbartonshire</v>
      </c>
      <c r="D17" s="217">
        <f>VLOOKUP($C17,'Raw - Workless Households'!$A:$Q,4,FALSE)</f>
        <v>13.768522491006898</v>
      </c>
      <c r="E17" s="217">
        <f>VLOOKUP($C17,'Raw - Workless Households'!$A:$Q,8,FALSE)</f>
        <v>15.81575639055734</v>
      </c>
      <c r="F17" s="217">
        <f>VLOOKUP($C17,'Raw - Workless Households'!$A:$Q,12,FALSE)</f>
        <v>16.758741378718732</v>
      </c>
      <c r="G17" s="217">
        <f>VLOOKUP($C17,'Raw - Workless Households'!$A:$Q,16,FALSE)</f>
        <v>15.764046082637929</v>
      </c>
      <c r="H17" s="218">
        <f>VLOOKUP(C17,'Raw - Workless Households'!A:Q,14,FALSE)</f>
        <v>4666</v>
      </c>
      <c r="I17" s="219">
        <f t="shared" ref="I17" si="2">IFERROR(SUM(G17-D17),"-")</f>
        <v>1.9955235916310308</v>
      </c>
      <c r="J17" s="220">
        <f>IFERROR(IF(H17="-","-",SUM(VLOOKUP(C17,'Raw - Workless Households'!A:Q,14,FALSE)-VLOOKUP(C17,'Raw - Workless Households'!A:Q,2,FALSE))),"-")</f>
        <v>494</v>
      </c>
    </row>
    <row r="18" spans="2:12" s="137" customFormat="1" ht="19.5" customHeight="1">
      <c r="B18" s="226" t="s">
        <v>271</v>
      </c>
      <c r="C18" s="227" t="s">
        <v>246</v>
      </c>
      <c r="D18" s="217">
        <f>VLOOKUP($C18,'Raw - Workless Households'!$A:$Q,4,FALSE)</f>
        <v>14.827649977084324</v>
      </c>
      <c r="E18" s="217">
        <f>VLOOKUP($C18,'Raw - Workless Households'!$A:$Q,8,FALSE)</f>
        <v>15.044689768699982</v>
      </c>
      <c r="F18" s="217">
        <f>VLOOKUP($C18,'Raw - Workless Households'!$A:$Q,12,FALSE)</f>
        <v>17.578644040662773</v>
      </c>
      <c r="G18" s="217">
        <f>VLOOKUP($C18,'Raw - Workless Households'!$A:$Q,16,FALSE)</f>
        <v>15.986432706922491</v>
      </c>
      <c r="H18" s="218">
        <f>VLOOKUP(C18,'Raw - Workless Households'!A:Q,14,FALSE)</f>
        <v>41335</v>
      </c>
      <c r="I18" s="219">
        <f t="shared" ref="I18:I21" si="3">IFERROR(SUM(G18-D18),"-")</f>
        <v>1.1587827298381672</v>
      </c>
      <c r="J18" s="220">
        <f>IFERROR(IF(H18="-","-",SUM(VLOOKUP(C18,'Raw - Workless Households'!A:Q,14,FALSE)-VLOOKUP(C18,'Raw - Workless Households'!A:Q,2,FALSE))),"-")</f>
        <v>4453</v>
      </c>
    </row>
    <row r="19" spans="2:12" s="137" customFormat="1" ht="19.5" customHeight="1">
      <c r="B19" s="226" t="s">
        <v>270</v>
      </c>
      <c r="C19" s="216" t="s">
        <v>156</v>
      </c>
      <c r="D19" s="217">
        <f>VLOOKUP($C19,'Raw - Workless Households'!$A:$Q,4,FALSE)</f>
        <v>14.078366643941298</v>
      </c>
      <c r="E19" s="217">
        <f>VLOOKUP($C19,'Raw - Workless Households'!$A:$Q,8,FALSE)</f>
        <v>14.15691719538999</v>
      </c>
      <c r="F19" s="217">
        <f>VLOOKUP($C19,'Raw - Workless Households'!$A:$Q,12,FALSE)</f>
        <v>13.283974949107268</v>
      </c>
      <c r="G19" s="217">
        <f>VLOOKUP($C19,'Raw - Workless Households'!$A:$Q,16,FALSE)</f>
        <v>15.668793774319067</v>
      </c>
      <c r="H19" s="218">
        <f>VLOOKUP(C19,'Raw - Workless Households'!A:Q,14,FALSE)</f>
        <v>25168</v>
      </c>
      <c r="I19" s="219">
        <f t="shared" si="3"/>
        <v>1.5904271303777691</v>
      </c>
      <c r="J19" s="220">
        <f>IFERROR(IF(H19="-","-",SUM(VLOOKUP(C19,'Raw - Workless Households'!A:Q,14,FALSE)-VLOOKUP(C19,'Raw - Workless Households'!A:Q,2,FALSE))),"-")</f>
        <v>1627</v>
      </c>
    </row>
    <row r="20" spans="2:12" s="137" customFormat="1" ht="19.5" customHeight="1">
      <c r="B20" s="226" t="s">
        <v>164</v>
      </c>
      <c r="C20" s="216" t="s">
        <v>46</v>
      </c>
      <c r="D20" s="217">
        <f>VLOOKUP($C20,'Raw - Workless Households'!$A:$Q,4,FALSE)</f>
        <v>17.111068248731865</v>
      </c>
      <c r="E20" s="217">
        <f>VLOOKUP($C20,'Raw - Workless Households'!$A:$Q,8,FALSE)</f>
        <v>17.662239009338666</v>
      </c>
      <c r="F20" s="217">
        <f>VLOOKUP($C20,'Raw - Workless Households'!$A:$Q,12,FALSE)</f>
        <v>18.57587008531576</v>
      </c>
      <c r="G20" s="217">
        <f>VLOOKUP($C20,'Raw - Workless Households'!$A:$Q,16,FALSE)</f>
        <v>17.78044039903768</v>
      </c>
      <c r="H20" s="218">
        <f>VLOOKUP(C20,'Raw - Workless Households'!A:Q,14,FALSE)</f>
        <v>320089</v>
      </c>
      <c r="I20" s="219">
        <f t="shared" si="3"/>
        <v>0.66937215030581498</v>
      </c>
      <c r="J20" s="220">
        <f>IFERROR(IF(H20="-","-",SUM(VLOOKUP(C20,'Raw - Workless Households'!A:Q,14,FALSE)-VLOOKUP(C20,'Raw - Workless Households'!A:Q,2,FALSE))),"-")</f>
        <v>11367</v>
      </c>
    </row>
    <row r="21" spans="2:12" ht="19.5" customHeight="1">
      <c r="B21" s="188" t="s">
        <v>164</v>
      </c>
      <c r="C21" s="183" t="s">
        <v>47</v>
      </c>
      <c r="D21" s="184">
        <f>VLOOKUP($C21,'Raw - Workless Households'!$A:$Q,4,FALSE)</f>
        <v>14.49067270382503</v>
      </c>
      <c r="E21" s="184">
        <f>VLOOKUP($C21,'Raw - Workless Households'!$A:$Q,8,FALSE)</f>
        <v>14.013356198220068</v>
      </c>
      <c r="F21" s="184">
        <f>VLOOKUP($C21,'Raw - Workless Households'!$A:$Q,12,FALSE)</f>
        <v>14.135139175997995</v>
      </c>
      <c r="G21" s="184">
        <f>VLOOKUP($C21,'Raw - Workless Households'!$A:$Q,16,FALSE)</f>
        <v>13.923926041194438</v>
      </c>
      <c r="H21" s="185">
        <f>VLOOKUP(C21,'Raw - Workless Households'!A:Q,14,FALSE)</f>
        <v>2953765</v>
      </c>
      <c r="I21" s="219">
        <f t="shared" si="3"/>
        <v>-0.56674666263059237</v>
      </c>
      <c r="J21" s="220">
        <f>IFERROR(IF(H21="-","-",SUM(VLOOKUP(C21,'Raw - Workless Households'!A:Q,14,FALSE)-VLOOKUP(C21,'Raw - Workless Households'!A:Q,2,FALSE))),"-")</f>
        <v>-84884</v>
      </c>
    </row>
    <row r="22" spans="2:12" ht="19.5" customHeight="1">
      <c r="C22" s="189"/>
      <c r="D22" s="190"/>
      <c r="E22" s="190"/>
      <c r="F22" s="190"/>
      <c r="G22" s="190"/>
      <c r="H22" s="190"/>
      <c r="I22" s="190"/>
      <c r="J22" s="190"/>
      <c r="K22" s="190"/>
      <c r="L22" s="190"/>
    </row>
    <row r="23" spans="2:12">
      <c r="B23" s="193"/>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FZrveVv6S4HcQ/iMkv90yWpQthB3QzuIrODas9BbDxPcoo4JNa9FRanecNrGDg1YJDOLxVNmOspZdEQqryatVw==" saltValue="lhdTDjfwP+XPq32miW1hkg==" spinCount="100000" sheet="1" sort="0"/>
  <mergeCells count="4">
    <mergeCell ref="K4:L4"/>
    <mergeCell ref="I5:J5"/>
    <mergeCell ref="K5:L5"/>
    <mergeCell ref="F2:G2"/>
  </mergeCells>
  <hyperlinks>
    <hyperlink ref="F2:G2" location="'Index RAG'!A1" display="Return to Index RAG" xr:uid="{00000000-0004-0000-0700-000001000000}"/>
    <hyperlink ref="C3" r:id="rId1" xr:uid="{422B25E8-5232-4945-A1AC-279BF15C966D}"/>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9CE7259B-31DE-4A02-8111-9F6B7EC30F73}">
          <x14:formula1>
            <xm:f>Lookups!$B$27:$E$27</xm:f>
          </x14:formula1>
          <xm:sqref>C6</xm:sqref>
        </x14:dataValidation>
        <x14:dataValidation type="list" allowBlank="1" showInputMessage="1" showErrorMessage="1" xr:uid="{05EE8F2E-F977-45DA-B6F5-E515474E0850}">
          <x14:formula1>
            <xm:f>Lookups!$B$36:$E$36</xm:f>
          </x14:formula1>
          <xm:sqref>C18</xm:sqref>
        </x14:dataValidation>
        <x14:dataValidation type="list" allowBlank="1" showInputMessage="1" showErrorMessage="1" xr:uid="{6AE3E2A3-85C4-42AC-B8C3-E669E88E2C98}">
          <x14:formula1>
            <xm:f>Lookups!$B$9:$B$13</xm:f>
          </x14:formula1>
          <xm:sqref>K5:L5</xm:sqref>
        </x14:dataValidation>
        <x14:dataValidation type="list" allowBlank="1" showInputMessage="1" showErrorMessage="1" xr:uid="{0A6ABE2E-A8C4-4109-A32A-DFBE2B54CB40}">
          <x14:formula1>
            <xm:f>Lookups!$Q$3:$Q$7</xm:f>
          </x14:formula1>
          <xm:sqref>C19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B1:L25"/>
  <sheetViews>
    <sheetView zoomScale="90" zoomScaleNormal="90" workbookViewId="0">
      <selection activeCell="F2" sqref="F2:G2"/>
    </sheetView>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 of School Leavers in Positive Destinations - LGBF Family Group 4</v>
      </c>
      <c r="D1" s="170" t="s">
        <v>290</v>
      </c>
    </row>
    <row r="2" spans="2:12" ht="12.75">
      <c r="B2" s="171" t="s">
        <v>49</v>
      </c>
      <c r="C2" s="172" t="s">
        <v>186</v>
      </c>
      <c r="F2" s="467" t="s">
        <v>216</v>
      </c>
      <c r="G2" s="468"/>
    </row>
    <row r="3" spans="2:12" ht="12.75">
      <c r="B3" s="171" t="s">
        <v>50</v>
      </c>
      <c r="C3" s="174" t="s">
        <v>187</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245</v>
      </c>
      <c r="D6" s="181" t="s">
        <v>182</v>
      </c>
      <c r="E6" s="181" t="s">
        <v>355</v>
      </c>
      <c r="F6" s="181" t="s">
        <v>393</v>
      </c>
      <c r="G6" s="181" t="s">
        <v>441</v>
      </c>
      <c r="H6" s="181" t="s">
        <v>489</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Na h-Eileanan Siar</v>
      </c>
      <c r="D7" s="217" t="str">
        <f>IF(VLOOKUP($C7,'Raw - SLDR'!$A:$Q,4,FALSE)="","-",(VLOOKUP($C7,'Raw - SLDR'!$A:$Q,4,FALSE)))</f>
        <v>-</v>
      </c>
      <c r="E7" s="217" t="str">
        <f>IF(VLOOKUP($C7,'Raw - SLDR'!$A:$Q,8,FALSE)="","-",(VLOOKUP($C7,'Raw - SLDR'!$A:$Q,8,FALSE)))</f>
        <v>-</v>
      </c>
      <c r="F7" s="217" t="str">
        <f>IF(VLOOKUP($C7,'Raw - SLDR'!$A:$Q,12,FALSE)="","-",(VLOOKUP($C7,'Raw - SLDR'!$A:$Q,12,FALSE)))</f>
        <v>-</v>
      </c>
      <c r="G7" s="217">
        <f>IF(VLOOKUP($C7,'Raw - SLDR'!$A:$Q,16,FALSE)="","-",(VLOOKUP($C7,'Raw - SLDR'!$A:$Q,16,FALSE)))</f>
        <v>98.322147651006702</v>
      </c>
      <c r="H7" s="218">
        <f>IF(VLOOKUP($C7,'Raw - SLDR'!$A:$Q,14,FALSE)="","-",(VLOOKUP($C7,'Raw - SLDR'!$A:$Q,14,FALSE)))</f>
        <v>298</v>
      </c>
      <c r="I7" s="219" t="str">
        <f>IFERROR(IF(G7="-","-",SUM(G7-D7)),"-")</f>
        <v>-</v>
      </c>
      <c r="J7" s="220" t="str">
        <f>IFERROR(IF(G7="-","-",SUM(VLOOKUP(C7,'Raw - SLDR'!A:Q,14,FALSE)-VLOOKUP(C7,'Raw - SLDR'!A:Q,2,FALSE))),"-")</f>
        <v>-</v>
      </c>
      <c r="K7" s="221">
        <f>IF(G7="-","-",IF(IF($K$5="City Region Comparator",SUM(G$19-G7),IF($K$5="LGBF Family Group Average",SUM(G$18-G7),IF($K$5="Scotland",SUM(G$20-G7),IF($K$5="United Kingdom",SUM(G$21-G7),SUM(G$17-G7)))))&lt;=0,"",IF($K$5="City Region Comparator",SUM(G$19-G7),IF($K$5="LGBF Family Group Average",SUM(G$18-G7),IF($K$5="Scotland",SUM(G$20-G7),IF($K$5="United Kingdom",SUM(G$21-G7),SUM(G$17-G7)))))))</f>
        <v>0.42138523886765711</v>
      </c>
      <c r="L7" s="222">
        <f>IF(G7="-","-",IF(K7=""," ",IF($K$5="LGBF Family Group Average",SUM(MROUND(SUM(SUM(VLOOKUP(C$18,'Raw - SLDR'!A:Q,16,FALSE)*VLOOKUP(C7,'Raw - SLDR'!A:Q,15,FALSE))/100),100)-MROUND(SUM(SUM(VLOOKUP(C7,'Raw - SLDR'!A:Q,16,FALSE)*VLOOKUP(C7,'Raw - SLDR'!A:Q,15,FALSE))/100),100)),IF($K$5="City Region Comparator",SUM(MROUND(SUM(SUM(VLOOKUP(C$19,'Raw - SLDR'!A:Q,16,FALSE)*VLOOKUP(C7,'Raw - SLDR'!A:Q,15,FALSE))/100),100)-MROUND(SUM(SUM(VLOOKUP(C7,'Raw - SLDR'!A:Q,16,FALSE)*VLOOKUP(C7,'Raw - SLDR'!A:Q,15,FALSE))/100),100)),IF($K$5="Scotland",SUM(MROUND(SUM(SUM(VLOOKUP(C$20,'Raw - SLDR'!A:Q,16,FALSE)*VLOOKUP(C7,'Raw - SLDR'!A:Q,15,FALSE))/100),100)-MROUND(SUM(SUM(VLOOKUP(C7,'Raw - SLDR'!A:Q,16,FALSE)*VLOOKUP(C7,'Raw - SLDR'!A:Q,15,FALSE))/100),100)),IF($K$5="United Kingdom",SUM(MROUND(SUM(SUM(VLOOKUP(C$21,'Raw - SLDR'!A:Q,16,FALSE)*VLOOKUP(C7,'Raw - SLDR'!A:Q,15,FALSE))/100),100)-MROUND(SUM(SUM(VLOOKUP(C7,'Raw - SLDR'!A:Q,16,FALSE)*VLOOKUP(C7,'Raw - SLDR'!A:Q,15,FALSE))/100),100)),SUM(MROUND(SUM(SUM(VLOOKUP(C$17,'Raw - SLDR'!A:Q,16,FALSE)*VLOOKUP(C7,'Raw - SLDR'!A:Q,15,FALSE))/100),100)-MROUND(SUM(SUM(VLOOKUP(C7,'Raw - SLDR'!A:Q,16,FALSE)*VLOOKUP(C7,'Raw - SLDR'!A:Q,15,FALSE))/100),100))))))))</f>
        <v>0</v>
      </c>
    </row>
    <row r="8" spans="2:12" s="137" customFormat="1" ht="19.5" customHeight="1">
      <c r="B8" s="216" t="s">
        <v>153</v>
      </c>
      <c r="C8" s="216" t="str">
        <f>IF(C$6="LGBF Family Group 1",Lookups!B29,IF(C$6="LGBF Family Group 2",Lookups!C29,IF(C$6="LGBF Family Group 3",Lookups!D29,Lookups!E29)))</f>
        <v>Dundee City</v>
      </c>
      <c r="D8" s="217">
        <f>IF(VLOOKUP($C8,'Raw - SLDR'!$A:$Q,4,FALSE)="","-",(VLOOKUP($C8,'Raw - SLDR'!$A:$Q,4,FALSE)))</f>
        <v>92.294520547945197</v>
      </c>
      <c r="E8" s="217">
        <f>IF(VLOOKUP($C8,'Raw - SLDR'!$A:$Q,8,FALSE)="","-",(VLOOKUP($C8,'Raw - SLDR'!$A:$Q,8,FALSE)))</f>
        <v>93.627450980392155</v>
      </c>
      <c r="F8" s="217">
        <f>IF(VLOOKUP($C8,'Raw - SLDR'!$A:$Q,12,FALSE)="","-",(VLOOKUP($C8,'Raw - SLDR'!$A:$Q,12,FALSE)))</f>
        <v>93.902439024390233</v>
      </c>
      <c r="G8" s="217">
        <f>IF(VLOOKUP($C8,'Raw - SLDR'!$A:$Q,16,FALSE)="","-",(VLOOKUP($C8,'Raw - SLDR'!$A:$Q,16,FALSE)))</f>
        <v>95.558639833448993</v>
      </c>
      <c r="H8" s="218">
        <f>IF(VLOOKUP($C8,'Raw - SLDR'!$A:$Q,14,FALSE)="","-",(VLOOKUP($C8,'Raw - SLDR'!$A:$Q,14,FALSE)))</f>
        <v>1441</v>
      </c>
      <c r="I8" s="219">
        <f t="shared" ref="I8:I14" si="0">IFERROR(IF(G8="-","-",SUM(G8-D8)),"-")</f>
        <v>3.2641192855037957</v>
      </c>
      <c r="J8" s="220">
        <f>IFERROR(IF(G8="-","-",SUM(VLOOKUP(C8,'Raw - SLDR'!A:Q,14,FALSE)-VLOOKUP(C8,'Raw - SLDR'!A:Q,2,FALSE))),"-")</f>
        <v>273</v>
      </c>
      <c r="K8" s="221">
        <f t="shared" ref="K8:K14" si="1">IF(G8="-","-",IF(IF($K$5="City Region Comparator",SUM(G$19-G8),IF($K$5="LGBF Family Group Average",SUM(G$18-G8),IF($K$5="Scotland",SUM(G$20-G8),IF($K$5="United Kingdom",SUM(G$21-G8),SUM(G$17-G8)))))&lt;=0,"",IF($K$5="City Region Comparator",SUM(G$19-G8),IF($K$5="LGBF Family Group Average",SUM(G$18-G8),IF($K$5="Scotland",SUM(G$20-G8),IF($K$5="United Kingdom",SUM(G$21-G8),SUM(G$17-G8)))))))</f>
        <v>3.1848930564253664</v>
      </c>
      <c r="L8" s="222">
        <f>IF(G8="-","-",IF(K8=""," ",IF($K$5="LGBF Family Group Average",SUM(MROUND(SUM(SUM(VLOOKUP(C$18,'Raw - SLDR'!A:Q,16,FALSE)*VLOOKUP(C8,'Raw - SLDR'!A:Q,15,FALSE))/100),100)-MROUND(SUM(SUM(VLOOKUP(C8,'Raw - SLDR'!A:Q,16,FALSE)*VLOOKUP(C8,'Raw - SLDR'!A:Q,15,FALSE))/100),100)),IF($K$5="City Region Comparator",SUM(MROUND(SUM(SUM(VLOOKUP(C$19,'Raw - SLDR'!A:Q,16,FALSE)*VLOOKUP(C8,'Raw - SLDR'!A:Q,15,FALSE))/100),100)-MROUND(SUM(SUM(VLOOKUP(C8,'Raw - SLDR'!A:Q,16,FALSE)*VLOOKUP(C8,'Raw - SLDR'!A:Q,15,FALSE))/100),100)),IF($K$5="Scotland",SUM(MROUND(SUM(SUM(VLOOKUP(C$20,'Raw - SLDR'!A:Q,16,FALSE)*VLOOKUP(C8,'Raw - SLDR'!A:Q,15,FALSE))/100),100)-MROUND(SUM(SUM(VLOOKUP(C8,'Raw - SLDR'!A:Q,16,FALSE)*VLOOKUP(C8,'Raw - SLDR'!A:Q,15,FALSE))/100),100)),IF($K$5="United Kingdom",SUM(MROUND(SUM(SUM(VLOOKUP(C$21,'Raw - SLDR'!A:Q,16,FALSE)*VLOOKUP(C8,'Raw - SLDR'!A:Q,15,FALSE))/100),100)-MROUND(SUM(SUM(VLOOKUP(C8,'Raw - SLDR'!A:Q,16,FALSE)*VLOOKUP(C8,'Raw - SLDR'!A:Q,15,FALSE))/100),100)),SUM(MROUND(SUM(SUM(VLOOKUP(C$17,'Raw - SLDR'!A:Q,16,FALSE)*VLOOKUP(C8,'Raw - SLDR'!A:Q,15,FALSE))/100),100)-MROUND(SUM(SUM(VLOOKUP(C8,'Raw - SLDR'!A:Q,16,FALSE)*VLOOKUP(C8,'Raw - SLDR'!A:Q,15,FALSE))/100),100))))))))</f>
        <v>100</v>
      </c>
    </row>
    <row r="9" spans="2:12" s="137" customFormat="1" ht="19.5" customHeight="1">
      <c r="B9" s="216" t="s">
        <v>153</v>
      </c>
      <c r="C9" s="216" t="str">
        <f>IF(C$6="LGBF Family Group 1",Lookups!B30,IF(C$6="LGBF Family Group 2",Lookups!C30,IF(C$6="LGBF Family Group 3",Lookups!D30,Lookups!E30)))</f>
        <v>East Ayrshire</v>
      </c>
      <c r="D9" s="217">
        <f>IF(VLOOKUP($C9,'Raw - SLDR'!$A:$Q,4,FALSE)="","-",(VLOOKUP($C9,'Raw - SLDR'!$A:$Q,4,FALSE)))</f>
        <v>94.78798586572438</v>
      </c>
      <c r="E9" s="217">
        <f>IF(VLOOKUP($C9,'Raw - SLDR'!$A:$Q,8,FALSE)="","-",(VLOOKUP($C9,'Raw - SLDR'!$A:$Q,8,FALSE)))</f>
        <v>95.69536423841059</v>
      </c>
      <c r="F9" s="217">
        <f>IF(VLOOKUP($C9,'Raw - SLDR'!$A:$Q,12,FALSE)="","-",(VLOOKUP($C9,'Raw - SLDR'!$A:$Q,12,FALSE)))</f>
        <v>96.850998463901689</v>
      </c>
      <c r="G9" s="217">
        <f>IF(VLOOKUP($C9,'Raw - SLDR'!$A:$Q,16,FALSE)="","-",(VLOOKUP($C9,'Raw - SLDR'!$A:$Q,16,FALSE)))</f>
        <v>95.09954058192956</v>
      </c>
      <c r="H9" s="218">
        <f>IF(VLOOKUP($C9,'Raw - SLDR'!$A:$Q,14,FALSE)="","-",(VLOOKUP($C9,'Raw - SLDR'!$A:$Q,14,FALSE)))</f>
        <v>1306</v>
      </c>
      <c r="I9" s="219">
        <f t="shared" si="0"/>
        <v>0.31155471620517972</v>
      </c>
      <c r="J9" s="220">
        <f>IFERROR(IF(G9="-","-",SUM(VLOOKUP(C9,'Raw - SLDR'!A:Q,14,FALSE)-VLOOKUP(C9,'Raw - SLDR'!A:Q,2,FALSE))),"-")</f>
        <v>174</v>
      </c>
      <c r="K9" s="221">
        <f t="shared" si="1"/>
        <v>3.6439923079447993</v>
      </c>
      <c r="L9" s="222">
        <f>IF(G9="-","-",IF(K9=""," ",IF($K$5="LGBF Family Group Average",SUM(MROUND(SUM(SUM(VLOOKUP(C$18,'Raw - SLDR'!A:Q,16,FALSE)*VLOOKUP(C9,'Raw - SLDR'!A:Q,15,FALSE))/100),100)-MROUND(SUM(SUM(VLOOKUP(C9,'Raw - SLDR'!A:Q,16,FALSE)*VLOOKUP(C9,'Raw - SLDR'!A:Q,15,FALSE))/100),100)),IF($K$5="City Region Comparator",SUM(MROUND(SUM(SUM(VLOOKUP(C$19,'Raw - SLDR'!A:Q,16,FALSE)*VLOOKUP(C9,'Raw - SLDR'!A:Q,15,FALSE))/100),100)-MROUND(SUM(SUM(VLOOKUP(C9,'Raw - SLDR'!A:Q,16,FALSE)*VLOOKUP(C9,'Raw - SLDR'!A:Q,15,FALSE))/100),100)),IF($K$5="Scotland",SUM(MROUND(SUM(SUM(VLOOKUP(C$20,'Raw - SLDR'!A:Q,16,FALSE)*VLOOKUP(C9,'Raw - SLDR'!A:Q,15,FALSE))/100),100)-MROUND(SUM(SUM(VLOOKUP(C9,'Raw - SLDR'!A:Q,16,FALSE)*VLOOKUP(C9,'Raw - SLDR'!A:Q,15,FALSE))/100),100)),IF($K$5="United Kingdom",SUM(MROUND(SUM(SUM(VLOOKUP(C$21,'Raw - SLDR'!A:Q,16,FALSE)*VLOOKUP(C9,'Raw - SLDR'!A:Q,15,FALSE))/100),100)-MROUND(SUM(SUM(VLOOKUP(C9,'Raw - SLDR'!A:Q,16,FALSE)*VLOOKUP(C9,'Raw - SLDR'!A:Q,15,FALSE))/100),100)),SUM(MROUND(SUM(SUM(VLOOKUP(C$17,'Raw - SLDR'!A:Q,16,FALSE)*VLOOKUP(C9,'Raw - SLDR'!A:Q,15,FALSE))/100),100)-MROUND(SUM(SUM(VLOOKUP(C9,'Raw - SLDR'!A:Q,16,FALSE)*VLOOKUP(C9,'Raw - SLDR'!A:Q,15,FALSE))/100),100))))))))</f>
        <v>100</v>
      </c>
    </row>
    <row r="10" spans="2:12" s="137" customFormat="1" ht="19.5" customHeight="1">
      <c r="B10" s="216" t="s">
        <v>153</v>
      </c>
      <c r="C10" s="216" t="str">
        <f>IF(C$6="LGBF Family Group 1",Lookups!B31,IF(C$6="LGBF Family Group 2",Lookups!C31,IF(C$6="LGBF Family Group 3",Lookups!D31,Lookups!E31)))</f>
        <v>North Ayrshire</v>
      </c>
      <c r="D10" s="217">
        <f>IF(VLOOKUP($C10,'Raw - SLDR'!$A:$Q,4,FALSE)="","-",(VLOOKUP($C10,'Raw - SLDR'!$A:$Q,4,FALSE)))</f>
        <v>92.448330683624803</v>
      </c>
      <c r="E10" s="217">
        <f>IF(VLOOKUP($C10,'Raw - SLDR'!$A:$Q,8,FALSE)="","-",(VLOOKUP($C10,'Raw - SLDR'!$A:$Q,8,FALSE)))</f>
        <v>95.199999999999989</v>
      </c>
      <c r="F10" s="217">
        <f>IF(VLOOKUP($C10,'Raw - SLDR'!$A:$Q,12,FALSE)="","-",(VLOOKUP($C10,'Raw - SLDR'!$A:$Q,12,FALSE)))</f>
        <v>95.986842105263165</v>
      </c>
      <c r="G10" s="217">
        <f>IF(VLOOKUP($C10,'Raw - SLDR'!$A:$Q,16,FALSE)="","-",(VLOOKUP($C10,'Raw - SLDR'!$A:$Q,16,FALSE)))</f>
        <v>96.525885558583099</v>
      </c>
      <c r="H10" s="218">
        <f>IF(VLOOKUP($C10,'Raw - SLDR'!$A:$Q,14,FALSE)="","-",(VLOOKUP($C10,'Raw - SLDR'!$A:$Q,14,FALSE)))</f>
        <v>1468</v>
      </c>
      <c r="I10" s="219">
        <f t="shared" si="0"/>
        <v>4.0775548749582953</v>
      </c>
      <c r="J10" s="220">
        <f>IFERROR(IF(G10="-","-",SUM(VLOOKUP(C10,'Raw - SLDR'!A:Q,14,FALSE)-VLOOKUP(C10,'Raw - SLDR'!A:Q,2,FALSE))),"-")</f>
        <v>210</v>
      </c>
      <c r="K10" s="221">
        <f t="shared" si="1"/>
        <v>2.2176473312912606</v>
      </c>
      <c r="L10" s="222">
        <f>IF(G10="-","-",IF(K10=""," ",IF($K$5="LGBF Family Group Average",SUM(MROUND(SUM(SUM(VLOOKUP(C$18,'Raw - SLDR'!A:Q,16,FALSE)*VLOOKUP(C10,'Raw - SLDR'!A:Q,15,FALSE))/100),100)-MROUND(SUM(SUM(VLOOKUP(C10,'Raw - SLDR'!A:Q,16,FALSE)*VLOOKUP(C10,'Raw - SLDR'!A:Q,15,FALSE))/100),100)),IF($K$5="City Region Comparator",SUM(MROUND(SUM(SUM(VLOOKUP(C$19,'Raw - SLDR'!A:Q,16,FALSE)*VLOOKUP(C10,'Raw - SLDR'!A:Q,15,FALSE))/100),100)-MROUND(SUM(SUM(VLOOKUP(C10,'Raw - SLDR'!A:Q,16,FALSE)*VLOOKUP(C10,'Raw - SLDR'!A:Q,15,FALSE))/100),100)),IF($K$5="Scotland",SUM(MROUND(SUM(SUM(VLOOKUP(C$20,'Raw - SLDR'!A:Q,16,FALSE)*VLOOKUP(C10,'Raw - SLDR'!A:Q,15,FALSE))/100),100)-MROUND(SUM(SUM(VLOOKUP(C10,'Raw - SLDR'!A:Q,16,FALSE)*VLOOKUP(C10,'Raw - SLDR'!A:Q,15,FALSE))/100),100)),IF($K$5="United Kingdom",SUM(MROUND(SUM(SUM(VLOOKUP(C$21,'Raw - SLDR'!A:Q,16,FALSE)*VLOOKUP(C10,'Raw - SLDR'!A:Q,15,FALSE))/100),100)-MROUND(SUM(SUM(VLOOKUP(C10,'Raw - SLDR'!A:Q,16,FALSE)*VLOOKUP(C10,'Raw - SLDR'!A:Q,15,FALSE))/100),100)),SUM(MROUND(SUM(SUM(VLOOKUP(C$17,'Raw - SLDR'!A:Q,16,FALSE)*VLOOKUP(C10,'Raw - SLDR'!A:Q,15,FALSE))/100),100)-MROUND(SUM(SUM(VLOOKUP(C10,'Raw - SLDR'!A:Q,16,FALSE)*VLOOKUP(C10,'Raw - SLDR'!A:Q,15,FALSE))/100),100))))))))</f>
        <v>0</v>
      </c>
    </row>
    <row r="11" spans="2:12" s="137" customFormat="1" ht="19.5" customHeight="1">
      <c r="B11" s="216" t="s">
        <v>153</v>
      </c>
      <c r="C11" s="216" t="str">
        <f>IF(C$6="LGBF Family Group 1",Lookups!B32,IF(C$6="LGBF Family Group 2",Lookups!C32,IF(C$6="LGBF Family Group 3",Lookups!D32,Lookups!E32)))</f>
        <v>North Lanarkshire</v>
      </c>
      <c r="D11" s="217">
        <f>IF(VLOOKUP($C11,'Raw - SLDR'!$A:$Q,4,FALSE)="","-",(VLOOKUP($C11,'Raw - SLDR'!$A:$Q,4,FALSE)))</f>
        <v>92.212389380530965</v>
      </c>
      <c r="E11" s="217">
        <f>IF(VLOOKUP($C11,'Raw - SLDR'!$A:$Q,8,FALSE)="","-",(VLOOKUP($C11,'Raw - SLDR'!$A:$Q,8,FALSE)))</f>
        <v>94.480519480519476</v>
      </c>
      <c r="F11" s="217">
        <f>IF(VLOOKUP($C11,'Raw - SLDR'!$A:$Q,12,FALSE)="","-",(VLOOKUP($C11,'Raw - SLDR'!$A:$Q,12,FALSE)))</f>
        <v>94.159836065573771</v>
      </c>
      <c r="G11" s="217">
        <f>IF(VLOOKUP($C11,'Raw - SLDR'!$A:$Q,16,FALSE)="","-",(VLOOKUP($C11,'Raw - SLDR'!$A:$Q,16,FALSE)))</f>
        <v>94.734215123533815</v>
      </c>
      <c r="H11" s="218">
        <f>IF(VLOOKUP($C11,'Raw - SLDR'!$A:$Q,14,FALSE)="","-",(VLOOKUP($C11,'Raw - SLDR'!$A:$Q,14,FALSE)))</f>
        <v>4007</v>
      </c>
      <c r="I11" s="219">
        <f t="shared" si="0"/>
        <v>2.5218257430028501</v>
      </c>
      <c r="J11" s="220">
        <f>IFERROR(IF(G11="-","-",SUM(VLOOKUP(C11,'Raw - SLDR'!A:Q,14,FALSE)-VLOOKUP(C11,'Raw - SLDR'!A:Q,2,FALSE))),"-")</f>
        <v>617</v>
      </c>
      <c r="K11" s="221">
        <f t="shared" si="1"/>
        <v>4.0093177663405442</v>
      </c>
      <c r="L11" s="222">
        <f>IF(G11="-","-",IF(K11=""," ",IF($K$5="LGBF Family Group Average",SUM(MROUND(SUM(SUM(VLOOKUP(C$18,'Raw - SLDR'!A:Q,16,FALSE)*VLOOKUP(C11,'Raw - SLDR'!A:Q,15,FALSE))/100),100)-MROUND(SUM(SUM(VLOOKUP(C11,'Raw - SLDR'!A:Q,16,FALSE)*VLOOKUP(C11,'Raw - SLDR'!A:Q,15,FALSE))/100),100)),IF($K$5="City Region Comparator",SUM(MROUND(SUM(SUM(VLOOKUP(C$19,'Raw - SLDR'!A:Q,16,FALSE)*VLOOKUP(C11,'Raw - SLDR'!A:Q,15,FALSE))/100),100)-MROUND(SUM(SUM(VLOOKUP(C11,'Raw - SLDR'!A:Q,16,FALSE)*VLOOKUP(C11,'Raw - SLDR'!A:Q,15,FALSE))/100),100)),IF($K$5="Scotland",SUM(MROUND(SUM(SUM(VLOOKUP(C$20,'Raw - SLDR'!A:Q,16,FALSE)*VLOOKUP(C11,'Raw - SLDR'!A:Q,15,FALSE))/100),100)-MROUND(SUM(SUM(VLOOKUP(C11,'Raw - SLDR'!A:Q,16,FALSE)*VLOOKUP(C11,'Raw - SLDR'!A:Q,15,FALSE))/100),100)),IF($K$5="United Kingdom",SUM(MROUND(SUM(SUM(VLOOKUP(C$21,'Raw - SLDR'!A:Q,16,FALSE)*VLOOKUP(C11,'Raw - SLDR'!A:Q,15,FALSE))/100),100)-MROUND(SUM(SUM(VLOOKUP(C11,'Raw - SLDR'!A:Q,16,FALSE)*VLOOKUP(C11,'Raw - SLDR'!A:Q,15,FALSE))/100),100)),SUM(MROUND(SUM(SUM(VLOOKUP(C$17,'Raw - SLDR'!A:Q,16,FALSE)*VLOOKUP(C11,'Raw - SLDR'!A:Q,15,FALSE))/100),100)-MROUND(SUM(SUM(VLOOKUP(C11,'Raw - SLDR'!A:Q,16,FALSE)*VLOOKUP(C11,'Raw - SLDR'!A:Q,15,FALSE))/100),100))))))))</f>
        <v>200</v>
      </c>
    </row>
    <row r="12" spans="2:12" s="137" customFormat="1" ht="19.5" customHeight="1">
      <c r="B12" s="216" t="s">
        <v>153</v>
      </c>
      <c r="C12" s="216" t="str">
        <f>IF(C$6="LGBF Family Group 1",Lookups!B33,IF(C$6="LGBF Family Group 2",Lookups!C33,IF(C$6="LGBF Family Group 3",Lookups!D33,Lookups!E33)))</f>
        <v>Inverclyde</v>
      </c>
      <c r="D12" s="217">
        <f>IF(VLOOKUP($C12,'Raw - SLDR'!$A:$Q,4,FALSE)="","-",(VLOOKUP($C12,'Raw - SLDR'!$A:$Q,4,FALSE)))</f>
        <v>93.038821954484604</v>
      </c>
      <c r="E12" s="217">
        <f>IF(VLOOKUP($C12,'Raw - SLDR'!$A:$Q,8,FALSE)="","-",(VLOOKUP($C12,'Raw - SLDR'!$A:$Q,8,FALSE)))</f>
        <v>95.399188092016246</v>
      </c>
      <c r="F12" s="217">
        <f>IF(VLOOKUP($C12,'Raw - SLDR'!$A:$Q,12,FALSE)="","-",(VLOOKUP($C12,'Raw - SLDR'!$A:$Q,12,FALSE)))</f>
        <v>94.011976047904184</v>
      </c>
      <c r="G12" s="217">
        <f>IF(VLOOKUP($C12,'Raw - SLDR'!$A:$Q,16,FALSE)="","-",(VLOOKUP($C12,'Raw - SLDR'!$A:$Q,16,FALSE)))</f>
        <v>96.40198511166254</v>
      </c>
      <c r="H12" s="218">
        <f>IF(VLOOKUP($C12,'Raw - SLDR'!$A:$Q,14,FALSE)="","-",(VLOOKUP($C12,'Raw - SLDR'!$A:$Q,14,FALSE)))</f>
        <v>806</v>
      </c>
      <c r="I12" s="219">
        <f t="shared" si="0"/>
        <v>3.3631631571779366</v>
      </c>
      <c r="J12" s="220">
        <f>IFERROR(IF(G12="-","-",SUM(VLOOKUP(C12,'Raw - SLDR'!A:Q,14,FALSE)-VLOOKUP(C12,'Raw - SLDR'!A:Q,2,FALSE))),"-")</f>
        <v>59</v>
      </c>
      <c r="K12" s="221">
        <f t="shared" si="1"/>
        <v>2.3415477782118188</v>
      </c>
      <c r="L12" s="222">
        <f>IF(G12="-","-",IF(K12=""," ",IF($K$5="LGBF Family Group Average",SUM(MROUND(SUM(SUM(VLOOKUP(C$18,'Raw - SLDR'!A:Q,16,FALSE)*VLOOKUP(C12,'Raw - SLDR'!A:Q,15,FALSE))/100),100)-MROUND(SUM(SUM(VLOOKUP(C12,'Raw - SLDR'!A:Q,16,FALSE)*VLOOKUP(C12,'Raw - SLDR'!A:Q,15,FALSE))/100),100)),IF($K$5="City Region Comparator",SUM(MROUND(SUM(SUM(VLOOKUP(C$19,'Raw - SLDR'!A:Q,16,FALSE)*VLOOKUP(C12,'Raw - SLDR'!A:Q,15,FALSE))/100),100)-MROUND(SUM(SUM(VLOOKUP(C12,'Raw - SLDR'!A:Q,16,FALSE)*VLOOKUP(C12,'Raw - SLDR'!A:Q,15,FALSE))/100),100)),IF($K$5="Scotland",SUM(MROUND(SUM(SUM(VLOOKUP(C$20,'Raw - SLDR'!A:Q,16,FALSE)*VLOOKUP(C12,'Raw - SLDR'!A:Q,15,FALSE))/100),100)-MROUND(SUM(SUM(VLOOKUP(C12,'Raw - SLDR'!A:Q,16,FALSE)*VLOOKUP(C12,'Raw - SLDR'!A:Q,15,FALSE))/100),100)),IF($K$5="United Kingdom",SUM(MROUND(SUM(SUM(VLOOKUP(C$21,'Raw - SLDR'!A:Q,16,FALSE)*VLOOKUP(C12,'Raw - SLDR'!A:Q,15,FALSE))/100),100)-MROUND(SUM(SUM(VLOOKUP(C12,'Raw - SLDR'!A:Q,16,FALSE)*VLOOKUP(C12,'Raw - SLDR'!A:Q,15,FALSE))/100),100)),SUM(MROUND(SUM(SUM(VLOOKUP(C$17,'Raw - SLDR'!A:Q,16,FALSE)*VLOOKUP(C12,'Raw - SLDR'!A:Q,15,FALSE))/100),100)-MROUND(SUM(SUM(VLOOKUP(C12,'Raw - SLDR'!A:Q,16,FALSE)*VLOOKUP(C12,'Raw - SLDR'!A:Q,15,FALSE))/100),100))))))))</f>
        <v>0</v>
      </c>
    </row>
    <row r="13" spans="2:12" s="137" customFormat="1" ht="19.5" customHeight="1">
      <c r="B13" s="216" t="s">
        <v>153</v>
      </c>
      <c r="C13" s="216" t="str">
        <f>IF(C$6="LGBF Family Group 1",Lookups!B34,IF(C$6="LGBF Family Group 2",Lookups!C34,IF(C$6="LGBF Family Group 3",Lookups!D34,Lookups!E34)))</f>
        <v>West Dunbartonshire</v>
      </c>
      <c r="D13" s="217">
        <f>IF(VLOOKUP($C13,'Raw - SLDR'!$A:$Q,4,FALSE)="","-",(VLOOKUP($C13,'Raw - SLDR'!$A:$Q,4,FALSE)))</f>
        <v>89.65517241379311</v>
      </c>
      <c r="E13" s="217">
        <f>IF(VLOOKUP($C13,'Raw - SLDR'!$A:$Q,8,FALSE)="","-",(VLOOKUP($C13,'Raw - SLDR'!$A:$Q,8,FALSE)))</f>
        <v>90.989010989010993</v>
      </c>
      <c r="F13" s="217">
        <f>IF(VLOOKUP($C13,'Raw - SLDR'!$A:$Q,12,FALSE)="","-",(VLOOKUP($C13,'Raw - SLDR'!$A:$Q,12,FALSE)))</f>
        <v>95.107033639143737</v>
      </c>
      <c r="G13" s="217">
        <f>IF(VLOOKUP($C13,'Raw - SLDR'!$A:$Q,16,FALSE)="","-",(VLOOKUP($C13,'Raw - SLDR'!$A:$Q,16,FALSE)))</f>
        <v>95.346534653465341</v>
      </c>
      <c r="H13" s="218">
        <f>IF(VLOOKUP($C13,'Raw - SLDR'!$A:$Q,14,FALSE)="","-",(VLOOKUP($C13,'Raw - SLDR'!$A:$Q,14,FALSE)))</f>
        <v>1010</v>
      </c>
      <c r="I13" s="219">
        <f t="shared" si="0"/>
        <v>5.6913622396722303</v>
      </c>
      <c r="J13" s="220">
        <f>IFERROR(IF(G13="-","-",SUM(VLOOKUP(C13,'Raw - SLDR'!A:Q,14,FALSE)-VLOOKUP(C13,'Raw - SLDR'!A:Q,2,FALSE))),"-")</f>
        <v>140</v>
      </c>
      <c r="K13" s="221">
        <f t="shared" si="1"/>
        <v>3.3969982364090185</v>
      </c>
      <c r="L13" s="222">
        <f>IF(G13="-","-",IF(K13=""," ",IF($K$5="LGBF Family Group Average",SUM(MROUND(SUM(SUM(VLOOKUP(C$18,'Raw - SLDR'!A:Q,16,FALSE)*VLOOKUP(C13,'Raw - SLDR'!A:Q,15,FALSE))/100),100)-MROUND(SUM(SUM(VLOOKUP(C13,'Raw - SLDR'!A:Q,16,FALSE)*VLOOKUP(C13,'Raw - SLDR'!A:Q,15,FALSE))/100),100)),IF($K$5="City Region Comparator",SUM(MROUND(SUM(SUM(VLOOKUP(C$19,'Raw - SLDR'!A:Q,16,FALSE)*VLOOKUP(C13,'Raw - SLDR'!A:Q,15,FALSE))/100),100)-MROUND(SUM(SUM(VLOOKUP(C13,'Raw - SLDR'!A:Q,16,FALSE)*VLOOKUP(C13,'Raw - SLDR'!A:Q,15,FALSE))/100),100)),IF($K$5="Scotland",SUM(MROUND(SUM(SUM(VLOOKUP(C$20,'Raw - SLDR'!A:Q,16,FALSE)*VLOOKUP(C13,'Raw - SLDR'!A:Q,15,FALSE))/100),100)-MROUND(SUM(SUM(VLOOKUP(C13,'Raw - SLDR'!A:Q,16,FALSE)*VLOOKUP(C13,'Raw - SLDR'!A:Q,15,FALSE))/100),100)),IF($K$5="United Kingdom",SUM(MROUND(SUM(SUM(VLOOKUP(C$21,'Raw - SLDR'!A:Q,16,FALSE)*VLOOKUP(C13,'Raw - SLDR'!A:Q,15,FALSE))/100),100)-MROUND(SUM(SUM(VLOOKUP(C13,'Raw - SLDR'!A:Q,16,FALSE)*VLOOKUP(C13,'Raw - SLDR'!A:Q,15,FALSE))/100),100)),SUM(MROUND(SUM(SUM(VLOOKUP(C$17,'Raw - SLDR'!A:Q,16,FALSE)*VLOOKUP(C13,'Raw - SLDR'!A:Q,15,FALSE))/100),100)-MROUND(SUM(SUM(VLOOKUP(C13,'Raw - SLDR'!A:Q,16,FALSE)*VLOOKUP(C13,'Raw - SLDR'!A:Q,15,FALSE))/100),100))))))))</f>
        <v>0</v>
      </c>
    </row>
    <row r="14" spans="2:12" s="137" customFormat="1" ht="19.5" customHeight="1">
      <c r="B14" s="216" t="s">
        <v>153</v>
      </c>
      <c r="C14" s="216" t="str">
        <f>IF(C$6="LGBF Family Group 1",Lookups!B35,IF(C$6="LGBF Family Group 2",Lookups!C35,IF(C$6="LGBF Family Group 3",Lookups!D35,Lookups!E35)))</f>
        <v>Glasgow City</v>
      </c>
      <c r="D14" s="217">
        <f>IF(VLOOKUP($C14,'Raw - SLDR'!$A:$Q,4,FALSE)="","-",(VLOOKUP($C14,'Raw - SLDR'!$A:$Q,4,FALSE)))</f>
        <v>92.785896543725357</v>
      </c>
      <c r="E14" s="217">
        <f>IF(VLOOKUP($C14,'Raw - SLDR'!$A:$Q,8,FALSE)="","-",(VLOOKUP($C14,'Raw - SLDR'!$A:$Q,8,FALSE)))</f>
        <v>96.221057230231537</v>
      </c>
      <c r="F14" s="217">
        <f>IF(VLOOKUP($C14,'Raw - SLDR'!$A:$Q,12,FALSE)="","-",(VLOOKUP($C14,'Raw - SLDR'!$A:$Q,12,FALSE)))</f>
        <v>97.051153460381144</v>
      </c>
      <c r="G14" s="217">
        <f>IF(VLOOKUP($C14,'Raw - SLDR'!$A:$Q,16,FALSE)="","-",(VLOOKUP($C14,'Raw - SLDR'!$A:$Q,16,FALSE)))</f>
        <v>97.723187537447572</v>
      </c>
      <c r="H14" s="218">
        <f>IF(VLOOKUP($C14,'Raw - SLDR'!$A:$Q,14,FALSE)="","-",(VLOOKUP($C14,'Raw - SLDR'!$A:$Q,14,FALSE)))</f>
        <v>5007</v>
      </c>
      <c r="I14" s="219">
        <f t="shared" si="0"/>
        <v>4.9372909937222147</v>
      </c>
      <c r="J14" s="220">
        <f>IFERROR(IF(G14="-","-",SUM(VLOOKUP(C14,'Raw - SLDR'!A:Q,14,FALSE)-VLOOKUP(C14,'Raw - SLDR'!A:Q,2,FALSE))),"-")</f>
        <v>696</v>
      </c>
      <c r="K14" s="221">
        <f t="shared" si="1"/>
        <v>1.0203453524267871</v>
      </c>
      <c r="L14" s="222">
        <f>IF(G14="-","-",IF(K14=""," ",IF($K$5="LGBF Family Group Average",SUM(MROUND(SUM(SUM(VLOOKUP(C$18,'Raw - SLDR'!A:Q,16,FALSE)*VLOOKUP(C14,'Raw - SLDR'!A:Q,15,FALSE))/100),100)-MROUND(SUM(SUM(VLOOKUP(C14,'Raw - SLDR'!A:Q,16,FALSE)*VLOOKUP(C14,'Raw - SLDR'!A:Q,15,FALSE))/100),100)),IF($K$5="City Region Comparator",SUM(MROUND(SUM(SUM(VLOOKUP(C$19,'Raw - SLDR'!A:Q,16,FALSE)*VLOOKUP(C14,'Raw - SLDR'!A:Q,15,FALSE))/100),100)-MROUND(SUM(SUM(VLOOKUP(C14,'Raw - SLDR'!A:Q,16,FALSE)*VLOOKUP(C14,'Raw - SLDR'!A:Q,15,FALSE))/100),100)),IF($K$5="Scotland",SUM(MROUND(SUM(SUM(VLOOKUP(C$20,'Raw - SLDR'!A:Q,16,FALSE)*VLOOKUP(C14,'Raw - SLDR'!A:Q,15,FALSE))/100),100)-MROUND(SUM(SUM(VLOOKUP(C14,'Raw - SLDR'!A:Q,16,FALSE)*VLOOKUP(C14,'Raw - SLDR'!A:Q,15,FALSE))/100),100)),IF($K$5="United Kingdom",SUM(MROUND(SUM(SUM(VLOOKUP(C$21,'Raw - SLDR'!A:Q,16,FALSE)*VLOOKUP(C14,'Raw - SLDR'!A:Q,15,FALSE))/100),100)-MROUND(SUM(SUM(VLOOKUP(C14,'Raw - SLDR'!A:Q,16,FALSE)*VLOOKUP(C14,'Raw - SLDR'!A:Q,15,FALSE))/100),100)),SUM(MROUND(SUM(SUM(VLOOKUP(C$17,'Raw - SLDR'!A:Q,16,FALSE)*VLOOKUP(C14,'Raw - SLDR'!A:Q,15,FALSE))/100),100)-MROUND(SUM(SUM(VLOOKUP(C14,'Raw - SLDR'!A:Q,16,FALSE)*VLOOKUP(C14,'Raw - SLDR'!A:Q,15,FALSE))/100),100))))))))</f>
        <v>100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SLDR'!$A$9:$A$40,MATCH(MAX('Raw - SLDR'!P9:P40),'Raw - SLDR'!P9:P40,0))</f>
        <v>East Renfrewshire</v>
      </c>
      <c r="D17" s="217">
        <f>VLOOKUP($C17,'Raw - SLDR'!$A:$Q,4,FALSE)</f>
        <v>96.233666410453495</v>
      </c>
      <c r="E17" s="217">
        <f>VLOOKUP($C17,'Raw - SLDR'!$A:$Q,8,FALSE)</f>
        <v>97.396963123644255</v>
      </c>
      <c r="F17" s="217">
        <f>VLOOKUP($C17,'Raw - SLDR'!$A:$Q,12,FALSE)</f>
        <v>98.461538461538467</v>
      </c>
      <c r="G17" s="217">
        <f>VLOOKUP($C17,'Raw - SLDR'!$A:$Q,16,FALSE)</f>
        <v>98.743532889874359</v>
      </c>
      <c r="H17" s="218">
        <f>VLOOKUP(C17,'Raw - SLDR'!A:Q,14,FALSE)</f>
        <v>1353</v>
      </c>
      <c r="I17" s="219">
        <f>SUM(G17-D17)</f>
        <v>2.5098664794208645</v>
      </c>
      <c r="J17" s="220">
        <f>SUM(VLOOKUP(C17,'Raw - SLDR'!A:Q,14,FALSE)-VLOOKUP(C17,'Raw - SLDR'!A:Q,2,FALSE))</f>
        <v>52</v>
      </c>
    </row>
    <row r="18" spans="2:12" s="137" customFormat="1" ht="19.5" customHeight="1">
      <c r="B18" s="226" t="s">
        <v>271</v>
      </c>
      <c r="C18" s="227" t="s">
        <v>246</v>
      </c>
      <c r="D18" s="217">
        <f>VLOOKUP($C18,'Raw - SLDR'!$A:$Q,4,FALSE)</f>
        <v>93.397315680061652</v>
      </c>
      <c r="E18" s="217">
        <f>VLOOKUP($C18,'Raw - SLDR'!$A:$Q,8,FALSE)</f>
        <v>95.229106344444403</v>
      </c>
      <c r="F18" s="217">
        <f>VLOOKUP($C18,'Raw - SLDR'!$A:$Q,12,FALSE)</f>
        <v>95.806203820384155</v>
      </c>
      <c r="G18" s="217">
        <f>VLOOKUP($C18,'Raw - SLDR'!$A:$Q,16,FALSE)</f>
        <v>95.762948012986058</v>
      </c>
      <c r="H18" s="218">
        <f>VLOOKUP(C18,'Raw - SLDR'!A:Q,14,FALSE)</f>
        <v>9357</v>
      </c>
      <c r="I18" s="219">
        <f>SUM(G18-D18)</f>
        <v>2.365632332924406</v>
      </c>
      <c r="J18" s="220">
        <f>SUM(VLOOKUP(C18,'Raw - SLDR'!A:Q,14,FALSE)-VLOOKUP(C18,'Raw - SLDR'!A:Q,2,FALSE))</f>
        <v>949</v>
      </c>
    </row>
    <row r="19" spans="2:12" s="137" customFormat="1" ht="19.5" customHeight="1">
      <c r="B19" s="226" t="s">
        <v>270</v>
      </c>
      <c r="C19" s="216" t="s">
        <v>156</v>
      </c>
      <c r="D19" s="217">
        <f>VLOOKUP($C19,'Raw - SLDR'!$A:$Q,4,FALSE)</f>
        <v>93.050057188643208</v>
      </c>
      <c r="E19" s="217">
        <f>VLOOKUP($C19,'Raw - SLDR'!$A:$Q,8,FALSE)</f>
        <v>95.9077890708799</v>
      </c>
      <c r="F19" s="217">
        <f>VLOOKUP($C19,'Raw - SLDR'!$A:$Q,12,FALSE)</f>
        <v>95.52526965940524</v>
      </c>
      <c r="G19" s="217">
        <f>VLOOKUP($C19,'Raw - SLDR'!$A:$Q,16,FALSE)</f>
        <v>94.8181750399865</v>
      </c>
      <c r="H19" s="218">
        <f>VLOOKUP(C19,'Raw - SLDR'!A:Q,14,FALSE)</f>
        <v>4641</v>
      </c>
      <c r="I19" s="219">
        <f>SUM(G19-D19)</f>
        <v>1.7681178513432911</v>
      </c>
      <c r="J19" s="220">
        <f>SUM(VLOOKUP(C19,'Raw - SLDR'!A:Q,14,FALSE)-VLOOKUP(C19,'Raw - SLDR'!A:Q,2,FALSE))</f>
        <v>656</v>
      </c>
    </row>
    <row r="20" spans="2:12" s="137" customFormat="1" ht="19.5" customHeight="1">
      <c r="B20" s="226" t="s">
        <v>164</v>
      </c>
      <c r="C20" s="216" t="s">
        <v>46</v>
      </c>
      <c r="D20" s="217">
        <f>VLOOKUP($C20,'Raw - SLDR'!$A:$Q,4,FALSE)</f>
        <v>93.343026931344042</v>
      </c>
      <c r="E20" s="217">
        <f>VLOOKUP($C20,'Raw - SLDR'!$A:$Q,8,FALSE)</f>
        <v>95.477476057226184</v>
      </c>
      <c r="F20" s="217">
        <f>VLOOKUP($C20,'Raw - SLDR'!$A:$Q,12,FALSE)</f>
        <v>95.73112225501022</v>
      </c>
      <c r="G20" s="217">
        <f>VLOOKUP($C20,'Raw - SLDR'!$A:$Q,16,FALSE)</f>
        <v>95.866138136382745</v>
      </c>
      <c r="H20" s="218">
        <f>VLOOKUP(C20,'Raw - SLDR'!A:Q,14,FALSE)</f>
        <v>54743</v>
      </c>
      <c r="I20" s="219">
        <f>SUM(G20-D20)</f>
        <v>2.5231112050387026</v>
      </c>
      <c r="J20" s="220">
        <f>SUM(VLOOKUP(C20,'Raw - SLDR'!A:Q,14,FALSE)-VLOOKUP(C20,'Raw - SLDR'!A:Q,2,FALSE))</f>
        <v>7289</v>
      </c>
    </row>
    <row r="21" spans="2:12" ht="19.5" customHeight="1">
      <c r="B21" s="188" t="s">
        <v>164</v>
      </c>
      <c r="C21" s="183" t="s">
        <v>47</v>
      </c>
      <c r="D21" s="184" t="s">
        <v>71</v>
      </c>
      <c r="E21" s="184" t="s">
        <v>71</v>
      </c>
      <c r="F21" s="184" t="s">
        <v>71</v>
      </c>
      <c r="G21" s="184" t="s">
        <v>71</v>
      </c>
      <c r="H21" s="185" t="s">
        <v>71</v>
      </c>
      <c r="I21" s="186" t="s">
        <v>71</v>
      </c>
      <c r="J21" s="187"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bcVr/fcFtCNpQQ0Kp2SuSCOwEThNkvzC7aXRQGP/3N8b0au5EAtJ14jt7SNZ/Tr0Owl4ZYVxV2mYS4cguuPswA==" saltValue="iQMSOjX3o5vlHR9CiopoSA==" spinCount="100000" sheet="1" sort="0"/>
  <mergeCells count="4">
    <mergeCell ref="K4:L4"/>
    <mergeCell ref="I5:J5"/>
    <mergeCell ref="K5:L5"/>
    <mergeCell ref="F2:G2"/>
  </mergeCells>
  <hyperlinks>
    <hyperlink ref="F2:G2" location="'Index RAG'!A1" display="Return to Index RAG" xr:uid="{00000000-0004-0000-0800-000001000000}"/>
    <hyperlink ref="C3" r:id="rId1" xr:uid="{00000000-0004-0000-0800-000000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CCA2515-3E4C-4990-B658-A5C5A83186F1}">
          <x14:formula1>
            <xm:f>Lookups!$B$27:$E$27</xm:f>
          </x14:formula1>
          <xm:sqref>C6</xm:sqref>
        </x14:dataValidation>
        <x14:dataValidation type="list" allowBlank="1" showInputMessage="1" showErrorMessage="1" xr:uid="{3DDE11B4-6992-40A4-AE68-3D93A902242B}">
          <x14:formula1>
            <xm:f>Lookups!$B$36:$E$36</xm:f>
          </x14:formula1>
          <xm:sqref>C18</xm:sqref>
        </x14:dataValidation>
        <x14:dataValidation type="list" allowBlank="1" showInputMessage="1" showErrorMessage="1" xr:uid="{99AD0096-AC79-4C5A-83D4-0FCD395F4C46}">
          <x14:formula1>
            <xm:f>Lookups!$B$9:$B$12</xm:f>
          </x14:formula1>
          <xm:sqref>K5:L5</xm:sqref>
        </x14:dataValidation>
        <x14:dataValidation type="list" allowBlank="1" showInputMessage="1" showErrorMessage="1" xr:uid="{19031A05-726D-43A1-8E93-9B8F35C63691}">
          <x14:formula1>
            <xm:f>Lookups!$Q$3:$Q$7</xm:f>
          </x14:formula1>
          <xm:sqref>C19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40A6-9B45-47D4-93F2-680B438A8436}">
  <sheetPr>
    <pageSetUpPr autoPageBreaks="0" fitToPage="1"/>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Participation Rate (16-19 Year Olds %) - LGBF Family Group 1</v>
      </c>
      <c r="D1" s="170" t="s">
        <v>290</v>
      </c>
    </row>
    <row r="2" spans="2:12" ht="12.75">
      <c r="B2" s="171" t="s">
        <v>49</v>
      </c>
      <c r="C2" s="172" t="s">
        <v>295</v>
      </c>
      <c r="F2" s="467" t="s">
        <v>216</v>
      </c>
      <c r="G2" s="468"/>
    </row>
    <row r="3" spans="2:12" ht="12.75">
      <c r="B3" s="171" t="s">
        <v>50</v>
      </c>
      <c r="C3" s="309" t="s">
        <v>293</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2021</v>
      </c>
      <c r="E6" s="181">
        <v>2022</v>
      </c>
      <c r="F6" s="181">
        <v>2023</v>
      </c>
      <c r="G6" s="181">
        <v>2024</v>
      </c>
      <c r="H6" s="181" t="s">
        <v>509</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East Renfrewshire</v>
      </c>
      <c r="D7" s="217">
        <f>IF(VLOOKUP($C7,'Raw - Participation Rate'!$A:$Q,4,FALSE)="","-",(VLOOKUP($C7,'Raw - Participation Rate'!$A:$Q,4,FALSE)))</f>
        <v>97.195543603534389</v>
      </c>
      <c r="E7" s="217">
        <f>IF(VLOOKUP($C7,'Raw - Participation Rate'!$A:$Q,8,FALSE)="","-",(VLOOKUP($C7,'Raw - Participation Rate'!$A:$Q,8,FALSE)))</f>
        <v>97.041306436119115</v>
      </c>
      <c r="F7" s="217">
        <f>IF(VLOOKUP($C7,'Raw - Participation Rate'!$A:$Q,12,FALSE)="","-",(VLOOKUP($C7,'Raw - Participation Rate'!$A:$Q,12,FALSE)))</f>
        <v>97.085330776605943</v>
      </c>
      <c r="G7" s="217">
        <f>IF(VLOOKUP($C7,'Raw - Participation Rate'!$A:$Q,16,FALSE)="","-",(VLOOKUP($C7,'Raw - Participation Rate'!$A:$Q,16,FALSE)))</f>
        <v>96.880871852686951</v>
      </c>
      <c r="H7" s="218">
        <f>IF(VLOOKUP($C7,'Raw - Participation Rate'!$A:$Q,14,FALSE)="","-",(VLOOKUP($C7,'Raw - Participation Rate'!$A:$Q,14,FALSE)))</f>
        <v>5156</v>
      </c>
      <c r="I7" s="219">
        <f>IFERROR(IF(G7="-","-",SUM(G7-D7)),"-")</f>
        <v>-0.31467175084743815</v>
      </c>
      <c r="J7" s="220">
        <f>IFERROR(IF(G7="-","-",SUM(VLOOKUP(C7,'Raw - Participation Rate'!A:Q,14,FALSE)-VLOOKUP(C7,'Raw - Participation Rate'!A:Q,2,FALSE))),"-")</f>
        <v>96</v>
      </c>
      <c r="K7" s="221">
        <f>IF(IF($K$5="City Region Comparator",SUM(G$19-G7),IF($K$5="LGBF Family Group Average",SUM(G$18-G7),IF($K$5="Scotland",SUM(G$20-G7),IF($K$5="United Kingdom",SUM(G$21-G7),SUM(G$17-G7)))))&lt;=0,"",IF($K$5="City Region Comparator",SUM(G$19-G7),IF($K$5="LGBF Family Group Average",SUM(G$18-G7),IF($K$5="Scotland",SUM(G$20-G7),IF($K$5="United Kingdom",SUM(G$21-G7),SUM(G$17-G7))))))</f>
        <v>0.89690592509082023</v>
      </c>
      <c r="L7" s="222">
        <f>IF(K7=""," ",IF($K$5="LGBF Family Group Average",SUM(MROUND(SUM(SUM(VLOOKUP(C$18,'Raw - Participation Rate'!A:Q,16,FALSE)*VLOOKUP(C7,'Raw - Participation Rate'!A:Q,15,FALSE))/100),100)-MROUND(SUM(SUM(VLOOKUP(C7,'Raw - Participation Rate'!A:Q,16,FALSE)*VLOOKUP(C7,'Raw - Participation Rate'!A:Q,15,FALSE))/100),100)),IF($K$5="City Region Comparator",SUM(MROUND(SUM(SUM(VLOOKUP(C$19,'Raw - Participation Rate'!A:Q,16,FALSE)*VLOOKUP(C7,'Raw - Participation Rate'!A:Q,15,FALSE))/100),100)-MROUND(SUM(SUM(VLOOKUP(C7,'Raw - Participation Rate'!A:Q,16,FALSE)*VLOOKUP(C7,'Raw - Participation Rate'!A:Q,15,FALSE))/100),100)),IF($K$5="Scotland",SUM(MROUND(SUM(SUM(VLOOKUP(C$20,'Raw - Participation Rate'!A:Q,16,FALSE)*VLOOKUP(C7,'Raw - Participation Rate'!A:Q,15,FALSE))/100),100)-MROUND(SUM(SUM(VLOOKUP(C7,'Raw - Participation Rate'!A:Q,16,FALSE)*VLOOKUP(C7,'Raw - Participation Rate'!A:Q,15,FALSE))/100),100)),IF($K$5="United Kingdom",SUM(MROUND(SUM(SUM(VLOOKUP(C$21,'Raw - Participation Rate'!A:Q,16,FALSE)*VLOOKUP(C7,'Raw - Participation Rate'!A:Q,15,FALSE))/100),100)-MROUND(SUM(SUM(VLOOKUP(C7,'Raw - Participation Rate'!A:Q,16,FALSE)*VLOOKUP(C7,'Raw - Participation Rate'!A:Q,15,FALSE))/100),100)),SUM(MROUND(SUM(SUM(VLOOKUP(C$17,'Raw - Participation Rate'!A:Q,16,FALSE)*VLOOKUP(C7,'Raw - Participation Rate'!A:Q,15,FALSE))/100),100)-MROUND(SUM(SUM(VLOOKUP(C7,'Raw - Participation Rate'!A:Q,16,FALSE)*VLOOKUP(C7,'Raw - Participation Rate'!A:Q,15,FALSE))/100),100)))))))</f>
        <v>0</v>
      </c>
    </row>
    <row r="8" spans="2:12" s="137" customFormat="1" ht="19.5" customHeight="1">
      <c r="B8" s="216" t="s">
        <v>153</v>
      </c>
      <c r="C8" s="216" t="str">
        <f>IF(C$6="LGBF Family Group 1",Lookups!B29,IF(C$6="LGBF Family Group 2",Lookups!C29,IF(C$6="LGBF Family Group 3",Lookups!D29,Lookups!E29)))</f>
        <v>East Dunbartonshire</v>
      </c>
      <c r="D8" s="217">
        <f>IF(VLOOKUP($C8,'Raw - Participation Rate'!$A:$Q,4,FALSE)="","-",(VLOOKUP($C8,'Raw - Participation Rate'!$A:$Q,4,FALSE)))</f>
        <v>96.657491152182459</v>
      </c>
      <c r="E8" s="217">
        <f>IF(VLOOKUP($C8,'Raw - Participation Rate'!$A:$Q,8,FALSE)="","-",(VLOOKUP($C8,'Raw - Participation Rate'!$A:$Q,8,FALSE)))</f>
        <v>96.820752876926079</v>
      </c>
      <c r="F8" s="217">
        <f>IF(VLOOKUP($C8,'Raw - Participation Rate'!$A:$Q,12,FALSE)="","-",(VLOOKUP($C8,'Raw - Participation Rate'!$A:$Q,12,FALSE)))</f>
        <v>96.578092142993683</v>
      </c>
      <c r="G8" s="217">
        <f>IF(VLOOKUP($C8,'Raw - Participation Rate'!$A:$Q,16,FALSE)="","-",(VLOOKUP($C8,'Raw - Participation Rate'!$A:$Q,16,FALSE)))</f>
        <v>96.147276523059404</v>
      </c>
      <c r="H8" s="218">
        <f>IF(VLOOKUP($C8,'Raw - Participation Rate'!$A:$Q,14,FALSE)="","-",(VLOOKUP($C8,'Raw - Participation Rate'!$A:$Q,14,FALSE)))</f>
        <v>5066</v>
      </c>
      <c r="I8" s="219">
        <f t="shared" ref="I8:I14" si="0">IFERROR(IF(G8="-","-",SUM(G8-D8)),"-")</f>
        <v>-0.51021462912305537</v>
      </c>
      <c r="J8" s="220">
        <f>IFERROR(IF(G8="-","-",SUM(VLOOKUP(C8,'Raw - Participation Rate'!A:Q,14,FALSE)-VLOOKUP(C8,'Raw - Participation Rate'!A:Q,2,FALSE))),"-")</f>
        <v>150</v>
      </c>
      <c r="K8" s="221">
        <f t="shared" ref="K8:K14" si="1">IF(IF($K$5="City Region Comparator",SUM(G$19-G8),IF($K$5="LGBF Family Group Average",SUM(G$18-G8),IF($K$5="Scotland",SUM(G$20-G8),IF($K$5="United Kingdom",SUM(G$21-G8),SUM(G$17-G8)))))&lt;=0,"",IF($K$5="City Region Comparator",SUM(G$19-G8),IF($K$5="LGBF Family Group Average",SUM(G$18-G8),IF($K$5="Scotland",SUM(G$20-G8),IF($K$5="United Kingdom",SUM(G$21-G8),SUM(G$17-G8))))))</f>
        <v>1.6305012547183679</v>
      </c>
      <c r="L8" s="222">
        <f>IF(K8=""," ",IF($K$5="LGBF Family Group Average",SUM(MROUND(SUM(SUM(VLOOKUP(C$18,'Raw - Participation Rate'!A:Q,16,FALSE)*VLOOKUP(C8,'Raw - Participation Rate'!A:Q,15,FALSE))/100),100)-MROUND(SUM(SUM(VLOOKUP(C8,'Raw - Participation Rate'!A:Q,16,FALSE)*VLOOKUP(C8,'Raw - Participation Rate'!A:Q,15,FALSE))/100),100)),IF($K$5="City Region Comparator",SUM(MROUND(SUM(SUM(VLOOKUP(C$19,'Raw - Participation Rate'!A:Q,16,FALSE)*VLOOKUP(C8,'Raw - Participation Rate'!A:Q,15,FALSE))/100),100)-MROUND(SUM(SUM(VLOOKUP(C8,'Raw - Participation Rate'!A:Q,16,FALSE)*VLOOKUP(C8,'Raw - Participation Rate'!A:Q,15,FALSE))/100),100)),IF($K$5="Scotland",SUM(MROUND(SUM(SUM(VLOOKUP(C$20,'Raw - Participation Rate'!A:Q,16,FALSE)*VLOOKUP(C8,'Raw - Participation Rate'!A:Q,15,FALSE))/100),100)-MROUND(SUM(SUM(VLOOKUP(C8,'Raw - Participation Rate'!A:Q,16,FALSE)*VLOOKUP(C8,'Raw - Participation Rate'!A:Q,15,FALSE))/100),100)),IF($K$5="United Kingdom",SUM(MROUND(SUM(SUM(VLOOKUP(C$21,'Raw - Participation Rate'!A:Q,16,FALSE)*VLOOKUP(C8,'Raw - Participation Rate'!A:Q,15,FALSE))/100),100)-MROUND(SUM(SUM(VLOOKUP(C8,'Raw - Participation Rate'!A:Q,16,FALSE)*VLOOKUP(C8,'Raw - Participation Rate'!A:Q,15,FALSE))/100),100)),SUM(MROUND(SUM(SUM(VLOOKUP(C$17,'Raw - Participation Rate'!A:Q,16,FALSE)*VLOOKUP(C8,'Raw - Participation Rate'!A:Q,15,FALSE))/100),100)-MROUND(SUM(SUM(VLOOKUP(C8,'Raw - Participation Rate'!A:Q,16,FALSE)*VLOOKUP(C8,'Raw - Participation Rate'!A:Q,15,FALSE))/100),100)))))))</f>
        <v>100</v>
      </c>
    </row>
    <row r="9" spans="2:12" s="137" customFormat="1" ht="19.5" customHeight="1">
      <c r="B9" s="216" t="s">
        <v>153</v>
      </c>
      <c r="C9" s="216" t="str">
        <f>IF(C$6="LGBF Family Group 1",Lookups!B30,IF(C$6="LGBF Family Group 2",Lookups!C30,IF(C$6="LGBF Family Group 3",Lookups!D30,Lookups!E30)))</f>
        <v>Aberdeenshire</v>
      </c>
      <c r="D9" s="217">
        <f>IF(VLOOKUP($C9,'Raw - Participation Rate'!$A:$Q,4,FALSE)="","-",(VLOOKUP($C9,'Raw - Participation Rate'!$A:$Q,4,FALSE)))</f>
        <v>92.213423831070898</v>
      </c>
      <c r="E9" s="217">
        <f>IF(VLOOKUP($C9,'Raw - Participation Rate'!$A:$Q,8,FALSE)="","-",(VLOOKUP($C9,'Raw - Participation Rate'!$A:$Q,8,FALSE)))</f>
        <v>93.126734505087882</v>
      </c>
      <c r="F9" s="217">
        <f>IF(VLOOKUP($C9,'Raw - Participation Rate'!$A:$Q,12,FALSE)="","-",(VLOOKUP($C9,'Raw - Participation Rate'!$A:$Q,12,FALSE)))</f>
        <v>92.710229341099378</v>
      </c>
      <c r="G9" s="217">
        <f>IF(VLOOKUP($C9,'Raw - Participation Rate'!$A:$Q,16,FALSE)="","-",(VLOOKUP($C9,'Raw - Participation Rate'!$A:$Q,16,FALSE)))</f>
        <v>91.821463156968036</v>
      </c>
      <c r="H9" s="218">
        <f>IF(VLOOKUP($C9,'Raw - Participation Rate'!$A:$Q,14,FALSE)="","-",(VLOOKUP($C9,'Raw - Participation Rate'!$A:$Q,14,FALSE)))</f>
        <v>10430</v>
      </c>
      <c r="I9" s="219">
        <f t="shared" si="0"/>
        <v>-0.39196067410286162</v>
      </c>
      <c r="J9" s="220">
        <f>IFERROR(IF(G9="-","-",SUM(VLOOKUP(C9,'Raw - Participation Rate'!A:Q,14,FALSE)-VLOOKUP(C9,'Raw - Participation Rate'!A:Q,2,FALSE))),"-")</f>
        <v>648</v>
      </c>
      <c r="K9" s="221">
        <f t="shared" si="1"/>
        <v>5.9563146208097351</v>
      </c>
      <c r="L9" s="222">
        <f>IF(K9=""," ",IF($K$5="LGBF Family Group Average",SUM(MROUND(SUM(SUM(VLOOKUP(C$18,'Raw - Participation Rate'!A:Q,16,FALSE)*VLOOKUP(C9,'Raw - Participation Rate'!A:Q,15,FALSE))/100),100)-MROUND(SUM(SUM(VLOOKUP(C9,'Raw - Participation Rate'!A:Q,16,FALSE)*VLOOKUP(C9,'Raw - Participation Rate'!A:Q,15,FALSE))/100),100)),IF($K$5="City Region Comparator",SUM(MROUND(SUM(SUM(VLOOKUP(C$19,'Raw - Participation Rate'!A:Q,16,FALSE)*VLOOKUP(C9,'Raw - Participation Rate'!A:Q,15,FALSE))/100),100)-MROUND(SUM(SUM(VLOOKUP(C9,'Raw - Participation Rate'!A:Q,16,FALSE)*VLOOKUP(C9,'Raw - Participation Rate'!A:Q,15,FALSE))/100),100)),IF($K$5="Scotland",SUM(MROUND(SUM(SUM(VLOOKUP(C$20,'Raw - Participation Rate'!A:Q,16,FALSE)*VLOOKUP(C9,'Raw - Participation Rate'!A:Q,15,FALSE))/100),100)-MROUND(SUM(SUM(VLOOKUP(C9,'Raw - Participation Rate'!A:Q,16,FALSE)*VLOOKUP(C9,'Raw - Participation Rate'!A:Q,15,FALSE))/100),100)),IF($K$5="United Kingdom",SUM(MROUND(SUM(SUM(VLOOKUP(C$21,'Raw - Participation Rate'!A:Q,16,FALSE)*VLOOKUP(C9,'Raw - Participation Rate'!A:Q,15,FALSE))/100),100)-MROUND(SUM(SUM(VLOOKUP(C9,'Raw - Participation Rate'!A:Q,16,FALSE)*VLOOKUP(C9,'Raw - Participation Rate'!A:Q,15,FALSE))/100),100)),SUM(MROUND(SUM(SUM(VLOOKUP(C$17,'Raw - Participation Rate'!A:Q,16,FALSE)*VLOOKUP(C9,'Raw - Participation Rate'!A:Q,15,FALSE))/100),100)-MROUND(SUM(SUM(VLOOKUP(C9,'Raw - Participation Rate'!A:Q,16,FALSE)*VLOOKUP(C9,'Raw - Participation Rate'!A:Q,15,FALSE))/100),100)))))))</f>
        <v>700</v>
      </c>
    </row>
    <row r="10" spans="2:12" s="137" customFormat="1" ht="19.5" customHeight="1">
      <c r="B10" s="216" t="s">
        <v>153</v>
      </c>
      <c r="C10" s="216" t="str">
        <f>IF(C$6="LGBF Family Group 1",Lookups!B31,IF(C$6="LGBF Family Group 2",Lookups!C31,IF(C$6="LGBF Family Group 3",Lookups!D31,Lookups!E31)))</f>
        <v>Edinburgh, City of</v>
      </c>
      <c r="D10" s="217">
        <f>IF(VLOOKUP($C10,'Raw - Participation Rate'!$A:$Q,4,FALSE)="","-",(VLOOKUP($C10,'Raw - Participation Rate'!$A:$Q,4,FALSE)))</f>
        <v>92.523017523017529</v>
      </c>
      <c r="E10" s="217">
        <f>IF(VLOOKUP($C10,'Raw - Participation Rate'!$A:$Q,8,FALSE)="","-",(VLOOKUP($C10,'Raw - Participation Rate'!$A:$Q,8,FALSE)))</f>
        <v>91.951577402787962</v>
      </c>
      <c r="F10" s="217">
        <f>IF(VLOOKUP($C10,'Raw - Participation Rate'!$A:$Q,12,FALSE)="","-",(VLOOKUP($C10,'Raw - Participation Rate'!$A:$Q,12,FALSE)))</f>
        <v>93.32816683105537</v>
      </c>
      <c r="G10" s="217">
        <f>IF(VLOOKUP($C10,'Raw - Participation Rate'!$A:$Q,16,FALSE)="","-",(VLOOKUP($C10,'Raw - Participation Rate'!$A:$Q,16,FALSE)))</f>
        <v>93.517718236819363</v>
      </c>
      <c r="H10" s="218">
        <f>IF(VLOOKUP($C10,'Raw - Participation Rate'!$A:$Q,14,FALSE)="","-",(VLOOKUP($C10,'Raw - Participation Rate'!$A:$Q,14,FALSE)))</f>
        <v>14066</v>
      </c>
      <c r="I10" s="219">
        <f t="shared" si="0"/>
        <v>0.99470071380183356</v>
      </c>
      <c r="J10" s="220">
        <f>IFERROR(IF(G10="-","-",SUM(VLOOKUP(C10,'Raw - Participation Rate'!A:Q,14,FALSE)-VLOOKUP(C10,'Raw - Participation Rate'!A:Q,2,FALSE))),"-")</f>
        <v>1605</v>
      </c>
      <c r="K10" s="221">
        <f t="shared" si="1"/>
        <v>4.2600595409584088</v>
      </c>
      <c r="L10" s="222">
        <f>IF(K10=""," ",IF($K$5="LGBF Family Group Average",SUM(MROUND(SUM(SUM(VLOOKUP(C$18,'Raw - Participation Rate'!A:Q,16,FALSE)*VLOOKUP(C10,'Raw - Participation Rate'!A:Q,15,FALSE))/100),100)-MROUND(SUM(SUM(VLOOKUP(C10,'Raw - Participation Rate'!A:Q,16,FALSE)*VLOOKUP(C10,'Raw - Participation Rate'!A:Q,15,FALSE))/100),100)),IF($K$5="City Region Comparator",SUM(MROUND(SUM(SUM(VLOOKUP(C$19,'Raw - Participation Rate'!A:Q,16,FALSE)*VLOOKUP(C10,'Raw - Participation Rate'!A:Q,15,FALSE))/100),100)-MROUND(SUM(SUM(VLOOKUP(C10,'Raw - Participation Rate'!A:Q,16,FALSE)*VLOOKUP(C10,'Raw - Participation Rate'!A:Q,15,FALSE))/100),100)),IF($K$5="Scotland",SUM(MROUND(SUM(SUM(VLOOKUP(C$20,'Raw - Participation Rate'!A:Q,16,FALSE)*VLOOKUP(C10,'Raw - Participation Rate'!A:Q,15,FALSE))/100),100)-MROUND(SUM(SUM(VLOOKUP(C10,'Raw - Participation Rate'!A:Q,16,FALSE)*VLOOKUP(C10,'Raw - Participation Rate'!A:Q,15,FALSE))/100),100)),IF($K$5="United Kingdom",SUM(MROUND(SUM(SUM(VLOOKUP(C$21,'Raw - Participation Rate'!A:Q,16,FALSE)*VLOOKUP(C10,'Raw - Participation Rate'!A:Q,15,FALSE))/100),100)-MROUND(SUM(SUM(VLOOKUP(C10,'Raw - Participation Rate'!A:Q,16,FALSE)*VLOOKUP(C10,'Raw - Participation Rate'!A:Q,15,FALSE))/100),100)),SUM(MROUND(SUM(SUM(VLOOKUP(C$17,'Raw - Participation Rate'!A:Q,16,FALSE)*VLOOKUP(C10,'Raw - Participation Rate'!A:Q,15,FALSE))/100),100)-MROUND(SUM(SUM(VLOOKUP(C10,'Raw - Participation Rate'!A:Q,16,FALSE)*VLOOKUP(C10,'Raw - Participation Rate'!A:Q,15,FALSE))/100),100)))))))</f>
        <v>600</v>
      </c>
    </row>
    <row r="11" spans="2:12" s="137" customFormat="1" ht="19.5" customHeight="1">
      <c r="B11" s="216" t="s">
        <v>153</v>
      </c>
      <c r="C11" s="216" t="str">
        <f>IF(C$6="LGBF Family Group 1",Lookups!B32,IF(C$6="LGBF Family Group 2",Lookups!C32,IF(C$6="LGBF Family Group 3",Lookups!D32,Lookups!E32)))</f>
        <v>Perth and Kinross</v>
      </c>
      <c r="D11" s="217">
        <f>IF(VLOOKUP($C11,'Raw - Participation Rate'!$A:$Q,4,FALSE)="","-",(VLOOKUP($C11,'Raw - Participation Rate'!$A:$Q,4,FALSE)))</f>
        <v>93.601026769343605</v>
      </c>
      <c r="E11" s="217">
        <f>IF(VLOOKUP($C11,'Raw - Participation Rate'!$A:$Q,8,FALSE)="","-",(VLOOKUP($C11,'Raw - Participation Rate'!$A:$Q,8,FALSE)))</f>
        <v>93.651082408586504</v>
      </c>
      <c r="F11" s="217">
        <f>IF(VLOOKUP($C11,'Raw - Participation Rate'!$A:$Q,12,FALSE)="","-",(VLOOKUP($C11,'Raw - Participation Rate'!$A:$Q,12,FALSE)))</f>
        <v>92.548596112311003</v>
      </c>
      <c r="G11" s="217">
        <f>IF(VLOOKUP($C11,'Raw - Participation Rate'!$A:$Q,16,FALSE)="","-",(VLOOKUP($C11,'Raw - Participation Rate'!$A:$Q,16,FALSE)))</f>
        <v>92.5420168067227</v>
      </c>
      <c r="H11" s="218">
        <f>IF(VLOOKUP($C11,'Raw - Participation Rate'!$A:$Q,14,FALSE)="","-",(VLOOKUP($C11,'Raw - Participation Rate'!$A:$Q,14,FALSE)))</f>
        <v>5286</v>
      </c>
      <c r="I11" s="219">
        <f t="shared" si="0"/>
        <v>-1.0590099626209053</v>
      </c>
      <c r="J11" s="220">
        <f>IFERROR(IF(G11="-","-",SUM(VLOOKUP(C11,'Raw - Participation Rate'!A:Q,14,FALSE)-VLOOKUP(C11,'Raw - Participation Rate'!A:Q,2,FALSE))),"-")</f>
        <v>181</v>
      </c>
      <c r="K11" s="221">
        <f t="shared" si="1"/>
        <v>5.2357609710550719</v>
      </c>
      <c r="L11" s="222">
        <f>IF(K11=""," ",IF($K$5="LGBF Family Group Average",SUM(MROUND(SUM(SUM(VLOOKUP(C$18,'Raw - Participation Rate'!A:Q,16,FALSE)*VLOOKUP(C11,'Raw - Participation Rate'!A:Q,15,FALSE))/100),100)-MROUND(SUM(SUM(VLOOKUP(C11,'Raw - Participation Rate'!A:Q,16,FALSE)*VLOOKUP(C11,'Raw - Participation Rate'!A:Q,15,FALSE))/100),100)),IF($K$5="City Region Comparator",SUM(MROUND(SUM(SUM(VLOOKUP(C$19,'Raw - Participation Rate'!A:Q,16,FALSE)*VLOOKUP(C11,'Raw - Participation Rate'!A:Q,15,FALSE))/100),100)-MROUND(SUM(SUM(VLOOKUP(C11,'Raw - Participation Rate'!A:Q,16,FALSE)*VLOOKUP(C11,'Raw - Participation Rate'!A:Q,15,FALSE))/100),100)),IF($K$5="Scotland",SUM(MROUND(SUM(SUM(VLOOKUP(C$20,'Raw - Participation Rate'!A:Q,16,FALSE)*VLOOKUP(C11,'Raw - Participation Rate'!A:Q,15,FALSE))/100),100)-MROUND(SUM(SUM(VLOOKUP(C11,'Raw - Participation Rate'!A:Q,16,FALSE)*VLOOKUP(C11,'Raw - Participation Rate'!A:Q,15,FALSE))/100),100)),IF($K$5="United Kingdom",SUM(MROUND(SUM(SUM(VLOOKUP(C$21,'Raw - Participation Rate'!A:Q,16,FALSE)*VLOOKUP(C11,'Raw - Participation Rate'!A:Q,15,FALSE))/100),100)-MROUND(SUM(SUM(VLOOKUP(C11,'Raw - Participation Rate'!A:Q,16,FALSE)*VLOOKUP(C11,'Raw - Participation Rate'!A:Q,15,FALSE))/100),100)),SUM(MROUND(SUM(SUM(VLOOKUP(C$17,'Raw - Participation Rate'!A:Q,16,FALSE)*VLOOKUP(C11,'Raw - Participation Rate'!A:Q,15,FALSE))/100),100)-MROUND(SUM(SUM(VLOOKUP(C11,'Raw - Participation Rate'!A:Q,16,FALSE)*VLOOKUP(C11,'Raw - Participation Rate'!A:Q,15,FALSE))/100),100)))))))</f>
        <v>300</v>
      </c>
    </row>
    <row r="12" spans="2:12" s="137" customFormat="1" ht="19.5" customHeight="1">
      <c r="B12" s="216" t="s">
        <v>153</v>
      </c>
      <c r="C12" s="216" t="str">
        <f>IF(C$6="LGBF Family Group 1",Lookups!B33,IF(C$6="LGBF Family Group 2",Lookups!C33,IF(C$6="LGBF Family Group 3",Lookups!D33,Lookups!E33)))</f>
        <v>Aberdeen City</v>
      </c>
      <c r="D12" s="217">
        <f>IF(VLOOKUP($C12,'Raw - Participation Rate'!$A:$Q,4,FALSE)="","-",(VLOOKUP($C12,'Raw - Participation Rate'!$A:$Q,4,FALSE)))</f>
        <v>89.443137254901956</v>
      </c>
      <c r="E12" s="217">
        <f>IF(VLOOKUP($C12,'Raw - Participation Rate'!$A:$Q,8,FALSE)="","-",(VLOOKUP($C12,'Raw - Participation Rate'!$A:$Q,8,FALSE)))</f>
        <v>91.222714089451998</v>
      </c>
      <c r="F12" s="217">
        <f>IF(VLOOKUP($C12,'Raw - Participation Rate'!$A:$Q,12,FALSE)="","-",(VLOOKUP($C12,'Raw - Participation Rate'!$A:$Q,12,FALSE)))</f>
        <v>90.247093023255815</v>
      </c>
      <c r="G12" s="217">
        <f>IF(VLOOKUP($C12,'Raw - Participation Rate'!$A:$Q,16,FALSE)="","-",(VLOOKUP($C12,'Raw - Participation Rate'!$A:$Q,16,FALSE)))</f>
        <v>90.116118330107824</v>
      </c>
      <c r="H12" s="218">
        <f>IF(VLOOKUP($C12,'Raw - Participation Rate'!$A:$Q,14,FALSE)="","-",(VLOOKUP($C12,'Raw - Participation Rate'!$A:$Q,14,FALSE)))</f>
        <v>6519</v>
      </c>
      <c r="I12" s="219">
        <f t="shared" si="0"/>
        <v>0.67298107520586825</v>
      </c>
      <c r="J12" s="220">
        <f>IFERROR(IF(G12="-","-",SUM(VLOOKUP(C12,'Raw - Participation Rate'!A:Q,14,FALSE)-VLOOKUP(C12,'Raw - Participation Rate'!A:Q,2,FALSE))),"-")</f>
        <v>817</v>
      </c>
      <c r="K12" s="221">
        <f t="shared" si="1"/>
        <v>7.6616594476699476</v>
      </c>
      <c r="L12" s="222">
        <f>IF(K12=""," ",IF($K$5="LGBF Family Group Average",SUM(MROUND(SUM(SUM(VLOOKUP(C$18,'Raw - Participation Rate'!A:Q,16,FALSE)*VLOOKUP(C12,'Raw - Participation Rate'!A:Q,15,FALSE))/100),100)-MROUND(SUM(SUM(VLOOKUP(C12,'Raw - Participation Rate'!A:Q,16,FALSE)*VLOOKUP(C12,'Raw - Participation Rate'!A:Q,15,FALSE))/100),100)),IF($K$5="City Region Comparator",SUM(MROUND(SUM(SUM(VLOOKUP(C$19,'Raw - Participation Rate'!A:Q,16,FALSE)*VLOOKUP(C12,'Raw - Participation Rate'!A:Q,15,FALSE))/100),100)-MROUND(SUM(SUM(VLOOKUP(C12,'Raw - Participation Rate'!A:Q,16,FALSE)*VLOOKUP(C12,'Raw - Participation Rate'!A:Q,15,FALSE))/100),100)),IF($K$5="Scotland",SUM(MROUND(SUM(SUM(VLOOKUP(C$20,'Raw - Participation Rate'!A:Q,16,FALSE)*VLOOKUP(C12,'Raw - Participation Rate'!A:Q,15,FALSE))/100),100)-MROUND(SUM(SUM(VLOOKUP(C12,'Raw - Participation Rate'!A:Q,16,FALSE)*VLOOKUP(C12,'Raw - Participation Rate'!A:Q,15,FALSE))/100),100)),IF($K$5="United Kingdom",SUM(MROUND(SUM(SUM(VLOOKUP(C$21,'Raw - Participation Rate'!A:Q,16,FALSE)*VLOOKUP(C12,'Raw - Participation Rate'!A:Q,15,FALSE))/100),100)-MROUND(SUM(SUM(VLOOKUP(C12,'Raw - Participation Rate'!A:Q,16,FALSE)*VLOOKUP(C12,'Raw - Participation Rate'!A:Q,15,FALSE))/100),100)),SUM(MROUND(SUM(SUM(VLOOKUP(C$17,'Raw - Participation Rate'!A:Q,16,FALSE)*VLOOKUP(C12,'Raw - Participation Rate'!A:Q,15,FALSE))/100),100)-MROUND(SUM(SUM(VLOOKUP(C12,'Raw - Participation Rate'!A:Q,16,FALSE)*VLOOKUP(C12,'Raw - Participation Rate'!A:Q,15,FALSE))/100),100)))))))</f>
        <v>600</v>
      </c>
    </row>
    <row r="13" spans="2:12" s="137" customFormat="1" ht="19.5" customHeight="1">
      <c r="B13" s="216" t="s">
        <v>153</v>
      </c>
      <c r="C13" s="216" t="str">
        <f>IF(C$6="LGBF Family Group 1",Lookups!B34,IF(C$6="LGBF Family Group 2",Lookups!C34,IF(C$6="LGBF Family Group 3",Lookups!D34,Lookups!E34)))</f>
        <v>Shetland Islands</v>
      </c>
      <c r="D13" s="217">
        <f>IF(VLOOKUP($C13,'Raw - Participation Rate'!$A:$Q,4,FALSE)="","-",(VLOOKUP($C13,'Raw - Participation Rate'!$A:$Q,4,FALSE)))</f>
        <v>97.049847405900309</v>
      </c>
      <c r="E13" s="217">
        <f>IF(VLOOKUP($C13,'Raw - Participation Rate'!$A:$Q,8,FALSE)="","-",(VLOOKUP($C13,'Raw - Participation Rate'!$A:$Q,8,FALSE)))</f>
        <v>96.019900497512438</v>
      </c>
      <c r="F13" s="217">
        <f>IF(VLOOKUP($C13,'Raw - Participation Rate'!$A:$Q,12,FALSE)="","-",(VLOOKUP($C13,'Raw - Participation Rate'!$A:$Q,12,FALSE)))</f>
        <v>97.206165703275531</v>
      </c>
      <c r="G13" s="217">
        <f>IF(VLOOKUP($C13,'Raw - Participation Rate'!$A:$Q,16,FALSE)="","-",(VLOOKUP($C13,'Raw - Participation Rate'!$A:$Q,16,FALSE)))</f>
        <v>97.777777777777771</v>
      </c>
      <c r="H13" s="218">
        <f>IF(VLOOKUP($C13,'Raw - Participation Rate'!$A:$Q,14,FALSE)="","-",(VLOOKUP($C13,'Raw - Participation Rate'!$A:$Q,14,FALSE)))</f>
        <v>1012</v>
      </c>
      <c r="I13" s="219">
        <f t="shared" si="0"/>
        <v>0.72793037187746279</v>
      </c>
      <c r="J13" s="220">
        <f>IFERROR(IF(G13="-","-",SUM(VLOOKUP(C13,'Raw - Participation Rate'!A:Q,14,FALSE)-VLOOKUP(C13,'Raw - Participation Rate'!A:Q,2,FALSE))),"-")</f>
        <v>58</v>
      </c>
      <c r="K13" s="221" t="str">
        <f t="shared" si="1"/>
        <v/>
      </c>
      <c r="L13" s="222" t="str">
        <f>IF(K13=""," ",IF($K$5="LGBF Family Group Average",SUM(MROUND(SUM(SUM(VLOOKUP(C$18,'Raw - Participation Rate'!A:Q,16,FALSE)*VLOOKUP(C13,'Raw - Participation Rate'!A:Q,15,FALSE))/100),100)-MROUND(SUM(SUM(VLOOKUP(C13,'Raw - Participation Rate'!A:Q,16,FALSE)*VLOOKUP(C13,'Raw - Participation Rate'!A:Q,15,FALSE))/100),100)),IF($K$5="City Region Comparator",SUM(MROUND(SUM(SUM(VLOOKUP(C$19,'Raw - Participation Rate'!A:Q,16,FALSE)*VLOOKUP(C13,'Raw - Participation Rate'!A:Q,15,FALSE))/100),100)-MROUND(SUM(SUM(VLOOKUP(C13,'Raw - Participation Rate'!A:Q,16,FALSE)*VLOOKUP(C13,'Raw - Participation Rate'!A:Q,15,FALSE))/100),100)),IF($K$5="Scotland",SUM(MROUND(SUM(SUM(VLOOKUP(C$20,'Raw - Participation Rate'!A:Q,16,FALSE)*VLOOKUP(C13,'Raw - Participation Rate'!A:Q,15,FALSE))/100),100)-MROUND(SUM(SUM(VLOOKUP(C13,'Raw - Participation Rate'!A:Q,16,FALSE)*VLOOKUP(C13,'Raw - Participation Rate'!A:Q,15,FALSE))/100),100)),IF($K$5="United Kingdom",SUM(MROUND(SUM(SUM(VLOOKUP(C$21,'Raw - Participation Rate'!A:Q,16,FALSE)*VLOOKUP(C13,'Raw - Participation Rate'!A:Q,15,FALSE))/100),100)-MROUND(SUM(SUM(VLOOKUP(C13,'Raw - Participation Rate'!A:Q,16,FALSE)*VLOOKUP(C13,'Raw - Participation Rate'!A:Q,15,FALSE))/100),100)),SUM(MROUND(SUM(SUM(VLOOKUP(C$17,'Raw - Participation Rate'!A:Q,16,FALSE)*VLOOKUP(C13,'Raw - Participation Rate'!A:Q,15,FALSE))/100),100)-MROUND(SUM(SUM(VLOOKUP(C13,'Raw - Participation Rate'!A:Q,16,FALSE)*VLOOKUP(C13,'Raw - Participation Rate'!A:Q,15,FALSE))/100),100)))))))</f>
        <v xml:space="preserve"> </v>
      </c>
    </row>
    <row r="14" spans="2:12" s="137" customFormat="1" ht="19.5" customHeight="1">
      <c r="B14" s="216" t="s">
        <v>153</v>
      </c>
      <c r="C14" s="216" t="str">
        <f>IF(C$6="LGBF Family Group 1",Lookups!B35,IF(C$6="LGBF Family Group 2",Lookups!C35,IF(C$6="LGBF Family Group 3",Lookups!D35,Lookups!E35)))</f>
        <v>Orkney Islands</v>
      </c>
      <c r="D14" s="217">
        <f>IF(VLOOKUP($C14,'Raw - Participation Rate'!$A:$Q,4,FALSE)="","-",(VLOOKUP($C14,'Raw - Participation Rate'!$A:$Q,4,FALSE)))</f>
        <v>93.365500603136311</v>
      </c>
      <c r="E14" s="217">
        <f>IF(VLOOKUP($C14,'Raw - Participation Rate'!$A:$Q,8,FALSE)="","-",(VLOOKUP($C14,'Raw - Participation Rate'!$A:$Q,8,FALSE)))</f>
        <v>93.946449359720603</v>
      </c>
      <c r="F14" s="217">
        <f>IF(VLOOKUP($C14,'Raw - Participation Rate'!$A:$Q,12,FALSE)="","-",(VLOOKUP($C14,'Raw - Participation Rate'!$A:$Q,12,FALSE)))</f>
        <v>94.196428571428569</v>
      </c>
      <c r="G14" s="217">
        <f>IF(VLOOKUP($C14,'Raw - Participation Rate'!$A:$Q,16,FALSE)="","-",(VLOOKUP($C14,'Raw - Participation Rate'!$A:$Q,16,FALSE)))</f>
        <v>93.478260869565219</v>
      </c>
      <c r="H14" s="218">
        <f>IF(VLOOKUP($C14,'Raw - Participation Rate'!$A:$Q,14,FALSE)="","-",(VLOOKUP($C14,'Raw - Participation Rate'!$A:$Q,14,FALSE)))</f>
        <v>860</v>
      </c>
      <c r="I14" s="219">
        <f t="shared" si="0"/>
        <v>0.11276026642890713</v>
      </c>
      <c r="J14" s="220">
        <f>IFERROR(IF(G14="-","-",SUM(VLOOKUP(C14,'Raw - Participation Rate'!A:Q,14,FALSE)-VLOOKUP(C14,'Raw - Participation Rate'!A:Q,2,FALSE))),"-")</f>
        <v>86</v>
      </c>
      <c r="K14" s="221">
        <f t="shared" si="1"/>
        <v>4.2995169082125528</v>
      </c>
      <c r="L14" s="222">
        <f>IF(K14=""," ",IF($K$5="LGBF Family Group Average",SUM(MROUND(SUM(SUM(VLOOKUP(C$18,'Raw - Participation Rate'!A:Q,16,FALSE)*VLOOKUP(C14,'Raw - Participation Rate'!A:Q,15,FALSE))/100),100)-MROUND(SUM(SUM(VLOOKUP(C14,'Raw - Participation Rate'!A:Q,16,FALSE)*VLOOKUP(C14,'Raw - Participation Rate'!A:Q,15,FALSE))/100),100)),IF($K$5="City Region Comparator",SUM(MROUND(SUM(SUM(VLOOKUP(C$19,'Raw - Participation Rate'!A:Q,16,FALSE)*VLOOKUP(C14,'Raw - Participation Rate'!A:Q,15,FALSE))/100),100)-MROUND(SUM(SUM(VLOOKUP(C14,'Raw - Participation Rate'!A:Q,16,FALSE)*VLOOKUP(C14,'Raw - Participation Rate'!A:Q,15,FALSE))/100),100)),IF($K$5="Scotland",SUM(MROUND(SUM(SUM(VLOOKUP(C$20,'Raw - Participation Rate'!A:Q,16,FALSE)*VLOOKUP(C14,'Raw - Participation Rate'!A:Q,15,FALSE))/100),100)-MROUND(SUM(SUM(VLOOKUP(C14,'Raw - Participation Rate'!A:Q,16,FALSE)*VLOOKUP(C14,'Raw - Participation Rate'!A:Q,15,FALSE))/100),100)),IF($K$5="United Kingdom",SUM(MROUND(SUM(SUM(VLOOKUP(C$21,'Raw - Participation Rate'!A:Q,16,FALSE)*VLOOKUP(C14,'Raw - Participation Rate'!A:Q,15,FALSE))/100),100)-MROUND(SUM(SUM(VLOOKUP(C14,'Raw - Participation Rate'!A:Q,16,FALSE)*VLOOKUP(C14,'Raw - Participation Rate'!A:Q,15,FALSE))/100),100)),SUM(MROUND(SUM(SUM(VLOOKUP(C$17,'Raw - Participation Rate'!A:Q,16,FALSE)*VLOOKUP(C14,'Raw - Participation Rate'!A:Q,15,FALSE))/100),100)-MROUND(SUM(SUM(VLOOKUP(C14,'Raw - Participation Rate'!A:Q,16,FALSE)*VLOOKUP(C14,'Raw - Participation Rate'!A:Q,15,FALSE))/100),100)))))))</f>
        <v>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Participation Rate'!$A$9:$A$41,MATCH(MAX('Raw - Participation Rate'!P9:P41),'Raw - Participation Rate'!P9:P41,0))</f>
        <v>Shetland Islands</v>
      </c>
      <c r="D17" s="217">
        <f>VLOOKUP($C17,'Raw - Participation Rate'!$A:$Q,4,FALSE)</f>
        <v>97.049847405900309</v>
      </c>
      <c r="E17" s="217">
        <f>VLOOKUP($C17,'Raw - Participation Rate'!$A:$Q,8,FALSE)</f>
        <v>96.019900497512438</v>
      </c>
      <c r="F17" s="217">
        <f>VLOOKUP($C17,'Raw - Participation Rate'!$A:$Q,12,FALSE)</f>
        <v>97.206165703275531</v>
      </c>
      <c r="G17" s="217">
        <f>VLOOKUP($C17,'Raw - Participation Rate'!$A:$Q,16,FALSE)</f>
        <v>97.777777777777771</v>
      </c>
      <c r="H17" s="218">
        <f>VLOOKUP(C17,'Raw - Participation Rate'!A:Q,14,FALSE)</f>
        <v>1012</v>
      </c>
      <c r="I17" s="219">
        <f t="shared" ref="I17" si="2">IFERROR(IF(G17="-","-",SUM(G17-D17)),"-")</f>
        <v>0.72793037187746279</v>
      </c>
      <c r="J17" s="220">
        <f>IFERROR(IF(G17="-","-",SUM(VLOOKUP(C17,'Raw - Participation Rate'!A:Q,14,FALSE)-VLOOKUP(C17,'Raw - Participation Rate'!A:Q,2,FALSE))),"-")</f>
        <v>58</v>
      </c>
    </row>
    <row r="18" spans="2:12" s="137" customFormat="1" ht="19.5" customHeight="1">
      <c r="B18" s="226" t="s">
        <v>271</v>
      </c>
      <c r="C18" s="227" t="s">
        <v>246</v>
      </c>
      <c r="D18" s="217">
        <f>VLOOKUP($C18,'Raw - Participation Rate'!$A:$Q,4,FALSE)</f>
        <v>93.035923414222296</v>
      </c>
      <c r="E18" s="217">
        <f>VLOOKUP($C18,'Raw - Participation Rate'!$A:$Q,8,FALSE)</f>
        <v>93.339063171465412</v>
      </c>
      <c r="F18" s="217">
        <f>VLOOKUP($C18,'Raw - Participation Rate'!$A:$Q,12,FALSE)</f>
        <v>93.645042710179041</v>
      </c>
      <c r="G18" s="217">
        <f>VLOOKUP($C18,'Raw - Participation Rate'!$A:$Q,16,FALSE)</f>
        <v>93.597151996697974</v>
      </c>
      <c r="H18" s="218">
        <f>VLOOKUP(C18,'Raw - Participation Rate'!A:Q,14,FALSE)</f>
        <v>36282</v>
      </c>
      <c r="I18" s="219">
        <f t="shared" ref="I18:I20" si="3">IFERROR(IF(G18="-","-",SUM(G18-D18)),"-")</f>
        <v>0.56122858247567819</v>
      </c>
      <c r="J18" s="220">
        <f>IFERROR(IF(G18="-","-",SUM(VLOOKUP(C18,'Raw - Participation Rate'!A:Q,14,FALSE)-VLOOKUP(C18,'Raw - Participation Rate'!A:Q,2,FALSE))),"-")</f>
        <v>2122</v>
      </c>
    </row>
    <row r="19" spans="2:12" s="137" customFormat="1" ht="19.5" customHeight="1">
      <c r="B19" s="226" t="s">
        <v>270</v>
      </c>
      <c r="C19" s="216" t="s">
        <v>156</v>
      </c>
      <c r="D19" s="217">
        <f>VLOOKUP($C19,'Raw - Participation Rate'!$A:$Q,4,FALSE)</f>
        <v>91.173526467644123</v>
      </c>
      <c r="E19" s="217">
        <f>VLOOKUP($C19,'Raw - Participation Rate'!$A:$Q,8,FALSE)</f>
        <v>92.40827141293704</v>
      </c>
      <c r="F19" s="217">
        <f>VLOOKUP($C19,'Raw - Participation Rate'!$A:$Q,12,FALSE)</f>
        <v>91.761808820237306</v>
      </c>
      <c r="G19" s="217">
        <f>VLOOKUP($C19,'Raw - Participation Rate'!$A:$Q,16,FALSE)</f>
        <v>91.157962674124676</v>
      </c>
      <c r="H19" s="218">
        <f>VLOOKUP(C19,'Raw - Participation Rate'!A:Q,14,FALSE)</f>
        <v>16949</v>
      </c>
      <c r="I19" s="219">
        <f t="shared" si="3"/>
        <v>-1.55637935194477E-2</v>
      </c>
      <c r="J19" s="220">
        <f>IFERROR(IF(G19="-","-",SUM(VLOOKUP(C19,'Raw - Participation Rate'!A:Q,14,FALSE)-VLOOKUP(C19,'Raw - Participation Rate'!A:Q,2,FALSE))),"-")</f>
        <v>1465</v>
      </c>
    </row>
    <row r="20" spans="2:12" s="137" customFormat="1" ht="19.5" customHeight="1">
      <c r="B20" s="226" t="s">
        <v>164</v>
      </c>
      <c r="C20" s="216" t="s">
        <v>46</v>
      </c>
      <c r="D20" s="217">
        <f>VLOOKUP($C20,'Raw - Participation Rate'!$A:$Q,4,FALSE)</f>
        <v>92.179406251656388</v>
      </c>
      <c r="E20" s="217">
        <f>VLOOKUP($C20,'Raw - Participation Rate'!$A:$Q,8,FALSE)</f>
        <v>92.352274459006395</v>
      </c>
      <c r="F20" s="217">
        <f>VLOOKUP($C20,'Raw - Participation Rate'!$A:$Q,12,FALSE)</f>
        <v>92.646615215403813</v>
      </c>
      <c r="G20" s="217">
        <f>VLOOKUP($C20,'Raw - Participation Rate'!$A:$Q,16,FALSE)</f>
        <v>92.731119864940908</v>
      </c>
      <c r="H20" s="218">
        <f>VLOOKUP(C20,'Raw - Participation Rate'!A:Q,14,FALSE)</f>
        <v>205979</v>
      </c>
      <c r="I20" s="219">
        <f t="shared" si="3"/>
        <v>0.55171361328451951</v>
      </c>
      <c r="J20" s="220">
        <f>IFERROR(IF(G20="-","-",SUM(VLOOKUP(C20,'Raw - Participation Rate'!A:Q,14,FALSE)-VLOOKUP(C20,'Raw - Participation Rate'!A:Q,2,FALSE))),"-")</f>
        <v>14680</v>
      </c>
    </row>
    <row r="21" spans="2:12" s="137" customFormat="1" ht="19.5" customHeight="1">
      <c r="B21" s="226" t="s">
        <v>164</v>
      </c>
      <c r="C21" s="216" t="s">
        <v>47</v>
      </c>
      <c r="D21" s="217" t="s">
        <v>71</v>
      </c>
      <c r="E21" s="217" t="s">
        <v>71</v>
      </c>
      <c r="F21" s="217" t="s">
        <v>71</v>
      </c>
      <c r="G21" s="217" t="s">
        <v>71</v>
      </c>
      <c r="H21" s="218" t="s">
        <v>71</v>
      </c>
      <c r="I21" s="219" t="s">
        <v>71</v>
      </c>
      <c r="J21" s="220"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ZZkm4DSfs9lHEuwEZGtdQYsWBH6+n3GpTBMXTr9BXt2X/Hgxq0GTDX98WDHnDSQQHcJWvNDIFPqvwVFlTVkO6g==" saltValue="zjQ8BXfWaK8NOP4uPzQVnQ==" spinCount="100000" sheet="1" sort="0"/>
  <mergeCells count="4">
    <mergeCell ref="F2:G2"/>
    <mergeCell ref="K4:L4"/>
    <mergeCell ref="I5:J5"/>
    <mergeCell ref="K5:L5"/>
  </mergeCells>
  <hyperlinks>
    <hyperlink ref="F2:G2" location="'Index RAG'!A1" display="Return to Index RAG" xr:uid="{A5C1EC12-673B-4DB5-AED0-981D67BC8AA3}"/>
    <hyperlink ref="C3" r:id="rId1" xr:uid="{CD524B0F-0CF4-4A9E-BED4-5E0A2D657EE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1676D6B-861F-4392-810E-D08420F0E606}">
          <x14:formula1>
            <xm:f>Lookups!$B$9:$B$12</xm:f>
          </x14:formula1>
          <xm:sqref>K5:L5</xm:sqref>
        </x14:dataValidation>
        <x14:dataValidation type="list" allowBlank="1" showInputMessage="1" showErrorMessage="1" xr:uid="{B6D3C69E-D63E-48FF-A9FD-D0847241FF52}">
          <x14:formula1>
            <xm:f>Lookups!$B$36:$E$36</xm:f>
          </x14:formula1>
          <xm:sqref>C18</xm:sqref>
        </x14:dataValidation>
        <x14:dataValidation type="list" allowBlank="1" showInputMessage="1" showErrorMessage="1" xr:uid="{C4AA243F-3E1D-4E0E-AB07-14F345D64E25}">
          <x14:formula1>
            <xm:f>Lookups!$B$27:$E$27</xm:f>
          </x14:formula1>
          <xm:sqref>C6</xm:sqref>
        </x14:dataValidation>
        <x14:dataValidation type="list" allowBlank="1" showInputMessage="1" showErrorMessage="1" xr:uid="{7F1AB4FD-C803-466F-9CB8-68A2D7E6D276}">
          <x14:formula1>
            <xm:f>Lookups!$Q$3:$Q$7</xm:f>
          </x14:formula1>
          <xm:sqref>C19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RQF Level 4+ Qualifications (%) - LGBF Family Group 1</v>
      </c>
      <c r="D1" s="170" t="s">
        <v>290</v>
      </c>
      <c r="I1" s="191"/>
    </row>
    <row r="2" spans="2:12" ht="12.75">
      <c r="B2" s="171" t="s">
        <v>49</v>
      </c>
      <c r="C2" s="172" t="s">
        <v>510</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t="s">
        <v>71</v>
      </c>
      <c r="E7" s="217" t="s">
        <v>71</v>
      </c>
      <c r="F7" s="217">
        <f>VLOOKUP($C7,'Raw - Degree Quals'!$A:$Q,12,FALSE)</f>
        <v>50.6</v>
      </c>
      <c r="G7" s="217">
        <f>VLOOKUP($C7,'Raw - Degree Quals'!$A:$Q,16,FALSE)</f>
        <v>51</v>
      </c>
      <c r="H7" s="218">
        <f>VLOOKUP(C7,'Raw - Degree Quals'!A:Q,14,FALSE)</f>
        <v>7400</v>
      </c>
      <c r="I7" s="219">
        <f>IFERROR(SUM(G7-F7),"-")</f>
        <v>0.39999999999999858</v>
      </c>
      <c r="J7" s="220">
        <f>IFERROR(SUM(VLOOKUP(C7,'Raw - Degree Quals'!A:Q,14,FALSE)-VLOOKUP(C7,'Raw - Degree Quals'!A:Q,10,FALSE)),"-")</f>
        <v>100</v>
      </c>
      <c r="K7" s="221">
        <f t="shared" ref="K7:K14" si="0">IF(IF($K$5="City Region Comparator",SUM(G$19-G7),IF($K$5="LGBF Family Group Average",SUM(G$18-G7),IF($K$5="Scotland",SUM(G$20-G7),IF($K$5="United Kingdom",SUM(G$21-G7),SUM(G$17-G7)))))&lt;=0,"",IF($K$5="City Region Comparator",SUM(G$19-G7),IF($K$5="LGBF Family Group Average",SUM(G$18-G7),IF($K$5="Scotland",SUM(G$20-G7),IF($K$5="United Kingdom",SUM(G$21-G7),SUM(G$17-G7))))))</f>
        <v>19.099999999999994</v>
      </c>
      <c r="L7" s="222">
        <f>IF(K7=""," ",IF($K$5="LGBF Family Group Average",SUM(MROUND(SUM(SUM(VLOOKUP(C$18,'Raw - Degree Quals'!A:Q,16,FALSE)*VLOOKUP(C7,'Raw - Degree Quals'!A:Q,15,FALSE))/100),100)-MROUND(SUM(SUM(VLOOKUP(C7,'Raw - Degree Quals'!A:Q,16,FALSE)*VLOOKUP(C7,'Raw - Degree Quals'!A:Q,15,FALSE))/100),100)),IF($K$5="City Region Comparator",SUM(MROUND(SUM(SUM(VLOOKUP(C$19,'Raw - Degree Quals'!A:Q,16,FALSE)*VLOOKUP(C7,'Raw - Degree Quals'!A:Q,15,FALSE))/100),100)-MROUND(SUM(SUM(VLOOKUP(C7,'Raw - Degree Quals'!A:Q,16,FALSE)*VLOOKUP(C7,'Raw - Degree Quals'!A:Q,15,FALSE))/100),100)),IF($K$5="Scotland",SUM(MROUND(SUM(SUM(VLOOKUP(C$20,'Raw - Degree Quals'!A:Q,16,FALSE)*VLOOKUP(C7,'Raw - Degree Quals'!A:Q,15,FALSE))/100),100)-MROUND(SUM(SUM(VLOOKUP(C7,'Raw - Degree Quals'!A:Q,16,FALSE)*VLOOKUP(C7,'Raw - Degree Quals'!A:Q,15,FALSE))/100),100)),IF($K$5="United Kingdom",SUM(MROUND(SUM(SUM(VLOOKUP(C$21,'Raw - Degree Quals'!A:Q,16,FALSE)*VLOOKUP(C7,'Raw - Degree Quals'!A:Q,15,FALSE))/100),100)-MROUND(SUM(SUM(VLOOKUP(C7,'Raw - Degree Quals'!A:Q,16,FALSE)*VLOOKUP(C7,'Raw - Degree Quals'!A:Q,15,FALSE))/100),100)),SUM(MROUND(SUM(SUM(VLOOKUP(C$17,'Raw - Degree Quals'!A:Q,16,FALSE)*VLOOKUP(C7,'Raw - Degree Quals'!A:Q,15,FALSE))/100),100)-MROUND(SUM(SUM(VLOOKUP(C7,'Raw - Degree Quals'!A:Q,16,FALSE)*VLOOKUP(C7,'Raw - Degree Quals'!A:Q,15,FALSE))/100),100)))))))</f>
        <v>2800</v>
      </c>
    </row>
    <row r="8" spans="2:12" s="137" customFormat="1" ht="19.5" customHeight="1">
      <c r="B8" s="216" t="s">
        <v>153</v>
      </c>
      <c r="C8" s="216" t="str">
        <f>IF(C$6="LGBF Family Group 1",Lookups!I29,IF(C$6="LGBF Family Group 2",Lookups!J29,IF(C$6="LGBF Family Group 3",Lookups!K29,Lookups!L29)))</f>
        <v>Argyll and Bute</v>
      </c>
      <c r="D8" s="217" t="s">
        <v>71</v>
      </c>
      <c r="E8" s="217" t="s">
        <v>71</v>
      </c>
      <c r="F8" s="217">
        <f>VLOOKUP($C8,'Raw - Degree Quals'!$A:$Q,12,FALSE)</f>
        <v>54.1</v>
      </c>
      <c r="G8" s="217">
        <f>VLOOKUP($C8,'Raw - Degree Quals'!$A:$Q,16,FALSE)</f>
        <v>49</v>
      </c>
      <c r="H8" s="218">
        <f>VLOOKUP(C8,'Raw - Degree Quals'!A:Q,14,FALSE)</f>
        <v>23000</v>
      </c>
      <c r="I8" s="219">
        <f t="shared" ref="I8:I14" si="1">IFERROR(SUM(G8-F8),"-")</f>
        <v>-5.1000000000000014</v>
      </c>
      <c r="J8" s="220">
        <f>IFERROR(SUM(VLOOKUP(C8,'Raw - Degree Quals'!A:Q,14,FALSE)-VLOOKUP(C8,'Raw - Degree Quals'!A:Q,10,FALSE)),"-")</f>
        <v>-2500</v>
      </c>
      <c r="K8" s="221">
        <f t="shared" si="0"/>
        <v>21.099999999999994</v>
      </c>
      <c r="L8" s="222">
        <f>IF(K8=""," ",IF($K$5="LGBF Family Group Average",SUM(MROUND(SUM(SUM(VLOOKUP(C$18,'Raw - Degree Quals'!A:Q,16,FALSE)*VLOOKUP(C8,'Raw - Degree Quals'!A:Q,15,FALSE))/100),100)-MROUND(SUM(SUM(VLOOKUP(C8,'Raw - Degree Quals'!A:Q,16,FALSE)*VLOOKUP(C8,'Raw - Degree Quals'!A:Q,15,FALSE))/100),100)),IF($K$5="City Region Comparator",SUM(MROUND(SUM(SUM(VLOOKUP(C$19,'Raw - Degree Quals'!A:Q,16,FALSE)*VLOOKUP(C8,'Raw - Degree Quals'!A:Q,15,FALSE))/100),100)-MROUND(SUM(SUM(VLOOKUP(C8,'Raw - Degree Quals'!A:Q,16,FALSE)*VLOOKUP(C8,'Raw - Degree Quals'!A:Q,15,FALSE))/100),100)),IF($K$5="Scotland",SUM(MROUND(SUM(SUM(VLOOKUP(C$20,'Raw - Degree Quals'!A:Q,16,FALSE)*VLOOKUP(C8,'Raw - Degree Quals'!A:Q,15,FALSE))/100),100)-MROUND(SUM(SUM(VLOOKUP(C8,'Raw - Degree Quals'!A:Q,16,FALSE)*VLOOKUP(C8,'Raw - Degree Quals'!A:Q,15,FALSE))/100),100)),IF($K$5="United Kingdom",SUM(MROUND(SUM(SUM(VLOOKUP(C$21,'Raw - Degree Quals'!A:Q,16,FALSE)*VLOOKUP(C8,'Raw - Degree Quals'!A:Q,15,FALSE))/100),100)-MROUND(SUM(SUM(VLOOKUP(C8,'Raw - Degree Quals'!A:Q,16,FALSE)*VLOOKUP(C8,'Raw - Degree Quals'!A:Q,15,FALSE))/100),100)),SUM(MROUND(SUM(SUM(VLOOKUP(C$17,'Raw - Degree Quals'!A:Q,16,FALSE)*VLOOKUP(C8,'Raw - Degree Quals'!A:Q,15,FALSE))/100),100)-MROUND(SUM(SUM(VLOOKUP(C8,'Raw - Degree Quals'!A:Q,16,FALSE)*VLOOKUP(C8,'Raw - Degree Quals'!A:Q,15,FALSE))/100),100)))))))</f>
        <v>9900</v>
      </c>
    </row>
    <row r="9" spans="2:12" s="137" customFormat="1" ht="19.5" customHeight="1">
      <c r="B9" s="216" t="s">
        <v>153</v>
      </c>
      <c r="C9" s="216" t="str">
        <f>IF(C$6="LGBF Family Group 1",Lookups!I30,IF(C$6="LGBF Family Group 2",Lookups!J30,IF(C$6="LGBF Family Group 3",Lookups!K30,Lookups!L30)))</f>
        <v>Shetland Islands</v>
      </c>
      <c r="D9" s="217" t="s">
        <v>71</v>
      </c>
      <c r="E9" s="217" t="s">
        <v>71</v>
      </c>
      <c r="F9" s="217">
        <f>VLOOKUP($C9,'Raw - Degree Quals'!$A:$Q,12,FALSE)</f>
        <v>45.8</v>
      </c>
      <c r="G9" s="217">
        <f>VLOOKUP($C9,'Raw - Degree Quals'!$A:$Q,16,FALSE)</f>
        <v>39.1</v>
      </c>
      <c r="H9" s="218">
        <f>VLOOKUP(C9,'Raw - Degree Quals'!A:Q,14,FALSE)</f>
        <v>5500</v>
      </c>
      <c r="I9" s="219">
        <f t="shared" si="1"/>
        <v>-6.6999999999999957</v>
      </c>
      <c r="J9" s="220">
        <f>IFERROR(SUM(VLOOKUP(C9,'Raw - Degree Quals'!A:Q,14,FALSE)-VLOOKUP(C9,'Raw - Degree Quals'!A:Q,10,FALSE)),"-")</f>
        <v>-900</v>
      </c>
      <c r="K9" s="221">
        <f t="shared" si="0"/>
        <v>30.999999999999993</v>
      </c>
      <c r="L9" s="222">
        <f>IF(K9=""," ",IF($K$5="LGBF Family Group Average",SUM(MROUND(SUM(SUM(VLOOKUP(C$18,'Raw - Degree Quals'!A:Q,16,FALSE)*VLOOKUP(C9,'Raw - Degree Quals'!A:Q,15,FALSE))/100),100)-MROUND(SUM(SUM(VLOOKUP(C9,'Raw - Degree Quals'!A:Q,16,FALSE)*VLOOKUP(C9,'Raw - Degree Quals'!A:Q,15,FALSE))/100),100)),IF($K$5="City Region Comparator",SUM(MROUND(SUM(SUM(VLOOKUP(C$19,'Raw - Degree Quals'!A:Q,16,FALSE)*VLOOKUP(C9,'Raw - Degree Quals'!A:Q,15,FALSE))/100),100)-MROUND(SUM(SUM(VLOOKUP(C9,'Raw - Degree Quals'!A:Q,16,FALSE)*VLOOKUP(C9,'Raw - Degree Quals'!A:Q,15,FALSE))/100),100)),IF($K$5="Scotland",SUM(MROUND(SUM(SUM(VLOOKUP(C$20,'Raw - Degree Quals'!A:Q,16,FALSE)*VLOOKUP(C9,'Raw - Degree Quals'!A:Q,15,FALSE))/100),100)-MROUND(SUM(SUM(VLOOKUP(C9,'Raw - Degree Quals'!A:Q,16,FALSE)*VLOOKUP(C9,'Raw - Degree Quals'!A:Q,15,FALSE))/100),100)),IF($K$5="United Kingdom",SUM(MROUND(SUM(SUM(VLOOKUP(C$21,'Raw - Degree Quals'!A:Q,16,FALSE)*VLOOKUP(C9,'Raw - Degree Quals'!A:Q,15,FALSE))/100),100)-MROUND(SUM(SUM(VLOOKUP(C9,'Raw - Degree Quals'!A:Q,16,FALSE)*VLOOKUP(C9,'Raw - Degree Quals'!A:Q,15,FALSE))/100),100)),SUM(MROUND(SUM(SUM(VLOOKUP(C$17,'Raw - Degree Quals'!A:Q,16,FALSE)*VLOOKUP(C9,'Raw - Degree Quals'!A:Q,15,FALSE))/100),100)-MROUND(SUM(SUM(VLOOKUP(C9,'Raw - Degree Quals'!A:Q,16,FALSE)*VLOOKUP(C9,'Raw - Degree Quals'!A:Q,15,FALSE))/100),100)))))))</f>
        <v>4400</v>
      </c>
    </row>
    <row r="10" spans="2:12" s="137" customFormat="1" ht="19.5" customHeight="1">
      <c r="B10" s="216" t="s">
        <v>153</v>
      </c>
      <c r="C10" s="216" t="str">
        <f>IF(C$6="LGBF Family Group 1",Lookups!I31,IF(C$6="LGBF Family Group 2",Lookups!J31,IF(C$6="LGBF Family Group 3",Lookups!K31,Lookups!L31)))</f>
        <v>Highland</v>
      </c>
      <c r="D10" s="217" t="s">
        <v>71</v>
      </c>
      <c r="E10" s="217" t="s">
        <v>71</v>
      </c>
      <c r="F10" s="217">
        <f>VLOOKUP($C10,'Raw - Degree Quals'!$A:$Q,12,FALSE)</f>
        <v>47.5</v>
      </c>
      <c r="G10" s="217">
        <f>VLOOKUP($C10,'Raw - Degree Quals'!$A:$Q,16,FALSE)</f>
        <v>48.7</v>
      </c>
      <c r="H10" s="218">
        <f>VLOOKUP(C10,'Raw - Degree Quals'!A:Q,14,FALSE)</f>
        <v>69600</v>
      </c>
      <c r="I10" s="219">
        <f t="shared" si="1"/>
        <v>1.2000000000000028</v>
      </c>
      <c r="J10" s="220">
        <f>IFERROR(SUM(VLOOKUP(C10,'Raw - Degree Quals'!A:Q,14,FALSE)-VLOOKUP(C10,'Raw - Degree Quals'!A:Q,10,FALSE)),"-")</f>
        <v>7300</v>
      </c>
      <c r="K10" s="221">
        <f t="shared" si="0"/>
        <v>21.399999999999991</v>
      </c>
      <c r="L10" s="222">
        <f>IF(K10=""," ",IF($K$5="LGBF Family Group Average",SUM(MROUND(SUM(SUM(VLOOKUP(C$18,'Raw - Degree Quals'!A:Q,16,FALSE)*VLOOKUP(C10,'Raw - Degree Quals'!A:Q,15,FALSE))/100),100)-MROUND(SUM(SUM(VLOOKUP(C10,'Raw - Degree Quals'!A:Q,16,FALSE)*VLOOKUP(C10,'Raw - Degree Quals'!A:Q,15,FALSE))/100),100)),IF($K$5="City Region Comparator",SUM(MROUND(SUM(SUM(VLOOKUP(C$19,'Raw - Degree Quals'!A:Q,16,FALSE)*VLOOKUP(C10,'Raw - Degree Quals'!A:Q,15,FALSE))/100),100)-MROUND(SUM(SUM(VLOOKUP(C10,'Raw - Degree Quals'!A:Q,16,FALSE)*VLOOKUP(C10,'Raw - Degree Quals'!A:Q,15,FALSE))/100),100)),IF($K$5="Scotland",SUM(MROUND(SUM(SUM(VLOOKUP(C$20,'Raw - Degree Quals'!A:Q,16,FALSE)*VLOOKUP(C10,'Raw - Degree Quals'!A:Q,15,FALSE))/100),100)-MROUND(SUM(SUM(VLOOKUP(C10,'Raw - Degree Quals'!A:Q,16,FALSE)*VLOOKUP(C10,'Raw - Degree Quals'!A:Q,15,FALSE))/100),100)),IF($K$5="United Kingdom",SUM(MROUND(SUM(SUM(VLOOKUP(C$21,'Raw - Degree Quals'!A:Q,16,FALSE)*VLOOKUP(C10,'Raw - Degree Quals'!A:Q,15,FALSE))/100),100)-MROUND(SUM(SUM(VLOOKUP(C10,'Raw - Degree Quals'!A:Q,16,FALSE)*VLOOKUP(C10,'Raw - Degree Quals'!A:Q,15,FALSE))/100),100)),SUM(MROUND(SUM(SUM(VLOOKUP(C$17,'Raw - Degree Quals'!A:Q,16,FALSE)*VLOOKUP(C10,'Raw - Degree Quals'!A:Q,15,FALSE))/100),100)-MROUND(SUM(SUM(VLOOKUP(C10,'Raw - Degree Quals'!A:Q,16,FALSE)*VLOOKUP(C10,'Raw - Degree Quals'!A:Q,15,FALSE))/100),100)))))))</f>
        <v>30600</v>
      </c>
    </row>
    <row r="11" spans="2:12" s="137" customFormat="1" ht="19.5" customHeight="1">
      <c r="B11" s="216" t="s">
        <v>153</v>
      </c>
      <c r="C11" s="216" t="str">
        <f>IF(C$6="LGBF Family Group 1",Lookups!I32,IF(C$6="LGBF Family Group 2",Lookups!J32,IF(C$6="LGBF Family Group 3",Lookups!K32,Lookups!L32)))</f>
        <v>Orkney Islands</v>
      </c>
      <c r="D11" s="217" t="s">
        <v>71</v>
      </c>
      <c r="E11" s="217" t="s">
        <v>71</v>
      </c>
      <c r="F11" s="217">
        <f>VLOOKUP($C11,'Raw - Degree Quals'!$A:$Q,12,FALSE)</f>
        <v>52.4</v>
      </c>
      <c r="G11" s="217">
        <f>VLOOKUP($C11,'Raw - Degree Quals'!$A:$Q,16,FALSE)</f>
        <v>34.6</v>
      </c>
      <c r="H11" s="218">
        <f>VLOOKUP(C11,'Raw - Degree Quals'!A:Q,14,FALSE)</f>
        <v>4500</v>
      </c>
      <c r="I11" s="219">
        <f t="shared" si="1"/>
        <v>-17.799999999999997</v>
      </c>
      <c r="J11" s="220">
        <f>IFERROR(SUM(VLOOKUP(C11,'Raw - Degree Quals'!A:Q,14,FALSE)-VLOOKUP(C11,'Raw - Degree Quals'!A:Q,10,FALSE)),"-")</f>
        <v>-1800</v>
      </c>
      <c r="K11" s="221">
        <f t="shared" si="0"/>
        <v>35.499999999999993</v>
      </c>
      <c r="L11" s="222">
        <f>IF(K11=""," ",IF($K$5="LGBF Family Group Average",SUM(MROUND(SUM(SUM(VLOOKUP(C$18,'Raw - Degree Quals'!A:Q,16,FALSE)*VLOOKUP(C11,'Raw - Degree Quals'!A:Q,15,FALSE))/100),100)-MROUND(SUM(SUM(VLOOKUP(C11,'Raw - Degree Quals'!A:Q,16,FALSE)*VLOOKUP(C11,'Raw - Degree Quals'!A:Q,15,FALSE))/100),100)),IF($K$5="City Region Comparator",SUM(MROUND(SUM(SUM(VLOOKUP(C$19,'Raw - Degree Quals'!A:Q,16,FALSE)*VLOOKUP(C11,'Raw - Degree Quals'!A:Q,15,FALSE))/100),100)-MROUND(SUM(SUM(VLOOKUP(C11,'Raw - Degree Quals'!A:Q,16,FALSE)*VLOOKUP(C11,'Raw - Degree Quals'!A:Q,15,FALSE))/100),100)),IF($K$5="Scotland",SUM(MROUND(SUM(SUM(VLOOKUP(C$20,'Raw - Degree Quals'!A:Q,16,FALSE)*VLOOKUP(C11,'Raw - Degree Quals'!A:Q,15,FALSE))/100),100)-MROUND(SUM(SUM(VLOOKUP(C11,'Raw - Degree Quals'!A:Q,16,FALSE)*VLOOKUP(C11,'Raw - Degree Quals'!A:Q,15,FALSE))/100),100)),IF($K$5="United Kingdom",SUM(MROUND(SUM(SUM(VLOOKUP(C$21,'Raw - Degree Quals'!A:Q,16,FALSE)*VLOOKUP(C11,'Raw - Degree Quals'!A:Q,15,FALSE))/100),100)-MROUND(SUM(SUM(VLOOKUP(C11,'Raw - Degree Quals'!A:Q,16,FALSE)*VLOOKUP(C11,'Raw - Degree Quals'!A:Q,15,FALSE))/100),100)),SUM(MROUND(SUM(SUM(VLOOKUP(C$17,'Raw - Degree Quals'!A:Q,16,FALSE)*VLOOKUP(C11,'Raw - Degree Quals'!A:Q,15,FALSE))/100),100)-MROUND(SUM(SUM(VLOOKUP(C11,'Raw - Degree Quals'!A:Q,16,FALSE)*VLOOKUP(C11,'Raw - Degree Quals'!A:Q,15,FALSE))/100),100)))))))</f>
        <v>4600</v>
      </c>
    </row>
    <row r="12" spans="2:12" s="137" customFormat="1" ht="19.5" customHeight="1">
      <c r="B12" s="216" t="s">
        <v>153</v>
      </c>
      <c r="C12" s="216" t="str">
        <f>IF(C$6="LGBF Family Group 1",Lookups!I33,IF(C$6="LGBF Family Group 2",Lookups!J33,IF(C$6="LGBF Family Group 3",Lookups!K33,Lookups!L33)))</f>
        <v>Scottish Borders</v>
      </c>
      <c r="D12" s="217" t="s">
        <v>71</v>
      </c>
      <c r="E12" s="217" t="s">
        <v>71</v>
      </c>
      <c r="F12" s="217">
        <f>VLOOKUP($C12,'Raw - Degree Quals'!$A:$Q,12,FALSE)</f>
        <v>49.7</v>
      </c>
      <c r="G12" s="217">
        <f>VLOOKUP($C12,'Raw - Degree Quals'!$A:$Q,16,FALSE)</f>
        <v>47.6</v>
      </c>
      <c r="H12" s="218">
        <f>VLOOKUP(C12,'Raw - Degree Quals'!A:Q,14,FALSE)</f>
        <v>30400</v>
      </c>
      <c r="I12" s="219">
        <f t="shared" si="1"/>
        <v>-2.1000000000000014</v>
      </c>
      <c r="J12" s="220">
        <f>IFERROR(SUM(VLOOKUP(C12,'Raw - Degree Quals'!A:Q,14,FALSE)-VLOOKUP(C12,'Raw - Degree Quals'!A:Q,10,FALSE)),"-")</f>
        <v>-1400</v>
      </c>
      <c r="K12" s="221">
        <f t="shared" si="0"/>
        <v>22.499999999999993</v>
      </c>
      <c r="L12" s="222">
        <f>IF(K12=""," ",IF($K$5="LGBF Family Group Average",SUM(MROUND(SUM(SUM(VLOOKUP(C$18,'Raw - Degree Quals'!A:Q,16,FALSE)*VLOOKUP(C12,'Raw - Degree Quals'!A:Q,15,FALSE))/100),100)-MROUND(SUM(SUM(VLOOKUP(C12,'Raw - Degree Quals'!A:Q,16,FALSE)*VLOOKUP(C12,'Raw - Degree Quals'!A:Q,15,FALSE))/100),100)),IF($K$5="City Region Comparator",SUM(MROUND(SUM(SUM(VLOOKUP(C$19,'Raw - Degree Quals'!A:Q,16,FALSE)*VLOOKUP(C12,'Raw - Degree Quals'!A:Q,15,FALSE))/100),100)-MROUND(SUM(SUM(VLOOKUP(C12,'Raw - Degree Quals'!A:Q,16,FALSE)*VLOOKUP(C12,'Raw - Degree Quals'!A:Q,15,FALSE))/100),100)),IF($K$5="Scotland",SUM(MROUND(SUM(SUM(VLOOKUP(C$20,'Raw - Degree Quals'!A:Q,16,FALSE)*VLOOKUP(C12,'Raw - Degree Quals'!A:Q,15,FALSE))/100),100)-MROUND(SUM(SUM(VLOOKUP(C12,'Raw - Degree Quals'!A:Q,16,FALSE)*VLOOKUP(C12,'Raw - Degree Quals'!A:Q,15,FALSE))/100),100)),IF($K$5="United Kingdom",SUM(MROUND(SUM(SUM(VLOOKUP(C$21,'Raw - Degree Quals'!A:Q,16,FALSE)*VLOOKUP(C12,'Raw - Degree Quals'!A:Q,15,FALSE))/100),100)-MROUND(SUM(SUM(VLOOKUP(C12,'Raw - Degree Quals'!A:Q,16,FALSE)*VLOOKUP(C12,'Raw - Degree Quals'!A:Q,15,FALSE))/100),100)),SUM(MROUND(SUM(SUM(VLOOKUP(C$17,'Raw - Degree Quals'!A:Q,16,FALSE)*VLOOKUP(C12,'Raw - Degree Quals'!A:Q,15,FALSE))/100),100)-MROUND(SUM(SUM(VLOOKUP(C12,'Raw - Degree Quals'!A:Q,16,FALSE)*VLOOKUP(C12,'Raw - Degree Quals'!A:Q,15,FALSE))/100),100)))))))</f>
        <v>14400</v>
      </c>
    </row>
    <row r="13" spans="2:12" s="137" customFormat="1" ht="19.5" customHeight="1">
      <c r="B13" s="216" t="s">
        <v>153</v>
      </c>
      <c r="C13" s="216" t="str">
        <f>IF(C$6="LGBF Family Group 1",Lookups!I34,IF(C$6="LGBF Family Group 2",Lookups!J34,IF(C$6="LGBF Family Group 3",Lookups!K34,Lookups!L34)))</f>
        <v>Dumfries and Galloway</v>
      </c>
      <c r="D13" s="217" t="s">
        <v>71</v>
      </c>
      <c r="E13" s="217" t="s">
        <v>71</v>
      </c>
      <c r="F13" s="217">
        <f>VLOOKUP($C13,'Raw - Degree Quals'!$A:$Q,12,FALSE)</f>
        <v>42.9</v>
      </c>
      <c r="G13" s="217">
        <f>VLOOKUP($C13,'Raw - Degree Quals'!$A:$Q,16,FALSE)</f>
        <v>53</v>
      </c>
      <c r="H13" s="218">
        <f>VLOOKUP(C13,'Raw - Degree Quals'!A:Q,14,FALSE)</f>
        <v>44200</v>
      </c>
      <c r="I13" s="219">
        <f t="shared" si="1"/>
        <v>10.100000000000001</v>
      </c>
      <c r="J13" s="220">
        <f>IFERROR(SUM(VLOOKUP(C13,'Raw - Degree Quals'!A:Q,14,FALSE)-VLOOKUP(C13,'Raw - Degree Quals'!A:Q,10,FALSE)),"-")</f>
        <v>9700</v>
      </c>
      <c r="K13" s="221">
        <f t="shared" si="0"/>
        <v>17.099999999999994</v>
      </c>
      <c r="L13" s="222">
        <f>IF(K13=""," ",IF($K$5="LGBF Family Group Average",SUM(MROUND(SUM(SUM(VLOOKUP(C$18,'Raw - Degree Quals'!A:Q,16,FALSE)*VLOOKUP(C13,'Raw - Degree Quals'!A:Q,15,FALSE))/100),100)-MROUND(SUM(SUM(VLOOKUP(C13,'Raw - Degree Quals'!A:Q,16,FALSE)*VLOOKUP(C13,'Raw - Degree Quals'!A:Q,15,FALSE))/100),100)),IF($K$5="City Region Comparator",SUM(MROUND(SUM(SUM(VLOOKUP(C$19,'Raw - Degree Quals'!A:Q,16,FALSE)*VLOOKUP(C13,'Raw - Degree Quals'!A:Q,15,FALSE))/100),100)-MROUND(SUM(SUM(VLOOKUP(C13,'Raw - Degree Quals'!A:Q,16,FALSE)*VLOOKUP(C13,'Raw - Degree Quals'!A:Q,15,FALSE))/100),100)),IF($K$5="Scotland",SUM(MROUND(SUM(SUM(VLOOKUP(C$20,'Raw - Degree Quals'!A:Q,16,FALSE)*VLOOKUP(C13,'Raw - Degree Quals'!A:Q,15,FALSE))/100),100)-MROUND(SUM(SUM(VLOOKUP(C13,'Raw - Degree Quals'!A:Q,16,FALSE)*VLOOKUP(C13,'Raw - Degree Quals'!A:Q,15,FALSE))/100),100)),IF($K$5="United Kingdom",SUM(MROUND(SUM(SUM(VLOOKUP(C$21,'Raw - Degree Quals'!A:Q,16,FALSE)*VLOOKUP(C13,'Raw - Degree Quals'!A:Q,15,FALSE))/100),100)-MROUND(SUM(SUM(VLOOKUP(C13,'Raw - Degree Quals'!A:Q,16,FALSE)*VLOOKUP(C13,'Raw - Degree Quals'!A:Q,15,FALSE))/100),100)),SUM(MROUND(SUM(SUM(VLOOKUP(C$17,'Raw - Degree Quals'!A:Q,16,FALSE)*VLOOKUP(C13,'Raw - Degree Quals'!A:Q,15,FALSE))/100),100)-MROUND(SUM(SUM(VLOOKUP(C13,'Raw - Degree Quals'!A:Q,16,FALSE)*VLOOKUP(C13,'Raw - Degree Quals'!A:Q,15,FALSE))/100),100)))))))</f>
        <v>14200</v>
      </c>
    </row>
    <row r="14" spans="2:12" s="137" customFormat="1" ht="19.5" customHeight="1">
      <c r="B14" s="216" t="s">
        <v>153</v>
      </c>
      <c r="C14" s="216" t="str">
        <f>IF(C$6="LGBF Family Group 1",Lookups!I35,IF(C$6="LGBF Family Group 2",Lookups!J35,IF(C$6="LGBF Family Group 3",Lookups!K35,Lookups!L35)))</f>
        <v>Aberdeenshire</v>
      </c>
      <c r="D14" s="217" t="s">
        <v>71</v>
      </c>
      <c r="E14" s="217" t="s">
        <v>71</v>
      </c>
      <c r="F14" s="217">
        <f>VLOOKUP($C14,'Raw - Degree Quals'!$A:$Q,12,FALSE)</f>
        <v>46.5</v>
      </c>
      <c r="G14" s="217">
        <f>VLOOKUP($C14,'Raw - Degree Quals'!$A:$Q,16,FALSE)</f>
        <v>50.1</v>
      </c>
      <c r="H14" s="218">
        <f>VLOOKUP(C14,'Raw - Degree Quals'!A:Q,14,FALSE)</f>
        <v>82600</v>
      </c>
      <c r="I14" s="219">
        <f t="shared" si="1"/>
        <v>3.6000000000000014</v>
      </c>
      <c r="J14" s="220">
        <f>IFERROR(SUM(VLOOKUP(C14,'Raw - Degree Quals'!A:Q,14,FALSE)-VLOOKUP(C14,'Raw - Degree Quals'!A:Q,10,FALSE)),"-")</f>
        <v>9800</v>
      </c>
      <c r="K14" s="221">
        <f t="shared" si="0"/>
        <v>19.999999999999993</v>
      </c>
      <c r="L14" s="222">
        <f>IF(K14=""," ",IF($K$5="LGBF Family Group Average",SUM(MROUND(SUM(SUM(VLOOKUP(C$18,'Raw - Degree Quals'!A:Q,16,FALSE)*VLOOKUP(C14,'Raw - Degree Quals'!A:Q,15,FALSE))/100),100)-MROUND(SUM(SUM(VLOOKUP(C14,'Raw - Degree Quals'!A:Q,16,FALSE)*VLOOKUP(C14,'Raw - Degree Quals'!A:Q,15,FALSE))/100),100)),IF($K$5="City Region Comparator",SUM(MROUND(SUM(SUM(VLOOKUP(C$19,'Raw - Degree Quals'!A:Q,16,FALSE)*VLOOKUP(C14,'Raw - Degree Quals'!A:Q,15,FALSE))/100),100)-MROUND(SUM(SUM(VLOOKUP(C14,'Raw - Degree Quals'!A:Q,16,FALSE)*VLOOKUP(C14,'Raw - Degree Quals'!A:Q,15,FALSE))/100),100)),IF($K$5="Scotland",SUM(MROUND(SUM(SUM(VLOOKUP(C$20,'Raw - Degree Quals'!A:Q,16,FALSE)*VLOOKUP(C14,'Raw - Degree Quals'!A:Q,15,FALSE))/100),100)-MROUND(SUM(SUM(VLOOKUP(C14,'Raw - Degree Quals'!A:Q,16,FALSE)*VLOOKUP(C14,'Raw - Degree Quals'!A:Q,15,FALSE))/100),100)),IF($K$5="United Kingdom",SUM(MROUND(SUM(SUM(VLOOKUP(C$21,'Raw - Degree Quals'!A:Q,16,FALSE)*VLOOKUP(C14,'Raw - Degree Quals'!A:Q,15,FALSE))/100),100)-MROUND(SUM(SUM(VLOOKUP(C14,'Raw - Degree Quals'!A:Q,16,FALSE)*VLOOKUP(C14,'Raw - Degree Quals'!A:Q,15,FALSE))/100),100)),SUM(MROUND(SUM(SUM(VLOOKUP(C$17,'Raw - Degree Quals'!A:Q,16,FALSE)*VLOOKUP(C14,'Raw - Degree Quals'!A:Q,15,FALSE))/100),100)-MROUND(SUM(SUM(VLOOKUP(C14,'Raw - Degree Quals'!A:Q,16,FALSE)*VLOOKUP(C14,'Raw - Degree Quals'!A:Q,15,FALSE))/100),100)))))))</f>
        <v>33000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Degree Quals'!$A$9:$A$40,MATCH(MAX('Raw - Degree Quals'!P9:P40),'Raw - Degree Quals'!P9:P40,0))</f>
        <v>East Renfrewshire</v>
      </c>
      <c r="D17" s="217" t="s">
        <v>71</v>
      </c>
      <c r="E17" s="217" t="s">
        <v>71</v>
      </c>
      <c r="F17" s="217">
        <f>VLOOKUP($C17,'Raw - Degree Quals'!$A:$Q,12,FALSE)</f>
        <v>65.599999999999994</v>
      </c>
      <c r="G17" s="217">
        <f>VLOOKUP($C17,'Raw - Degree Quals'!$A:$Q,16,FALSE)</f>
        <v>70.099999999999994</v>
      </c>
      <c r="H17" s="218">
        <f>VLOOKUP(C17,'Raw - Degree Quals'!A:Q,14,FALSE)</f>
        <v>38000</v>
      </c>
      <c r="I17" s="219">
        <f t="shared" ref="I17" si="2">IFERROR(SUM(G17-F17),"-")</f>
        <v>4.5</v>
      </c>
      <c r="J17" s="220">
        <f>IFERROR(SUM(VLOOKUP(C17,'Raw - Degree Quals'!A:Q,14,FALSE)-VLOOKUP(C17,'Raw - Degree Quals'!A:Q,10,FALSE)),"-")</f>
        <v>2700</v>
      </c>
    </row>
    <row r="18" spans="2:12" s="137" customFormat="1" ht="19.5" customHeight="1">
      <c r="B18" s="226" t="s">
        <v>271</v>
      </c>
      <c r="C18" s="227" t="s">
        <v>248</v>
      </c>
      <c r="D18" s="217" t="s">
        <v>71</v>
      </c>
      <c r="E18" s="217" t="s">
        <v>71</v>
      </c>
      <c r="F18" s="217">
        <f>VLOOKUP($C18,'Raw - Degree Quals'!$A:$Q,12,FALSE)</f>
        <v>52.523393158459882</v>
      </c>
      <c r="G18" s="217">
        <f>VLOOKUP($C18,'Raw - Degree Quals'!$A:$Q,16,FALSE)</f>
        <v>53.82517800333283</v>
      </c>
      <c r="H18" s="218">
        <f>VLOOKUP(C18,'Raw - Degree Quals'!A:Q,14,FALSE)</f>
        <v>355300</v>
      </c>
      <c r="I18" s="219">
        <f t="shared" ref="I18:I21" si="3">IFERROR(SUM(G18-F18),"-")</f>
        <v>1.3017848448729481</v>
      </c>
      <c r="J18" s="220">
        <f>IFERROR(SUM(VLOOKUP(C18,'Raw - Degree Quals'!A:Q,14,FALSE)-VLOOKUP(C18,'Raw - Degree Quals'!A:Q,10,FALSE)),"-")</f>
        <v>12900</v>
      </c>
    </row>
    <row r="19" spans="2:12" s="137" customFormat="1" ht="19.5" customHeight="1">
      <c r="B19" s="226" t="s">
        <v>270</v>
      </c>
      <c r="C19" s="216" t="s">
        <v>157</v>
      </c>
      <c r="D19" s="217" t="s">
        <v>71</v>
      </c>
      <c r="E19" s="217" t="s">
        <v>71</v>
      </c>
      <c r="F19" s="217">
        <f>VLOOKUP($C19,'Raw - Degree Quals'!$A:$Q,12,FALSE)</f>
        <v>61.620091970286531</v>
      </c>
      <c r="G19" s="217">
        <f>VLOOKUP($C19,'Raw - Degree Quals'!$A:$Q,16,FALSE)</f>
        <v>59.925917351545323</v>
      </c>
      <c r="H19" s="218">
        <f>VLOOKUP(C19,'Raw - Degree Quals'!A:Q,14,FALSE)</f>
        <v>517700</v>
      </c>
      <c r="I19" s="219">
        <f t="shared" si="3"/>
        <v>-1.6941746187412079</v>
      </c>
      <c r="J19" s="220">
        <f>IFERROR(SUM(VLOOKUP(C19,'Raw - Degree Quals'!A:Q,14,FALSE)-VLOOKUP(C19,'Raw - Degree Quals'!A:Q,10,FALSE)),"-")</f>
        <v>-4900</v>
      </c>
    </row>
    <row r="20" spans="2:12" s="137" customFormat="1" ht="19.5" customHeight="1">
      <c r="B20" s="226" t="s">
        <v>164</v>
      </c>
      <c r="C20" s="216" t="s">
        <v>46</v>
      </c>
      <c r="D20" s="217" t="s">
        <v>71</v>
      </c>
      <c r="E20" s="217" t="s">
        <v>71</v>
      </c>
      <c r="F20" s="217">
        <f>VLOOKUP($C20,'Raw - Degree Quals'!$A:$Q,12,FALSE)</f>
        <v>54.2</v>
      </c>
      <c r="G20" s="217">
        <f>VLOOKUP($C20,'Raw - Degree Quals'!$A:$Q,16,FALSE)</f>
        <v>55.1</v>
      </c>
      <c r="H20" s="218">
        <f>VLOOKUP(C20,'Raw - Degree Quals'!A:Q,14,FALSE)</f>
        <v>1831700</v>
      </c>
      <c r="I20" s="219">
        <f t="shared" si="3"/>
        <v>0.89999999999999858</v>
      </c>
      <c r="J20" s="220">
        <f>IFERROR(SUM(VLOOKUP(C20,'Raw - Degree Quals'!A:Q,14,FALSE)-VLOOKUP(C20,'Raw - Degree Quals'!A:Q,10,FALSE)),"-")</f>
        <v>61400</v>
      </c>
    </row>
    <row r="21" spans="2:12" s="137" customFormat="1" ht="19.5" customHeight="1">
      <c r="B21" s="226" t="s">
        <v>164</v>
      </c>
      <c r="C21" s="216" t="s">
        <v>47</v>
      </c>
      <c r="D21" s="217" t="s">
        <v>71</v>
      </c>
      <c r="E21" s="217" t="s">
        <v>71</v>
      </c>
      <c r="F21" s="217">
        <f>VLOOKUP($C21,'Raw - Degree Quals'!$A:$Q,12,FALSE)</f>
        <v>45.5</v>
      </c>
      <c r="G21" s="217">
        <f>VLOOKUP($C21,'Raw - Degree Quals'!$A:$Q,16,FALSE)</f>
        <v>47.1</v>
      </c>
      <c r="H21" s="218">
        <f>VLOOKUP(C21,'Raw - Degree Quals'!A:Q,14,FALSE)</f>
        <v>19134600</v>
      </c>
      <c r="I21" s="219">
        <f t="shared" si="3"/>
        <v>1.6000000000000014</v>
      </c>
      <c r="J21" s="220">
        <f>IFERROR(SUM(VLOOKUP(C21,'Raw - Degree Quals'!A:Q,14,FALSE)-VLOOKUP(C21,'Raw - Degree Quals'!A:Q,10,FALSE)),"-")</f>
        <v>1067000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d7JP+EG3orLxg8mZryDiG5nXt56a5bPitvcGskwB8X0LijylEeBAAgtgPVsJjg0hV9q+aG2/zGTkbMtOnmVu2g==" saltValue="7xMjhnQSGsqw18PWwWEqyA==" spinCount="100000" sheet="1" sort="0"/>
  <mergeCells count="4">
    <mergeCell ref="K4:L4"/>
    <mergeCell ref="I5:J5"/>
    <mergeCell ref="K5:L5"/>
    <mergeCell ref="F2:G2"/>
  </mergeCells>
  <hyperlinks>
    <hyperlink ref="C3" r:id="rId1" xr:uid="{00000000-0004-0000-0900-000000000000}"/>
    <hyperlink ref="F2:G2" location="'Index RAG'!A1" display="Return to Index RAG" xr:uid="{00000000-0004-0000-09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A317547-B129-4098-A3FA-C901467C5501}">
          <x14:formula1>
            <xm:f>Lookups!$B$27:$E$27</xm:f>
          </x14:formula1>
          <xm:sqref>C6</xm:sqref>
        </x14:dataValidation>
        <x14:dataValidation type="list" allowBlank="1" showInputMessage="1" showErrorMessage="1" xr:uid="{ECE09FD4-034D-442C-A55B-A627325D5B3E}">
          <x14:formula1>
            <xm:f>Lookups!$B$36:$E$36</xm:f>
          </x14:formula1>
          <xm:sqref>C18</xm:sqref>
        </x14:dataValidation>
        <x14:dataValidation type="list" allowBlank="1" showInputMessage="1" showErrorMessage="1" xr:uid="{12ABDBB8-F009-4724-82CC-0B1A30080EB3}">
          <x14:formula1>
            <xm:f>Lookups!$B$9:$B$13</xm:f>
          </x14:formula1>
          <xm:sqref>K5:L5</xm:sqref>
        </x14:dataValidation>
        <x14:dataValidation type="list" allowBlank="1" showInputMessage="1" showErrorMessage="1" xr:uid="{6C254C88-5E54-44F5-A2FC-1DD1498F0929}">
          <x14:formula1>
            <xm:f>Lookups!$Q$3:$Q$7</xm:f>
          </x14:formula1>
          <xm:sqref>C19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No Qualifications (%) - LGBF Family Group 1</v>
      </c>
      <c r="D1" s="170" t="s">
        <v>290</v>
      </c>
    </row>
    <row r="2" spans="2:12" ht="12.75">
      <c r="B2" s="171" t="s">
        <v>49</v>
      </c>
      <c r="C2" s="172" t="s">
        <v>210</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34" t="str">
        <f>IF(VLOOKUP($C7,'Raw - No Qualifications'!$A:$Q,4,FALSE)="","-",(VLOOKUP($C7,'Raw - No Qualifications'!$A:$Q,4,FALSE)))</f>
        <v>-</v>
      </c>
      <c r="E7" s="234" t="str">
        <f>IF(VLOOKUP($C7,'Raw - No Qualifications'!$A:$Q,8,FALSE)="","-",(VLOOKUP($C7,'Raw - No Qualifications'!$A:$Q,8,FALSE)))</f>
        <v>-</v>
      </c>
      <c r="F7" s="234">
        <f>IF(VLOOKUP($C7,'Raw - No Qualifications'!$A:$Q,12,FALSE)="","-",(VLOOKUP($C7,'Raw - No Qualifications'!$A:$Q,12,FALSE)))</f>
        <v>6.1</v>
      </c>
      <c r="G7" s="234">
        <f>IF(VLOOKUP($C7,'Raw - No Qualifications'!$A:$Q,16,FALSE)="","-",(VLOOKUP($C7,'Raw - No Qualifications'!$A:$Q,16,FALSE)))</f>
        <v>4.9000000000000004</v>
      </c>
      <c r="H7" s="218">
        <f>IF(VLOOKUP($C7,'Raw - No Qualifications'!$A:$Q,14,FALSE)="","-",(VLOOKUP($C7,'Raw - No Qualifications'!$A:$Q,14,FALSE)))</f>
        <v>700</v>
      </c>
      <c r="I7" s="219">
        <f>IFERROR(SUM(G7-F7),"-")</f>
        <v>-1.1999999999999993</v>
      </c>
      <c r="J7" s="220">
        <f>IFERROR(SUM(VLOOKUP(C7,'Raw - No Qualifications'!A:Q,14,FALSE)-VLOOKUP(C7,'Raw - No Qualifications'!A:Q,10,FALSE)),"-")</f>
        <v>-200</v>
      </c>
      <c r="K7" s="221">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-2.8000000000000003</v>
      </c>
      <c r="L7" s="222">
        <f>IF(K7="-","-",IF(K7=""," ",IF($K$5="LGBF Family Group Average",SUM(MROUND(SUM(SUM(VLOOKUP(C$18,'Raw - No Qualifications'!A:Q,16,FALSE)*VLOOKUP(C7,'Raw - No Qualifications'!A:Q,15,FALSE))/100),100)-MROUND(SUM(SUM(VLOOKUP(C7,'Raw - No Qualifications'!A:Q,16,FALSE)*VLOOKUP(C7,'Raw - No Qualifications'!A:Q,15,FALSE))/100),100)),IF($K$5="City Region Comparator",SUM(MROUND(SUM(SUM(VLOOKUP(C$19,'Raw - No Qualifications'!A:Q,16,FALSE)*VLOOKUP(C7,'Raw - No Qualifications'!A:Q,15,FALSE))/100),100)-MROUND(SUM(SUM(VLOOKUP(C7,'Raw - No Qualifications'!A:Q,16,FALSE)*VLOOKUP(C7,'Raw - No Qualifications'!A:Q,15,FALSE))/100),100)),IF($K$5="Scotland",SUM(MROUND(SUM(SUM(VLOOKUP(C$20,'Raw - No Qualifications'!A:Q,16,FALSE)*VLOOKUP(C7,'Raw - No Qualifications'!A:Q,15,FALSE))/100),100)-MROUND(SUM(SUM(VLOOKUP(C7,'Raw - No Qualifications'!A:Q,16,FALSE)*VLOOKUP(C7,'Raw - No Qualifications'!A:Q,15,FALSE))/100),100)),IF($K$5="United Kingdom",SUM(MROUND(SUM(SUM(VLOOKUP(C$21,'Raw - No Qualifications'!A:Q,16,FALSE)*VLOOKUP(C7,'Raw - No Qualifications'!A:Q,15,FALSE))/100),100)-MROUND(SUM(SUM(VLOOKUP(C7,'Raw - No Qualifications'!A:Q,16,FALSE)*VLOOKUP(C7,'Raw - No Qualifications'!A:Q,15,FALSE))/100),100)),SUM(MROUND(SUM(SUM(VLOOKUP(C$17,'Raw - No Qualifications'!A:Q,16,FALSE)*VLOOKUP(C7,'Raw - No Qualifications'!A:Q,15,FALSE))/100),100)-MROUND(SUM(SUM(VLOOKUP(C7,'Raw - No Qualifications'!A:Q,16,FALSE)*VLOOKUP(C7,'Raw - No Qualifications'!A:Q,15,FALSE))/100),100))))))))</f>
        <v>-400</v>
      </c>
    </row>
    <row r="8" spans="2:12" s="137" customFormat="1" ht="19.5" customHeight="1">
      <c r="B8" s="216" t="s">
        <v>153</v>
      </c>
      <c r="C8" s="216" t="str">
        <f>IF(C$6="LGBF Family Group 1",Lookups!I29,IF(C$6="LGBF Family Group 2",Lookups!J29,IF(C$6="LGBF Family Group 3",Lookups!K29,Lookups!L29)))</f>
        <v>Argyll and Bute</v>
      </c>
      <c r="D8" s="234" t="str">
        <f>IF(VLOOKUP($C8,'Raw - No Qualifications'!$A:$Q,4,FALSE)="","-",(VLOOKUP($C8,'Raw - No Qualifications'!$A:$Q,4,FALSE)))</f>
        <v>-</v>
      </c>
      <c r="E8" s="234" t="str">
        <f>IF(VLOOKUP($C8,'Raw - No Qualifications'!$A:$Q,8,FALSE)="","-",(VLOOKUP($C8,'Raw - No Qualifications'!$A:$Q,8,FALSE)))</f>
        <v>-</v>
      </c>
      <c r="F8" s="234">
        <f>IF(VLOOKUP($C8,'Raw - No Qualifications'!$A:$Q,12,FALSE)="","-",(VLOOKUP($C8,'Raw - No Qualifications'!$A:$Q,12,FALSE)))</f>
        <v>4</v>
      </c>
      <c r="G8" s="234">
        <f>IF(VLOOKUP($C8,'Raw - No Qualifications'!$A:$Q,16,FALSE)="","-",(VLOOKUP($C8,'Raw - No Qualifications'!$A:$Q,16,FALSE)))</f>
        <v>6.2</v>
      </c>
      <c r="H8" s="218">
        <f>IF(VLOOKUP($C8,'Raw - No Qualifications'!$A:$Q,14,FALSE)="","-",(VLOOKUP($C8,'Raw - No Qualifications'!$A:$Q,14,FALSE)))</f>
        <v>2900</v>
      </c>
      <c r="I8" s="219">
        <f t="shared" ref="I8:I14" si="1">IFERROR(SUM(G8-F8),"-")</f>
        <v>2.2000000000000002</v>
      </c>
      <c r="J8" s="220">
        <f>IFERROR(SUM(VLOOKUP(C8,'Raw - No Qualifications'!A:Q,14,FALSE)-VLOOKUP(C8,'Raw - No Qualifications'!A:Q,10,FALSE)),"-")</f>
        <v>1000</v>
      </c>
      <c r="K8" s="221">
        <f t="shared" si="0"/>
        <v>-4.0999999999999996</v>
      </c>
      <c r="L8" s="222">
        <f>IF(K8="-","-",IF(K8=""," ",IF($K$5="LGBF Family Group Average",SUM(MROUND(SUM(SUM(VLOOKUP(C$18,'Raw - No Qualifications'!A:Q,16,FALSE)*VLOOKUP(C8,'Raw - No Qualifications'!A:Q,15,FALSE))/100),100)-MROUND(SUM(SUM(VLOOKUP(C8,'Raw - No Qualifications'!A:Q,16,FALSE)*VLOOKUP(C8,'Raw - No Qualifications'!A:Q,15,FALSE))/100),100)),IF($K$5="City Region Comparator",SUM(MROUND(SUM(SUM(VLOOKUP(C$19,'Raw - No Qualifications'!A:Q,16,FALSE)*VLOOKUP(C8,'Raw - No Qualifications'!A:Q,15,FALSE))/100),100)-MROUND(SUM(SUM(VLOOKUP(C8,'Raw - No Qualifications'!A:Q,16,FALSE)*VLOOKUP(C8,'Raw - No Qualifications'!A:Q,15,FALSE))/100),100)),IF($K$5="Scotland",SUM(MROUND(SUM(SUM(VLOOKUP(C$20,'Raw - No Qualifications'!A:Q,16,FALSE)*VLOOKUP(C8,'Raw - No Qualifications'!A:Q,15,FALSE))/100),100)-MROUND(SUM(SUM(VLOOKUP(C8,'Raw - No Qualifications'!A:Q,16,FALSE)*VLOOKUP(C8,'Raw - No Qualifications'!A:Q,15,FALSE))/100),100)),IF($K$5="United Kingdom",SUM(MROUND(SUM(SUM(VLOOKUP(C$21,'Raw - No Qualifications'!A:Q,16,FALSE)*VLOOKUP(C8,'Raw - No Qualifications'!A:Q,15,FALSE))/100),100)-MROUND(SUM(SUM(VLOOKUP(C8,'Raw - No Qualifications'!A:Q,16,FALSE)*VLOOKUP(C8,'Raw - No Qualifications'!A:Q,15,FALSE))/100),100)),SUM(MROUND(SUM(SUM(VLOOKUP(C$17,'Raw - No Qualifications'!A:Q,16,FALSE)*VLOOKUP(C8,'Raw - No Qualifications'!A:Q,15,FALSE))/100),100)-MROUND(SUM(SUM(VLOOKUP(C8,'Raw - No Qualifications'!A:Q,16,FALSE)*VLOOKUP(C8,'Raw - No Qualifications'!A:Q,15,FALSE))/100),100))))))))</f>
        <v>-1900</v>
      </c>
    </row>
    <row r="9" spans="2:12" s="137" customFormat="1" ht="19.5" customHeight="1">
      <c r="B9" s="216" t="s">
        <v>153</v>
      </c>
      <c r="C9" s="216" t="str">
        <f>IF(C$6="LGBF Family Group 1",Lookups!I30,IF(C$6="LGBF Family Group 2",Lookups!J30,IF(C$6="LGBF Family Group 3",Lookups!K30,Lookups!L30)))</f>
        <v>Shetland Islands</v>
      </c>
      <c r="D9" s="234" t="str">
        <f>IF(VLOOKUP($C9,'Raw - No Qualifications'!$A:$Q,4,FALSE)="","-",(VLOOKUP($C9,'Raw - No Qualifications'!$A:$Q,4,FALSE)))</f>
        <v>-</v>
      </c>
      <c r="E9" s="234" t="str">
        <f>IF(VLOOKUP($C9,'Raw - No Qualifications'!$A:$Q,8,FALSE)="","-",(VLOOKUP($C9,'Raw - No Qualifications'!$A:$Q,8,FALSE)))</f>
        <v>-</v>
      </c>
      <c r="F9" s="234" t="str">
        <f>IF(VLOOKUP($C9,'Raw - No Qualifications'!$A:$Q,12,FALSE)="","-",(VLOOKUP($C9,'Raw - No Qualifications'!$A:$Q,12,FALSE)))</f>
        <v>-</v>
      </c>
      <c r="G9" s="234" t="str">
        <f>IF(VLOOKUP($C9,'Raw - No Qualifications'!$A:$Q,16,FALSE)="","-",(VLOOKUP($C9,'Raw - No Qualifications'!$A:$Q,16,FALSE)))</f>
        <v>-</v>
      </c>
      <c r="H9" s="218" t="str">
        <f>IF(VLOOKUP($C9,'Raw - No Qualifications'!$A:$Q,14,FALSE)="","-",(VLOOKUP($C9,'Raw - No Qualifications'!$A:$Q,14,FALSE)))</f>
        <v>-</v>
      </c>
      <c r="I9" s="219" t="str">
        <f t="shared" si="1"/>
        <v>-</v>
      </c>
      <c r="J9" s="220" t="str">
        <f>IFERROR(SUM(VLOOKUP(C9,'Raw - No Qualifications'!A:Q,14,FALSE)-VLOOKUP(C9,'Raw - No Qualifications'!A:Q,10,FALSE)),"-")</f>
        <v>-</v>
      </c>
      <c r="K9" s="221" t="str">
        <f t="shared" si="0"/>
        <v>-</v>
      </c>
      <c r="L9" s="222" t="str">
        <f>IF(K9="-","-",IF(K9=""," ",IF($K$5="LGBF Family Group Average",SUM(MROUND(SUM(SUM(VLOOKUP(C$18,'Raw - No Qualifications'!A:Q,16,FALSE)*VLOOKUP(C9,'Raw - No Qualifications'!A:Q,15,FALSE))/100),100)-MROUND(SUM(SUM(VLOOKUP(C9,'Raw - No Qualifications'!A:Q,16,FALSE)*VLOOKUP(C9,'Raw - No Qualifications'!A:Q,15,FALSE))/100),100)),IF($K$5="City Region Comparator",SUM(MROUND(SUM(SUM(VLOOKUP(C$19,'Raw - No Qualifications'!A:Q,16,FALSE)*VLOOKUP(C9,'Raw - No Qualifications'!A:Q,15,FALSE))/100),100)-MROUND(SUM(SUM(VLOOKUP(C9,'Raw - No Qualifications'!A:Q,16,FALSE)*VLOOKUP(C9,'Raw - No Qualifications'!A:Q,15,FALSE))/100),100)),IF($K$5="Scotland",SUM(MROUND(SUM(SUM(VLOOKUP(C$20,'Raw - No Qualifications'!A:Q,16,FALSE)*VLOOKUP(C9,'Raw - No Qualifications'!A:Q,15,FALSE))/100),100)-MROUND(SUM(SUM(VLOOKUP(C9,'Raw - No Qualifications'!A:Q,16,FALSE)*VLOOKUP(C9,'Raw - No Qualifications'!A:Q,15,FALSE))/100),100)),IF($K$5="United Kingdom",SUM(MROUND(SUM(SUM(VLOOKUP(C$21,'Raw - No Qualifications'!A:Q,16,FALSE)*VLOOKUP(C9,'Raw - No Qualifications'!A:Q,15,FALSE))/100),100)-MROUND(SUM(SUM(VLOOKUP(C9,'Raw - No Qualifications'!A:Q,16,FALSE)*VLOOKUP(C9,'Raw - No Qualifications'!A:Q,15,FALSE))/100),100)),SUM(MROUND(SUM(SUM(VLOOKUP(C$17,'Raw - No Qualifications'!A:Q,16,FALSE)*VLOOKUP(C9,'Raw - No Qualifications'!A:Q,15,FALSE))/100),100)-MROUND(SUM(SUM(VLOOKUP(C9,'Raw - No Qualifications'!A:Q,16,FALSE)*VLOOKUP(C9,'Raw - No Qualifications'!A:Q,15,FALSE))/100),100))))))))</f>
        <v>-</v>
      </c>
    </row>
    <row r="10" spans="2:12" s="137" customFormat="1" ht="19.5" customHeight="1">
      <c r="B10" s="216" t="s">
        <v>153</v>
      </c>
      <c r="C10" s="216" t="str">
        <f>IF(C$6="LGBF Family Group 1",Lookups!I31,IF(C$6="LGBF Family Group 2",Lookups!J31,IF(C$6="LGBF Family Group 3",Lookups!K31,Lookups!L31)))</f>
        <v>Highland</v>
      </c>
      <c r="D10" s="234" t="str">
        <f>IF(VLOOKUP($C10,'Raw - No Qualifications'!$A:$Q,4,FALSE)="","-",(VLOOKUP($C10,'Raw - No Qualifications'!$A:$Q,4,FALSE)))</f>
        <v>-</v>
      </c>
      <c r="E10" s="234" t="str">
        <f>IF(VLOOKUP($C10,'Raw - No Qualifications'!$A:$Q,8,FALSE)="","-",(VLOOKUP($C10,'Raw - No Qualifications'!$A:$Q,8,FALSE)))</f>
        <v>-</v>
      </c>
      <c r="F10" s="234">
        <f>IF(VLOOKUP($C10,'Raw - No Qualifications'!$A:$Q,12,FALSE)="","-",(VLOOKUP($C10,'Raw - No Qualifications'!$A:$Q,12,FALSE)))</f>
        <v>8.4</v>
      </c>
      <c r="G10" s="234">
        <f>IF(VLOOKUP($C10,'Raw - No Qualifications'!$A:$Q,16,FALSE)="","-",(VLOOKUP($C10,'Raw - No Qualifications'!$A:$Q,16,FALSE)))</f>
        <v>8.6999999999999993</v>
      </c>
      <c r="H10" s="218">
        <f>IF(VLOOKUP($C10,'Raw - No Qualifications'!$A:$Q,14,FALSE)="","-",(VLOOKUP($C10,'Raw - No Qualifications'!$A:$Q,14,FALSE)))</f>
        <v>12500</v>
      </c>
      <c r="I10" s="219">
        <f t="shared" si="1"/>
        <v>0.29999999999999893</v>
      </c>
      <c r="J10" s="220">
        <f>IFERROR(SUM(VLOOKUP(C10,'Raw - No Qualifications'!A:Q,14,FALSE)-VLOOKUP(C10,'Raw - No Qualifications'!A:Q,10,FALSE)),"-")</f>
        <v>1500</v>
      </c>
      <c r="K10" s="221">
        <f t="shared" si="0"/>
        <v>-6.6</v>
      </c>
      <c r="L10" s="222">
        <f>IF(K10="-","-",IF(K10=""," ",IF($K$5="LGBF Family Group Average",SUM(MROUND(SUM(SUM(VLOOKUP(C$18,'Raw - No Qualifications'!A:Q,16,FALSE)*VLOOKUP(C10,'Raw - No Qualifications'!A:Q,15,FALSE))/100),100)-MROUND(SUM(SUM(VLOOKUP(C10,'Raw - No Qualifications'!A:Q,16,FALSE)*VLOOKUP(C10,'Raw - No Qualifications'!A:Q,15,FALSE))/100),100)),IF($K$5="City Region Comparator",SUM(MROUND(SUM(SUM(VLOOKUP(C$19,'Raw - No Qualifications'!A:Q,16,FALSE)*VLOOKUP(C10,'Raw - No Qualifications'!A:Q,15,FALSE))/100),100)-MROUND(SUM(SUM(VLOOKUP(C10,'Raw - No Qualifications'!A:Q,16,FALSE)*VLOOKUP(C10,'Raw - No Qualifications'!A:Q,15,FALSE))/100),100)),IF($K$5="Scotland",SUM(MROUND(SUM(SUM(VLOOKUP(C$20,'Raw - No Qualifications'!A:Q,16,FALSE)*VLOOKUP(C10,'Raw - No Qualifications'!A:Q,15,FALSE))/100),100)-MROUND(SUM(SUM(VLOOKUP(C10,'Raw - No Qualifications'!A:Q,16,FALSE)*VLOOKUP(C10,'Raw - No Qualifications'!A:Q,15,FALSE))/100),100)),IF($K$5="United Kingdom",SUM(MROUND(SUM(SUM(VLOOKUP(C$21,'Raw - No Qualifications'!A:Q,16,FALSE)*VLOOKUP(C10,'Raw - No Qualifications'!A:Q,15,FALSE))/100),100)-MROUND(SUM(SUM(VLOOKUP(C10,'Raw - No Qualifications'!A:Q,16,FALSE)*VLOOKUP(C10,'Raw - No Qualifications'!A:Q,15,FALSE))/100),100)),SUM(MROUND(SUM(SUM(VLOOKUP(C$17,'Raw - No Qualifications'!A:Q,16,FALSE)*VLOOKUP(C10,'Raw - No Qualifications'!A:Q,15,FALSE))/100),100)-MROUND(SUM(SUM(VLOOKUP(C10,'Raw - No Qualifications'!A:Q,16,FALSE)*VLOOKUP(C10,'Raw - No Qualifications'!A:Q,15,FALSE))/100),100))))))))</f>
        <v>-9400</v>
      </c>
    </row>
    <row r="11" spans="2:12" s="137" customFormat="1" ht="19.5" customHeight="1">
      <c r="B11" s="216" t="s">
        <v>153</v>
      </c>
      <c r="C11" s="216" t="str">
        <f>IF(C$6="LGBF Family Group 1",Lookups!I32,IF(C$6="LGBF Family Group 2",Lookups!J32,IF(C$6="LGBF Family Group 3",Lookups!K32,Lookups!L32)))</f>
        <v>Orkney Islands</v>
      </c>
      <c r="D11" s="234" t="str">
        <f>IF(VLOOKUP($C11,'Raw - No Qualifications'!$A:$Q,4,FALSE)="","-",(VLOOKUP($C11,'Raw - No Qualifications'!$A:$Q,4,FALSE)))</f>
        <v>-</v>
      </c>
      <c r="E11" s="234" t="str">
        <f>IF(VLOOKUP($C11,'Raw - No Qualifications'!$A:$Q,8,FALSE)="","-",(VLOOKUP($C11,'Raw - No Qualifications'!$A:$Q,8,FALSE)))</f>
        <v>-</v>
      </c>
      <c r="F11" s="234" t="str">
        <f>IF(VLOOKUP($C11,'Raw - No Qualifications'!$A:$Q,12,FALSE)="","-",(VLOOKUP($C11,'Raw - No Qualifications'!$A:$Q,12,FALSE)))</f>
        <v>-</v>
      </c>
      <c r="G11" s="234" t="str">
        <f>IF(VLOOKUP($C11,'Raw - No Qualifications'!$A:$Q,16,FALSE)="","-",(VLOOKUP($C11,'Raw - No Qualifications'!$A:$Q,16,FALSE)))</f>
        <v>-</v>
      </c>
      <c r="H11" s="218" t="str">
        <f>IF(VLOOKUP($C11,'Raw - No Qualifications'!$A:$Q,14,FALSE)="","-",(VLOOKUP($C11,'Raw - No Qualifications'!$A:$Q,14,FALSE)))</f>
        <v>-</v>
      </c>
      <c r="I11" s="219" t="str">
        <f t="shared" si="1"/>
        <v>-</v>
      </c>
      <c r="J11" s="220" t="str">
        <f>IFERROR(SUM(VLOOKUP(C11,'Raw - No Qualifications'!A:Q,14,FALSE)-VLOOKUP(C11,'Raw - No Qualifications'!A:Q,10,FALSE)),"-")</f>
        <v>-</v>
      </c>
      <c r="K11" s="221" t="str">
        <f t="shared" si="0"/>
        <v>-</v>
      </c>
      <c r="L11" s="222" t="str">
        <f>IF(K11="-","-",IF(K11=""," ",IF($K$5="LGBF Family Group Average",SUM(MROUND(SUM(SUM(VLOOKUP(C$18,'Raw - No Qualifications'!A:Q,16,FALSE)*VLOOKUP(C11,'Raw - No Qualifications'!A:Q,15,FALSE))/100),100)-MROUND(SUM(SUM(VLOOKUP(C11,'Raw - No Qualifications'!A:Q,16,FALSE)*VLOOKUP(C11,'Raw - No Qualifications'!A:Q,15,FALSE))/100),100)),IF($K$5="City Region Comparator",SUM(MROUND(SUM(SUM(VLOOKUP(C$19,'Raw - No Qualifications'!A:Q,16,FALSE)*VLOOKUP(C11,'Raw - No Qualifications'!A:Q,15,FALSE))/100),100)-MROUND(SUM(SUM(VLOOKUP(C11,'Raw - No Qualifications'!A:Q,16,FALSE)*VLOOKUP(C11,'Raw - No Qualifications'!A:Q,15,FALSE))/100),100)),IF($K$5="Scotland",SUM(MROUND(SUM(SUM(VLOOKUP(C$20,'Raw - No Qualifications'!A:Q,16,FALSE)*VLOOKUP(C11,'Raw - No Qualifications'!A:Q,15,FALSE))/100),100)-MROUND(SUM(SUM(VLOOKUP(C11,'Raw - No Qualifications'!A:Q,16,FALSE)*VLOOKUP(C11,'Raw - No Qualifications'!A:Q,15,FALSE))/100),100)),IF($K$5="United Kingdom",SUM(MROUND(SUM(SUM(VLOOKUP(C$21,'Raw - No Qualifications'!A:Q,16,FALSE)*VLOOKUP(C11,'Raw - No Qualifications'!A:Q,15,FALSE))/100),100)-MROUND(SUM(SUM(VLOOKUP(C11,'Raw - No Qualifications'!A:Q,16,FALSE)*VLOOKUP(C11,'Raw - No Qualifications'!A:Q,15,FALSE))/100),100)),SUM(MROUND(SUM(SUM(VLOOKUP(C$17,'Raw - No Qualifications'!A:Q,16,FALSE)*VLOOKUP(C11,'Raw - No Qualifications'!A:Q,15,FALSE))/100),100)-MROUND(SUM(SUM(VLOOKUP(C11,'Raw - No Qualifications'!A:Q,16,FALSE)*VLOOKUP(C11,'Raw - No Qualifications'!A:Q,15,FALSE))/100),100))))))))</f>
        <v>-</v>
      </c>
    </row>
    <row r="12" spans="2:12" s="137" customFormat="1" ht="19.5" customHeight="1">
      <c r="B12" s="216" t="s">
        <v>153</v>
      </c>
      <c r="C12" s="216" t="str">
        <f>IF(C$6="LGBF Family Group 1",Lookups!I33,IF(C$6="LGBF Family Group 2",Lookups!J33,IF(C$6="LGBF Family Group 3",Lookups!K33,Lookups!L33)))</f>
        <v>Scottish Borders</v>
      </c>
      <c r="D12" s="234" t="str">
        <f>IF(VLOOKUP($C12,'Raw - No Qualifications'!$A:$Q,4,FALSE)="","-",(VLOOKUP($C12,'Raw - No Qualifications'!$A:$Q,4,FALSE)))</f>
        <v>-</v>
      </c>
      <c r="E12" s="234" t="str">
        <f>IF(VLOOKUP($C12,'Raw - No Qualifications'!$A:$Q,8,FALSE)="","-",(VLOOKUP($C12,'Raw - No Qualifications'!$A:$Q,8,FALSE)))</f>
        <v>-</v>
      </c>
      <c r="F12" s="234">
        <f>IF(VLOOKUP($C12,'Raw - No Qualifications'!$A:$Q,12,FALSE)="","-",(VLOOKUP($C12,'Raw - No Qualifications'!$A:$Q,12,FALSE)))</f>
        <v>5.5</v>
      </c>
      <c r="G12" s="234">
        <f>IF(VLOOKUP($C12,'Raw - No Qualifications'!$A:$Q,16,FALSE)="","-",(VLOOKUP($C12,'Raw - No Qualifications'!$A:$Q,16,FALSE)))</f>
        <v>4.3</v>
      </c>
      <c r="H12" s="218">
        <f>IF(VLOOKUP($C12,'Raw - No Qualifications'!$A:$Q,14,FALSE)="","-",(VLOOKUP($C12,'Raw - No Qualifications'!$A:$Q,14,FALSE)))</f>
        <v>2700</v>
      </c>
      <c r="I12" s="219">
        <f t="shared" si="1"/>
        <v>-1.2000000000000002</v>
      </c>
      <c r="J12" s="220">
        <f>IFERROR(SUM(VLOOKUP(C12,'Raw - No Qualifications'!A:Q,14,FALSE)-VLOOKUP(C12,'Raw - No Qualifications'!A:Q,10,FALSE)),"-")</f>
        <v>-800</v>
      </c>
      <c r="K12" s="221">
        <f t="shared" si="0"/>
        <v>-2.1999999999999997</v>
      </c>
      <c r="L12" s="222">
        <f>IF(K12="-","-",IF(K12=""," ",IF($K$5="LGBF Family Group Average",SUM(MROUND(SUM(SUM(VLOOKUP(C$18,'Raw - No Qualifications'!A:Q,16,FALSE)*VLOOKUP(C12,'Raw - No Qualifications'!A:Q,15,FALSE))/100),100)-MROUND(SUM(SUM(VLOOKUP(C12,'Raw - No Qualifications'!A:Q,16,FALSE)*VLOOKUP(C12,'Raw - No Qualifications'!A:Q,15,FALSE))/100),100)),IF($K$5="City Region Comparator",SUM(MROUND(SUM(SUM(VLOOKUP(C$19,'Raw - No Qualifications'!A:Q,16,FALSE)*VLOOKUP(C12,'Raw - No Qualifications'!A:Q,15,FALSE))/100),100)-MROUND(SUM(SUM(VLOOKUP(C12,'Raw - No Qualifications'!A:Q,16,FALSE)*VLOOKUP(C12,'Raw - No Qualifications'!A:Q,15,FALSE))/100),100)),IF($K$5="Scotland",SUM(MROUND(SUM(SUM(VLOOKUP(C$20,'Raw - No Qualifications'!A:Q,16,FALSE)*VLOOKUP(C12,'Raw - No Qualifications'!A:Q,15,FALSE))/100),100)-MROUND(SUM(SUM(VLOOKUP(C12,'Raw - No Qualifications'!A:Q,16,FALSE)*VLOOKUP(C12,'Raw - No Qualifications'!A:Q,15,FALSE))/100),100)),IF($K$5="United Kingdom",SUM(MROUND(SUM(SUM(VLOOKUP(C$21,'Raw - No Qualifications'!A:Q,16,FALSE)*VLOOKUP(C12,'Raw - No Qualifications'!A:Q,15,FALSE))/100),100)-MROUND(SUM(SUM(VLOOKUP(C12,'Raw - No Qualifications'!A:Q,16,FALSE)*VLOOKUP(C12,'Raw - No Qualifications'!A:Q,15,FALSE))/100),100)),SUM(MROUND(SUM(SUM(VLOOKUP(C$17,'Raw - No Qualifications'!A:Q,16,FALSE)*VLOOKUP(C12,'Raw - No Qualifications'!A:Q,15,FALSE))/100),100)-MROUND(SUM(SUM(VLOOKUP(C12,'Raw - No Qualifications'!A:Q,16,FALSE)*VLOOKUP(C12,'Raw - No Qualifications'!A:Q,15,FALSE))/100),100))))))))</f>
        <v>-1400</v>
      </c>
    </row>
    <row r="13" spans="2:12" s="137" customFormat="1" ht="19.5" customHeight="1">
      <c r="B13" s="216" t="s">
        <v>153</v>
      </c>
      <c r="C13" s="216" t="str">
        <f>IF(C$6="LGBF Family Group 1",Lookups!I34,IF(C$6="LGBF Family Group 2",Lookups!J34,IF(C$6="LGBF Family Group 3",Lookups!K34,Lookups!L34)))</f>
        <v>Dumfries and Galloway</v>
      </c>
      <c r="D13" s="234" t="str">
        <f>IF(VLOOKUP($C13,'Raw - No Qualifications'!$A:$Q,4,FALSE)="","-",(VLOOKUP($C13,'Raw - No Qualifications'!$A:$Q,4,FALSE)))</f>
        <v>-</v>
      </c>
      <c r="E13" s="234" t="str">
        <f>IF(VLOOKUP($C13,'Raw - No Qualifications'!$A:$Q,8,FALSE)="","-",(VLOOKUP($C13,'Raw - No Qualifications'!$A:$Q,8,FALSE)))</f>
        <v>-</v>
      </c>
      <c r="F13" s="234">
        <f>IF(VLOOKUP($C13,'Raw - No Qualifications'!$A:$Q,12,FALSE)="","-",(VLOOKUP($C13,'Raw - No Qualifications'!$A:$Q,12,FALSE)))</f>
        <v>9.6999999999999993</v>
      </c>
      <c r="G13" s="234">
        <f>IF(VLOOKUP($C13,'Raw - No Qualifications'!$A:$Q,16,FALSE)="","-",(VLOOKUP($C13,'Raw - No Qualifications'!$A:$Q,16,FALSE)))</f>
        <v>7</v>
      </c>
      <c r="H13" s="218">
        <f>IF(VLOOKUP($C13,'Raw - No Qualifications'!$A:$Q,14,FALSE)="","-",(VLOOKUP($C13,'Raw - No Qualifications'!$A:$Q,14,FALSE)))</f>
        <v>5800</v>
      </c>
      <c r="I13" s="219">
        <f t="shared" si="1"/>
        <v>-2.6999999999999993</v>
      </c>
      <c r="J13" s="220">
        <f>IFERROR(SUM(VLOOKUP(C13,'Raw - No Qualifications'!A:Q,14,FALSE)-VLOOKUP(C13,'Raw - No Qualifications'!A:Q,10,FALSE)),"-")</f>
        <v>-2000</v>
      </c>
      <c r="K13" s="221">
        <f t="shared" si="0"/>
        <v>-4.9000000000000004</v>
      </c>
      <c r="L13" s="222">
        <f>IF(K13="-","-",IF(K13=""," ",IF($K$5="LGBF Family Group Average",SUM(MROUND(SUM(SUM(VLOOKUP(C$18,'Raw - No Qualifications'!A:Q,16,FALSE)*VLOOKUP(C13,'Raw - No Qualifications'!A:Q,15,FALSE))/100),100)-MROUND(SUM(SUM(VLOOKUP(C13,'Raw - No Qualifications'!A:Q,16,FALSE)*VLOOKUP(C13,'Raw - No Qualifications'!A:Q,15,FALSE))/100),100)),IF($K$5="City Region Comparator",SUM(MROUND(SUM(SUM(VLOOKUP(C$19,'Raw - No Qualifications'!A:Q,16,FALSE)*VLOOKUP(C13,'Raw - No Qualifications'!A:Q,15,FALSE))/100),100)-MROUND(SUM(SUM(VLOOKUP(C13,'Raw - No Qualifications'!A:Q,16,FALSE)*VLOOKUP(C13,'Raw - No Qualifications'!A:Q,15,FALSE))/100),100)),IF($K$5="Scotland",SUM(MROUND(SUM(SUM(VLOOKUP(C$20,'Raw - No Qualifications'!A:Q,16,FALSE)*VLOOKUP(C13,'Raw - No Qualifications'!A:Q,15,FALSE))/100),100)-MROUND(SUM(SUM(VLOOKUP(C13,'Raw - No Qualifications'!A:Q,16,FALSE)*VLOOKUP(C13,'Raw - No Qualifications'!A:Q,15,FALSE))/100),100)),IF($K$5="United Kingdom",SUM(MROUND(SUM(SUM(VLOOKUP(C$21,'Raw - No Qualifications'!A:Q,16,FALSE)*VLOOKUP(C13,'Raw - No Qualifications'!A:Q,15,FALSE))/100),100)-MROUND(SUM(SUM(VLOOKUP(C13,'Raw - No Qualifications'!A:Q,16,FALSE)*VLOOKUP(C13,'Raw - No Qualifications'!A:Q,15,FALSE))/100),100)),SUM(MROUND(SUM(SUM(VLOOKUP(C$17,'Raw - No Qualifications'!A:Q,16,FALSE)*VLOOKUP(C13,'Raw - No Qualifications'!A:Q,15,FALSE))/100),100)-MROUND(SUM(SUM(VLOOKUP(C13,'Raw - No Qualifications'!A:Q,16,FALSE)*VLOOKUP(C13,'Raw - No Qualifications'!A:Q,15,FALSE))/100),100))))))))</f>
        <v>-4000</v>
      </c>
    </row>
    <row r="14" spans="2:12" s="137" customFormat="1" ht="19.5" customHeight="1">
      <c r="B14" s="216" t="s">
        <v>153</v>
      </c>
      <c r="C14" s="216" t="str">
        <f>IF(C$6="LGBF Family Group 1",Lookups!I35,IF(C$6="LGBF Family Group 2",Lookups!J35,IF(C$6="LGBF Family Group 3",Lookups!K35,Lookups!L35)))</f>
        <v>Aberdeenshire</v>
      </c>
      <c r="D14" s="234" t="str">
        <f>IF(VLOOKUP($C14,'Raw - No Qualifications'!$A:$Q,4,FALSE)="","-",(VLOOKUP($C14,'Raw - No Qualifications'!$A:$Q,4,FALSE)))</f>
        <v>-</v>
      </c>
      <c r="E14" s="234" t="str">
        <f>IF(VLOOKUP($C14,'Raw - No Qualifications'!$A:$Q,8,FALSE)="","-",(VLOOKUP($C14,'Raw - No Qualifications'!$A:$Q,8,FALSE)))</f>
        <v>-</v>
      </c>
      <c r="F14" s="234">
        <f>IF(VLOOKUP($C14,'Raw - No Qualifications'!$A:$Q,12,FALSE)="","-",(VLOOKUP($C14,'Raw - No Qualifications'!$A:$Q,12,FALSE)))</f>
        <v>7.5</v>
      </c>
      <c r="G14" s="234">
        <f>IF(VLOOKUP($C14,'Raw - No Qualifications'!$A:$Q,16,FALSE)="","-",(VLOOKUP($C14,'Raw - No Qualifications'!$A:$Q,16,FALSE)))</f>
        <v>6.9</v>
      </c>
      <c r="H14" s="218">
        <f>IF(VLOOKUP($C14,'Raw - No Qualifications'!$A:$Q,14,FALSE)="","-",(VLOOKUP($C14,'Raw - No Qualifications'!$A:$Q,14,FALSE)))</f>
        <v>11300</v>
      </c>
      <c r="I14" s="219">
        <f t="shared" si="1"/>
        <v>-0.59999999999999964</v>
      </c>
      <c r="J14" s="220">
        <f>IFERROR(SUM(VLOOKUP(C14,'Raw - No Qualifications'!A:Q,14,FALSE)-VLOOKUP(C14,'Raw - No Qualifications'!A:Q,10,FALSE)),"-")</f>
        <v>-500</v>
      </c>
      <c r="K14" s="221">
        <f t="shared" si="0"/>
        <v>-4.8000000000000007</v>
      </c>
      <c r="L14" s="222">
        <f>IF(K14="-","-",IF(K14=""," ",IF($K$5="LGBF Family Group Average",SUM(MROUND(SUM(SUM(VLOOKUP(C$18,'Raw - No Qualifications'!A:Q,16,FALSE)*VLOOKUP(C14,'Raw - No Qualifications'!A:Q,15,FALSE))/100),100)-MROUND(SUM(SUM(VLOOKUP(C14,'Raw - No Qualifications'!A:Q,16,FALSE)*VLOOKUP(C14,'Raw - No Qualifications'!A:Q,15,FALSE))/100),100)),IF($K$5="City Region Comparator",SUM(MROUND(SUM(SUM(VLOOKUP(C$19,'Raw - No Qualifications'!A:Q,16,FALSE)*VLOOKUP(C14,'Raw - No Qualifications'!A:Q,15,FALSE))/100),100)-MROUND(SUM(SUM(VLOOKUP(C14,'Raw - No Qualifications'!A:Q,16,FALSE)*VLOOKUP(C14,'Raw - No Qualifications'!A:Q,15,FALSE))/100),100)),IF($K$5="Scotland",SUM(MROUND(SUM(SUM(VLOOKUP(C$20,'Raw - No Qualifications'!A:Q,16,FALSE)*VLOOKUP(C14,'Raw - No Qualifications'!A:Q,15,FALSE))/100),100)-MROUND(SUM(SUM(VLOOKUP(C14,'Raw - No Qualifications'!A:Q,16,FALSE)*VLOOKUP(C14,'Raw - No Qualifications'!A:Q,15,FALSE))/100),100)),IF($K$5="United Kingdom",SUM(MROUND(SUM(SUM(VLOOKUP(C$21,'Raw - No Qualifications'!A:Q,16,FALSE)*VLOOKUP(C14,'Raw - No Qualifications'!A:Q,15,FALSE))/100),100)-MROUND(SUM(SUM(VLOOKUP(C14,'Raw - No Qualifications'!A:Q,16,FALSE)*VLOOKUP(C14,'Raw - No Qualifications'!A:Q,15,FALSE))/100),100)),SUM(MROUND(SUM(SUM(VLOOKUP(C$17,'Raw - No Qualifications'!A:Q,16,FALSE)*VLOOKUP(C14,'Raw - No Qualifications'!A:Q,15,FALSE))/100),100)-MROUND(SUM(SUM(VLOOKUP(C14,'Raw - No Qualifications'!A:Q,16,FALSE)*VLOOKUP(C14,'Raw - No Qualifications'!A:Q,15,FALSE))/100),100))))))))</f>
        <v>-7900</v>
      </c>
    </row>
    <row r="15" spans="2:12" s="137" customFormat="1" ht="19.5" customHeight="1">
      <c r="B15" s="223"/>
      <c r="C15" s="232" t="s">
        <v>511</v>
      </c>
      <c r="D15" s="231"/>
      <c r="E15" s="231"/>
      <c r="F15" s="231"/>
      <c r="G15" s="231"/>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No Qualifications'!$A$9:$A$40,MATCH(MIN('Raw - No Qualifications'!P9:P40),'Raw - No Qualifications'!P9:P40,0))</f>
        <v>Aberdeen City</v>
      </c>
      <c r="D17" s="234" t="s">
        <v>71</v>
      </c>
      <c r="E17" s="234" t="s">
        <v>71</v>
      </c>
      <c r="F17" s="234">
        <f>VLOOKUP($C17,'Raw - No Qualifications'!$A:$Q,12,FALSE)</f>
        <v>4.5999999999999996</v>
      </c>
      <c r="G17" s="234">
        <f>VLOOKUP($C17,'Raw - No Qualifications'!$A:$Q,16,FALSE)</f>
        <v>2.1</v>
      </c>
      <c r="H17" s="218">
        <f>VLOOKUP(C17,'Raw - No Qualifications'!A:Q,14,FALSE)</f>
        <v>3300</v>
      </c>
      <c r="I17" s="219">
        <f t="shared" ref="I17" si="2">IFERROR(SUM(G17-F17),"-")</f>
        <v>-2.4999999999999996</v>
      </c>
      <c r="J17" s="220">
        <f>IFERROR(SUM(VLOOKUP(C17,'Raw - No Qualifications'!A:Q,14,FALSE)-VLOOKUP(C17,'Raw - No Qualifications'!A:Q,10,FALSE)),"-")</f>
        <v>-3700</v>
      </c>
    </row>
    <row r="18" spans="2:12" s="137" customFormat="1" ht="19.5" customHeight="1">
      <c r="B18" s="226" t="s">
        <v>271</v>
      </c>
      <c r="C18" s="227" t="s">
        <v>246</v>
      </c>
      <c r="D18" s="234" t="s">
        <v>71</v>
      </c>
      <c r="E18" s="234" t="s">
        <v>71</v>
      </c>
      <c r="F18" s="234">
        <f>VLOOKUP($C18,'Raw - No Qualifications'!$A:$Q,12,FALSE)</f>
        <v>7.1016166281755195</v>
      </c>
      <c r="G18" s="234">
        <f>VLOOKUP($C18,'Raw - No Qualifications'!$A:$Q,16,FALSE)</f>
        <v>6.6041206769683587</v>
      </c>
      <c r="H18" s="218">
        <f>VLOOKUP(C18,'Raw - No Qualifications'!A:Q,14,FALSE)</f>
        <v>35900</v>
      </c>
      <c r="I18" s="219">
        <f t="shared" ref="I18:I21" si="3">IFERROR(SUM(G18-F18),"-")</f>
        <v>-0.49749595120716084</v>
      </c>
      <c r="J18" s="220">
        <f>IFERROR(SUM(VLOOKUP(C18,'Raw - No Qualifications'!A:Q,14,FALSE)-VLOOKUP(C18,'Raw - No Qualifications'!A:Q,10,FALSE)),"-")</f>
        <v>-1000</v>
      </c>
    </row>
    <row r="19" spans="2:12" s="137" customFormat="1" ht="19.5" customHeight="1">
      <c r="B19" s="226" t="s">
        <v>270</v>
      </c>
      <c r="C19" s="216" t="s">
        <v>156</v>
      </c>
      <c r="D19" s="234" t="s">
        <v>71</v>
      </c>
      <c r="E19" s="234" t="s">
        <v>71</v>
      </c>
      <c r="F19" s="234">
        <f>VLOOKUP($C19,'Raw - No Qualifications'!$A:$Q,12,FALSE)</f>
        <v>6.0684312459651393</v>
      </c>
      <c r="G19" s="234">
        <f>VLOOKUP($C19,'Raw - No Qualifications'!$A:$Q,16,FALSE)</f>
        <v>4.5398009950248754</v>
      </c>
      <c r="H19" s="218">
        <f>VLOOKUP(C19,'Raw - No Qualifications'!A:Q,14,FALSE)</f>
        <v>14600</v>
      </c>
      <c r="I19" s="219">
        <f t="shared" si="3"/>
        <v>-1.5286302509402638</v>
      </c>
      <c r="J19" s="220">
        <f>IFERROR(SUM(VLOOKUP(C19,'Raw - No Qualifications'!A:Q,14,FALSE)-VLOOKUP(C19,'Raw - No Qualifications'!A:Q,10,FALSE)),"-")</f>
        <v>-4200</v>
      </c>
    </row>
    <row r="20" spans="2:12" s="137" customFormat="1" ht="19.5" customHeight="1">
      <c r="B20" s="226" t="s">
        <v>164</v>
      </c>
      <c r="C20" s="216" t="s">
        <v>46</v>
      </c>
      <c r="D20" s="234" t="s">
        <v>71</v>
      </c>
      <c r="E20" s="234" t="s">
        <v>71</v>
      </c>
      <c r="F20" s="234">
        <f>VLOOKUP($C20,'Raw - No Qualifications'!$A:$Q,12,FALSE)</f>
        <v>8</v>
      </c>
      <c r="G20" s="234">
        <f>VLOOKUP($C20,'Raw - No Qualifications'!$A:$Q,16,FALSE)</f>
        <v>8.1999999999999993</v>
      </c>
      <c r="H20" s="218">
        <f>VLOOKUP(C20,'Raw - No Qualifications'!A:Q,14,FALSE)</f>
        <v>271400</v>
      </c>
      <c r="I20" s="219">
        <f t="shared" si="3"/>
        <v>0.19999999999999929</v>
      </c>
      <c r="J20" s="220">
        <f>IFERROR(SUM(VLOOKUP(C20,'Raw - No Qualifications'!A:Q,14,FALSE)-VLOOKUP(C20,'Raw - No Qualifications'!A:Q,10,FALSE)),"-")</f>
        <v>9100</v>
      </c>
    </row>
    <row r="21" spans="2:12" ht="19.5" customHeight="1">
      <c r="B21" s="188" t="s">
        <v>164</v>
      </c>
      <c r="C21" s="183" t="s">
        <v>47</v>
      </c>
      <c r="D21" s="199" t="s">
        <v>71</v>
      </c>
      <c r="E21" s="199" t="s">
        <v>71</v>
      </c>
      <c r="F21" s="199">
        <f>VLOOKUP($C21,'Raw - No Qualifications'!$A:$Q,12,FALSE)</f>
        <v>7</v>
      </c>
      <c r="G21" s="199">
        <f>VLOOKUP($C21,'Raw - No Qualifications'!$A:$Q,16,FALSE)</f>
        <v>6.6</v>
      </c>
      <c r="H21" s="185">
        <f>VLOOKUP(C21,'Raw - No Qualifications'!A:Q,14,FALSE)</f>
        <v>2697900</v>
      </c>
      <c r="I21" s="219">
        <f t="shared" si="3"/>
        <v>-0.40000000000000036</v>
      </c>
      <c r="J21" s="220">
        <f>IFERROR(SUM(VLOOKUP(C21,'Raw - No Qualifications'!A:Q,14,FALSE)-VLOOKUP(C21,'Raw - No Qualifications'!A:Q,10,FALSE)),"-")</f>
        <v>-79500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hYGu/UppO8bLeuJNPgKIJM7MK/BebuCSODUNY9rT2W1yuaWG2lrMkMfWBQTHczAsUw520XY2rP0tPjvcmtnlmA==" saltValue="nCA768xIOENwCZc+8NUl3Q==" spinCount="100000" sheet="1" sort="0"/>
  <mergeCells count="4">
    <mergeCell ref="K4:L4"/>
    <mergeCell ref="I5:J5"/>
    <mergeCell ref="K5:L5"/>
    <mergeCell ref="F2:G2"/>
  </mergeCells>
  <hyperlinks>
    <hyperlink ref="F2:G2" location="'Index RAG'!A1" display="Return to Index RAG" xr:uid="{00000000-0004-0000-0A00-000001000000}"/>
    <hyperlink ref="C3" r:id="rId1" xr:uid="{CD559EA5-91C8-4418-A610-7AB55796962B}"/>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310643F-5E7F-4454-AEA6-D9047EF53155}">
          <x14:formula1>
            <xm:f>Lookups!$B$27:$E$27</xm:f>
          </x14:formula1>
          <xm:sqref>C6</xm:sqref>
        </x14:dataValidation>
        <x14:dataValidation type="list" allowBlank="1" showInputMessage="1" showErrorMessage="1" xr:uid="{C3605A5A-BC53-4021-A698-F6748CE055DD}">
          <x14:formula1>
            <xm:f>Lookups!$B$36:$E$36</xm:f>
          </x14:formula1>
          <xm:sqref>C18</xm:sqref>
        </x14:dataValidation>
        <x14:dataValidation type="list" allowBlank="1" showInputMessage="1" showErrorMessage="1" xr:uid="{24F8F3F3-62F1-48E7-8DE9-479C73D151EA}">
          <x14:formula1>
            <xm:f>Lookups!$B$9:$B$13</xm:f>
          </x14:formula1>
          <xm:sqref>K5:L5</xm:sqref>
        </x14:dataValidation>
        <x14:dataValidation type="list" allowBlank="1" showInputMessage="1" showErrorMessage="1" xr:uid="{8167AAAD-A4CD-4C8B-8230-90E6448E06D6}">
          <x14:formula1>
            <xm:f>Lookups!$Q$3:$Q$7</xm:f>
          </x14:formula1>
          <xm:sqref>C19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Number of Incapacity-based benefits (per 1,000 16-64 population) - LGBF Family Group 1</v>
      </c>
      <c r="D1" s="170" t="s">
        <v>290</v>
      </c>
    </row>
    <row r="2" spans="2:12" ht="12.75">
      <c r="B2" s="171" t="s">
        <v>49</v>
      </c>
      <c r="C2" s="200" t="s">
        <v>217</v>
      </c>
      <c r="G2" s="467" t="s">
        <v>216</v>
      </c>
      <c r="H2" s="468"/>
    </row>
    <row r="3" spans="2:12" ht="12.75">
      <c r="B3" s="171" t="s">
        <v>50</v>
      </c>
      <c r="C3" s="312" t="s">
        <v>194</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201">
        <v>44228</v>
      </c>
      <c r="E6" s="201">
        <v>44593</v>
      </c>
      <c r="F6" s="201">
        <v>44958</v>
      </c>
      <c r="G6" s="201">
        <v>45323</v>
      </c>
      <c r="H6" s="181" t="s">
        <v>417</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f>VLOOKUP($C7,'Raw - Incapacity'!$A:$Q,4,FALSE)</f>
        <v>55.777663141604336</v>
      </c>
      <c r="E7" s="217">
        <f>VLOOKUP($C7,'Raw - Incapacity'!$A:$Q,8,FALSE)</f>
        <v>51.908692287851437</v>
      </c>
      <c r="F7" s="217">
        <f>VLOOKUP($C7,'Raw - Incapacity'!$A:$Q,12,FALSE)</f>
        <v>48.297652824348724</v>
      </c>
      <c r="G7" s="217">
        <f>VLOOKUP($C7,'Raw - Incapacity'!$A:$Q,16,FALSE)</f>
        <v>42.300748001031728</v>
      </c>
      <c r="H7" s="218">
        <f>VLOOKUP(C7,'Raw - Incapacity'!A:Q,14,FALSE)</f>
        <v>656</v>
      </c>
      <c r="I7" s="219">
        <f>IFERROR(SUM(G7-D7),"-")</f>
        <v>-13.476915140572608</v>
      </c>
      <c r="J7" s="220">
        <f>IFERROR(SUM(VLOOKUP(C7,'Raw - Incapacity'!A:Q,14,FALSE)-VLOOKUP(C7,'Raw - Incapacity'!A:Q,2,FALSE)),"-")</f>
        <v>-209</v>
      </c>
      <c r="K7" s="221">
        <f t="shared" ref="K7:K14" si="0">IF(G7="-","-",IF(IF($K$5="City Region Comparator",SUM(G$19-G7),IF($K$5="LGBF Family Group Average",SUM(G$18-G7),IF($K$5="Scotland",SUM(G$20-G7),IF($K$5="Great Britain",SUM(G$21-G7),SUM(G$17-G7)))))&gt;=0,"",IF($K$5="City Region Comparator",SUM(G$19-G7),IF($K$5="LGBF Family Group Average",SUM(G$18-G7),IF($K$5="Scotland",SUM(G$20-G7),IF($K$5="Great Britain",SUM(G$21-G7),SUM(G$17-G7)))))))</f>
        <v>-14.486797410670658</v>
      </c>
      <c r="L7" s="222">
        <f>IF(K7="-","-",IF(K7=""," ",IF($K$5="LGBF Family Group Average",SUM(MROUND(SUM(SUM(VLOOKUP(C$18,'Raw - Incapacity'!A:Q,16,FALSE)*VLOOKUP(C7,'Raw - Incapacity'!A:Q,15,FALSE))),100)-MROUND(SUM(SUM(VLOOKUP(C7,'Raw - Incapacity'!A:Q,16,FALSE)*VLOOKUP(C7,'Raw - Incapacity'!A:Q,15,FALSE))),100)),IF($K$5="City Region Comparator",SUM(MROUND(SUM(SUM(VLOOKUP(C$19,'Raw - Incapacity'!A:Q,16,FALSE)*VLOOKUP(C7,'Raw - Incapacity'!A:Q,15,FALSE))),100)-MROUND(SUM(SUM(VLOOKUP(C7,'Raw - Incapacity'!A:Q,16,FALSE)*VLOOKUP(C7,'Raw - Incapacity'!A:Q,15,FALSE))),100)),IF($K$5="Scotland",SUM(MROUND(SUM(SUM(VLOOKUP(C$20,'Raw - Incapacity'!A:Q,16,FALSE)*VLOOKUP(C7,'Raw - Incapacity'!A:Q,15,FALSE))),100)-MROUND(SUM(SUM(VLOOKUP(C7,'Raw - Incapacity'!A:Q,16,FALSE)*VLOOKUP(C7,'Raw - Incapacity'!A:Q,15,FALSE))),100)),IF($K$5="Great Britain",SUM(MROUND(SUM(SUM(VLOOKUP(C$21,'Raw - Incapacity'!A:Q,16,FALSE)*VLOOKUP(C7,'Raw - Incapacity'!A:Q,15,FALSE))),100)-MROUND(SUM(SUM(VLOOKUP(C7,'Raw - Incapacity'!A:Q,16,FALSE)*VLOOKUP(C7,'Raw - Incapacity'!A:Q,15,FALSE))),100)),SUM(MROUND(SUM(SUM(VLOOKUP(C$17,'Raw - Incapacity'!A:Q,16,FALSE)*VLOOKUP(C7,'Raw - Incapacity'!A:Q,15,FALSE))),100)-MROUND(SUM(SUM(VLOOKUP(C7,'Raw - Incapacity'!A:Q,16,FALSE)*VLOOKUP(C7,'Raw - Incapacity'!A:Q,15,FALSE))),100))))))))</f>
        <v>-300</v>
      </c>
    </row>
    <row r="8" spans="2:12" s="137" customFormat="1" ht="19.5" customHeight="1">
      <c r="B8" s="216" t="s">
        <v>153</v>
      </c>
      <c r="C8" s="216" t="str">
        <f>IF(C$6="LGBF Family Group 1",Lookups!I29,IF(C$6="LGBF Family Group 2",Lookups!J29,IF(C$6="LGBF Family Group 3",Lookups!K29,Lookups!L29)))</f>
        <v>Argyll and Bute</v>
      </c>
      <c r="D8" s="217">
        <f>VLOOKUP($C8,'Raw - Incapacity'!$A:$Q,4,FALSE)</f>
        <v>57.017371867769889</v>
      </c>
      <c r="E8" s="217">
        <f>VLOOKUP($C8,'Raw - Incapacity'!$A:$Q,8,FALSE)</f>
        <v>53.48809850594094</v>
      </c>
      <c r="F8" s="217">
        <f>VLOOKUP($C8,'Raw - Incapacity'!$A:$Q,12,FALSE)</f>
        <v>49.527469510999566</v>
      </c>
      <c r="G8" s="217">
        <f>VLOOKUP($C8,'Raw - Incapacity'!$A:$Q,16,FALSE)</f>
        <v>43.037527940080778</v>
      </c>
      <c r="H8" s="218">
        <f>VLOOKUP(C8,'Raw - Incapacity'!A:Q,14,FALSE)</f>
        <v>2195</v>
      </c>
      <c r="I8" s="219">
        <f t="shared" ref="I8:I14" si="1">IFERROR(SUM(G8-D8),"-")</f>
        <v>-13.97984392768911</v>
      </c>
      <c r="J8" s="220">
        <f>IFERROR(SUM(VLOOKUP(C8,'Raw - Incapacity'!A:Q,14,FALSE)-VLOOKUP(C8,'Raw - Incapacity'!A:Q,2,FALSE)),"-")</f>
        <v>-713</v>
      </c>
      <c r="K8" s="221">
        <f t="shared" si="0"/>
        <v>-15.223577349719708</v>
      </c>
      <c r="L8" s="222">
        <f>IF(K8="-","-",IF(K8=""," ",IF($K$5="LGBF Family Group Average",SUM(MROUND(SUM(SUM(VLOOKUP(C$18,'Raw - Incapacity'!A:Q,16,FALSE)*VLOOKUP(C8,'Raw - Incapacity'!A:Q,15,FALSE))),100)-MROUND(SUM(SUM(VLOOKUP(C8,'Raw - Incapacity'!A:Q,16,FALSE)*VLOOKUP(C8,'Raw - Incapacity'!A:Q,15,FALSE))),100)),IF($K$5="City Region Comparator",SUM(MROUND(SUM(SUM(VLOOKUP(C$19,'Raw - Incapacity'!A:Q,16,FALSE)*VLOOKUP(C8,'Raw - Incapacity'!A:Q,15,FALSE))),100)-MROUND(SUM(SUM(VLOOKUP(C8,'Raw - Incapacity'!A:Q,16,FALSE)*VLOOKUP(C8,'Raw - Incapacity'!A:Q,15,FALSE))),100)),IF($K$5="Scotland",SUM(MROUND(SUM(SUM(VLOOKUP(C$20,'Raw - Incapacity'!A:Q,16,FALSE)*VLOOKUP(C8,'Raw - Incapacity'!A:Q,15,FALSE))),100)-MROUND(SUM(SUM(VLOOKUP(C8,'Raw - Incapacity'!A:Q,16,FALSE)*VLOOKUP(C8,'Raw - Incapacity'!A:Q,15,FALSE))),100)),IF($K$5="Great Britain",SUM(MROUND(SUM(SUM(VLOOKUP(C$21,'Raw - Incapacity'!A:Q,16,FALSE)*VLOOKUP(C8,'Raw - Incapacity'!A:Q,15,FALSE))),100)-MROUND(SUM(SUM(VLOOKUP(C8,'Raw - Incapacity'!A:Q,16,FALSE)*VLOOKUP(C8,'Raw - Incapacity'!A:Q,15,FALSE))),100)),SUM(MROUND(SUM(SUM(VLOOKUP(C$17,'Raw - Incapacity'!A:Q,16,FALSE)*VLOOKUP(C8,'Raw - Incapacity'!A:Q,15,FALSE))),100)-MROUND(SUM(SUM(VLOOKUP(C8,'Raw - Incapacity'!A:Q,16,FALSE)*VLOOKUP(C8,'Raw - Incapacity'!A:Q,15,FALSE))),100))))))))</f>
        <v>-800</v>
      </c>
    </row>
    <row r="9" spans="2:12" s="137" customFormat="1" ht="19.5" customHeight="1">
      <c r="B9" s="216" t="s">
        <v>153</v>
      </c>
      <c r="C9" s="216" t="str">
        <f>IF(C$6="LGBF Family Group 1",Lookups!I30,IF(C$6="LGBF Family Group 2",Lookups!J30,IF(C$6="LGBF Family Group 3",Lookups!K30,Lookups!L30)))</f>
        <v>Shetland Islands</v>
      </c>
      <c r="D9" s="217">
        <f>VLOOKUP($C9,'Raw - Incapacity'!$A:$Q,4,FALSE)</f>
        <v>41.978148361127083</v>
      </c>
      <c r="E9" s="217">
        <f>VLOOKUP($C9,'Raw - Incapacity'!$A:$Q,8,FALSE)</f>
        <v>39.318573893041979</v>
      </c>
      <c r="F9" s="217">
        <f>VLOOKUP($C9,'Raw - Incapacity'!$A:$Q,12,FALSE)</f>
        <v>38.456009200690048</v>
      </c>
      <c r="G9" s="217">
        <f>VLOOKUP($C9,'Raw - Incapacity'!$A:$Q,16,FALSE)</f>
        <v>33.35250143760782</v>
      </c>
      <c r="H9" s="218">
        <f>VLOOKUP(C9,'Raw - Incapacity'!A:Q,14,FALSE)</f>
        <v>464</v>
      </c>
      <c r="I9" s="219">
        <f t="shared" si="1"/>
        <v>-8.6256469235192625</v>
      </c>
      <c r="J9" s="220">
        <f>IFERROR(SUM(VLOOKUP(C9,'Raw - Incapacity'!A:Q,14,FALSE)-VLOOKUP(C9,'Raw - Incapacity'!A:Q,2,FALSE)),"-")</f>
        <v>-120</v>
      </c>
      <c r="K9" s="221">
        <f t="shared" si="0"/>
        <v>-5.53855084724675</v>
      </c>
      <c r="L9" s="222">
        <f>IF(K9="-","-",IF(K9=""," ",IF($K$5="LGBF Family Group Average",SUM(MROUND(SUM(SUM(VLOOKUP(C$18,'Raw - Incapacity'!A:Q,16,FALSE)*VLOOKUP(C9,'Raw - Incapacity'!A:Q,15,FALSE))),100)-MROUND(SUM(SUM(VLOOKUP(C9,'Raw - Incapacity'!A:Q,16,FALSE)*VLOOKUP(C9,'Raw - Incapacity'!A:Q,15,FALSE))),100)),IF($K$5="City Region Comparator",SUM(MROUND(SUM(SUM(VLOOKUP(C$19,'Raw - Incapacity'!A:Q,16,FALSE)*VLOOKUP(C9,'Raw - Incapacity'!A:Q,15,FALSE))),100)-MROUND(SUM(SUM(VLOOKUP(C9,'Raw - Incapacity'!A:Q,16,FALSE)*VLOOKUP(C9,'Raw - Incapacity'!A:Q,15,FALSE))),100)),IF($K$5="Scotland",SUM(MROUND(SUM(SUM(VLOOKUP(C$20,'Raw - Incapacity'!A:Q,16,FALSE)*VLOOKUP(C9,'Raw - Incapacity'!A:Q,15,FALSE))),100)-MROUND(SUM(SUM(VLOOKUP(C9,'Raw - Incapacity'!A:Q,16,FALSE)*VLOOKUP(C9,'Raw - Incapacity'!A:Q,15,FALSE))),100)),IF($K$5="Great Britain",SUM(MROUND(SUM(SUM(VLOOKUP(C$21,'Raw - Incapacity'!A:Q,16,FALSE)*VLOOKUP(C9,'Raw - Incapacity'!A:Q,15,FALSE))),100)-MROUND(SUM(SUM(VLOOKUP(C9,'Raw - Incapacity'!A:Q,16,FALSE)*VLOOKUP(C9,'Raw - Incapacity'!A:Q,15,FALSE))),100)),SUM(MROUND(SUM(SUM(VLOOKUP(C$17,'Raw - Incapacity'!A:Q,16,FALSE)*VLOOKUP(C9,'Raw - Incapacity'!A:Q,15,FALSE))),100)-MROUND(SUM(SUM(VLOOKUP(C9,'Raw - Incapacity'!A:Q,16,FALSE)*VLOOKUP(C9,'Raw - Incapacity'!A:Q,15,FALSE))),100))))))))</f>
        <v>-100</v>
      </c>
    </row>
    <row r="10" spans="2:12" s="137" customFormat="1" ht="19.5" customHeight="1">
      <c r="B10" s="216" t="s">
        <v>153</v>
      </c>
      <c r="C10" s="216" t="str">
        <f>IF(C$6="LGBF Family Group 1",Lookups!I31,IF(C$6="LGBF Family Group 2",Lookups!J31,IF(C$6="LGBF Family Group 3",Lookups!K31,Lookups!L31)))</f>
        <v>Highland</v>
      </c>
      <c r="D10" s="217">
        <f>VLOOKUP($C10,'Raw - Incapacity'!$A:$Q,4,FALSE)</f>
        <v>44.87719928682985</v>
      </c>
      <c r="E10" s="217">
        <f>VLOOKUP($C10,'Raw - Incapacity'!$A:$Q,8,FALSE)</f>
        <v>42.112973891891151</v>
      </c>
      <c r="F10" s="217">
        <f>VLOOKUP($C10,'Raw - Incapacity'!$A:$Q,12,FALSE)</f>
        <v>40.267853440769564</v>
      </c>
      <c r="G10" s="217">
        <f>VLOOKUP($C10,'Raw - Incapacity'!$A:$Q,16,FALSE)</f>
        <v>34.304037151189313</v>
      </c>
      <c r="H10" s="218">
        <f>VLOOKUP(C10,'Raw - Incapacity'!A:Q,14,FALSE)</f>
        <v>4964</v>
      </c>
      <c r="I10" s="219">
        <f t="shared" si="1"/>
        <v>-10.573162135640537</v>
      </c>
      <c r="J10" s="220">
        <f>IFERROR(SUM(VLOOKUP(C10,'Raw - Incapacity'!A:Q,14,FALSE)-VLOOKUP(C10,'Raw - Incapacity'!A:Q,2,FALSE)),"-")</f>
        <v>-1530</v>
      </c>
      <c r="K10" s="221">
        <f t="shared" si="0"/>
        <v>-6.4900865608282423</v>
      </c>
      <c r="L10" s="222">
        <f>IF(K10="-","-",IF(K10=""," ",IF($K$5="LGBF Family Group Average",SUM(MROUND(SUM(SUM(VLOOKUP(C$18,'Raw - Incapacity'!A:Q,16,FALSE)*VLOOKUP(C10,'Raw - Incapacity'!A:Q,15,FALSE))),100)-MROUND(SUM(SUM(VLOOKUP(C10,'Raw - Incapacity'!A:Q,16,FALSE)*VLOOKUP(C10,'Raw - Incapacity'!A:Q,15,FALSE))),100)),IF($K$5="City Region Comparator",SUM(MROUND(SUM(SUM(VLOOKUP(C$19,'Raw - Incapacity'!A:Q,16,FALSE)*VLOOKUP(C10,'Raw - Incapacity'!A:Q,15,FALSE))),100)-MROUND(SUM(SUM(VLOOKUP(C10,'Raw - Incapacity'!A:Q,16,FALSE)*VLOOKUP(C10,'Raw - Incapacity'!A:Q,15,FALSE))),100)),IF($K$5="Scotland",SUM(MROUND(SUM(SUM(VLOOKUP(C$20,'Raw - Incapacity'!A:Q,16,FALSE)*VLOOKUP(C10,'Raw - Incapacity'!A:Q,15,FALSE))),100)-MROUND(SUM(SUM(VLOOKUP(C10,'Raw - Incapacity'!A:Q,16,FALSE)*VLOOKUP(C10,'Raw - Incapacity'!A:Q,15,FALSE))),100)),IF($K$5="Great Britain",SUM(MROUND(SUM(SUM(VLOOKUP(C$21,'Raw - Incapacity'!A:Q,16,FALSE)*VLOOKUP(C10,'Raw - Incapacity'!A:Q,15,FALSE))),100)-MROUND(SUM(SUM(VLOOKUP(C10,'Raw - Incapacity'!A:Q,16,FALSE)*VLOOKUP(C10,'Raw - Incapacity'!A:Q,15,FALSE))),100)),SUM(MROUND(SUM(SUM(VLOOKUP(C$17,'Raw - Incapacity'!A:Q,16,FALSE)*VLOOKUP(C10,'Raw - Incapacity'!A:Q,15,FALSE))),100)-MROUND(SUM(SUM(VLOOKUP(C10,'Raw - Incapacity'!A:Q,16,FALSE)*VLOOKUP(C10,'Raw - Incapacity'!A:Q,15,FALSE))),100))))))))</f>
        <v>-1000</v>
      </c>
    </row>
    <row r="11" spans="2:12" s="137" customFormat="1" ht="19.5" customHeight="1">
      <c r="B11" s="216" t="s">
        <v>153</v>
      </c>
      <c r="C11" s="216" t="str">
        <f>IF(C$6="LGBF Family Group 1",Lookups!I32,IF(C$6="LGBF Family Group 2",Lookups!J32,IF(C$6="LGBF Family Group 3",Lookups!K32,Lookups!L32)))</f>
        <v>Orkney Islands</v>
      </c>
      <c r="D11" s="217">
        <f>VLOOKUP($C11,'Raw - Incapacity'!$A:$Q,4,FALSE)</f>
        <v>45.437644084182345</v>
      </c>
      <c r="E11" s="217">
        <f>VLOOKUP($C11,'Raw - Incapacity'!$A:$Q,8,FALSE)</f>
        <v>42.38863687067748</v>
      </c>
      <c r="F11" s="217">
        <f>VLOOKUP($C11,'Raw - Incapacity'!$A:$Q,12,FALSE)</f>
        <v>40.529486130735485</v>
      </c>
      <c r="G11" s="217">
        <f>VLOOKUP($C11,'Raw - Incapacity'!$A:$Q,16,FALSE)</f>
        <v>36.588086562058457</v>
      </c>
      <c r="H11" s="218">
        <f>VLOOKUP(C11,'Raw - Incapacity'!A:Q,14,FALSE)</f>
        <v>492</v>
      </c>
      <c r="I11" s="219">
        <f t="shared" si="1"/>
        <v>-8.849557522123888</v>
      </c>
      <c r="J11" s="220">
        <f>IFERROR(SUM(VLOOKUP(C11,'Raw - Incapacity'!A:Q,14,FALSE)-VLOOKUP(C11,'Raw - Incapacity'!A:Q,2,FALSE)),"-")</f>
        <v>-119</v>
      </c>
      <c r="K11" s="221">
        <f t="shared" si="0"/>
        <v>-8.7741359716973868</v>
      </c>
      <c r="L11" s="222">
        <f>IF(K11="-","-",IF(K11=""," ",IF($K$5="LGBF Family Group Average",SUM(MROUND(SUM(SUM(VLOOKUP(C$18,'Raw - Incapacity'!A:Q,16,FALSE)*VLOOKUP(C11,'Raw - Incapacity'!A:Q,15,FALSE))),100)-MROUND(SUM(SUM(VLOOKUP(C11,'Raw - Incapacity'!A:Q,16,FALSE)*VLOOKUP(C11,'Raw - Incapacity'!A:Q,15,FALSE))),100)),IF($K$5="City Region Comparator",SUM(MROUND(SUM(SUM(VLOOKUP(C$19,'Raw - Incapacity'!A:Q,16,FALSE)*VLOOKUP(C11,'Raw - Incapacity'!A:Q,15,FALSE))),100)-MROUND(SUM(SUM(VLOOKUP(C11,'Raw - Incapacity'!A:Q,16,FALSE)*VLOOKUP(C11,'Raw - Incapacity'!A:Q,15,FALSE))),100)),IF($K$5="Scotland",SUM(MROUND(SUM(SUM(VLOOKUP(C$20,'Raw - Incapacity'!A:Q,16,FALSE)*VLOOKUP(C11,'Raw - Incapacity'!A:Q,15,FALSE))),100)-MROUND(SUM(SUM(VLOOKUP(C11,'Raw - Incapacity'!A:Q,16,FALSE)*VLOOKUP(C11,'Raw - Incapacity'!A:Q,15,FALSE))),100)),IF($K$5="Great Britain",SUM(MROUND(SUM(SUM(VLOOKUP(C$21,'Raw - Incapacity'!A:Q,16,FALSE)*VLOOKUP(C11,'Raw - Incapacity'!A:Q,15,FALSE))),100)-MROUND(SUM(SUM(VLOOKUP(C11,'Raw - Incapacity'!A:Q,16,FALSE)*VLOOKUP(C11,'Raw - Incapacity'!A:Q,15,FALSE))),100)),SUM(MROUND(SUM(SUM(VLOOKUP(C$17,'Raw - Incapacity'!A:Q,16,FALSE)*VLOOKUP(C11,'Raw - Incapacity'!A:Q,15,FALSE))),100)-MROUND(SUM(SUM(VLOOKUP(C11,'Raw - Incapacity'!A:Q,16,FALSE)*VLOOKUP(C11,'Raw - Incapacity'!A:Q,15,FALSE))),100))))))))</f>
        <v>-100</v>
      </c>
    </row>
    <row r="12" spans="2:12" s="137" customFormat="1" ht="19.5" customHeight="1">
      <c r="B12" s="216" t="s">
        <v>153</v>
      </c>
      <c r="C12" s="216" t="str">
        <f>IF(C$6="LGBF Family Group 1",Lookups!I33,IF(C$6="LGBF Family Group 2",Lookups!J33,IF(C$6="LGBF Family Group 3",Lookups!K33,Lookups!L33)))</f>
        <v>Scottish Borders</v>
      </c>
      <c r="D12" s="217">
        <f>VLOOKUP($C12,'Raw - Incapacity'!$A:$Q,4,FALSE)</f>
        <v>52.910913337867008</v>
      </c>
      <c r="E12" s="217">
        <f>VLOOKUP($C12,'Raw - Incapacity'!$A:$Q,8,FALSE)</f>
        <v>49.141066201472462</v>
      </c>
      <c r="F12" s="217">
        <f>VLOOKUP($C12,'Raw - Incapacity'!$A:$Q,12,FALSE)</f>
        <v>46.435646491824606</v>
      </c>
      <c r="G12" s="217">
        <f>VLOOKUP($C12,'Raw - Incapacity'!$A:$Q,16,FALSE)</f>
        <v>39.47251707518997</v>
      </c>
      <c r="H12" s="218">
        <f>VLOOKUP(C12,'Raw - Incapacity'!A:Q,14,FALSE)</f>
        <v>2670</v>
      </c>
      <c r="I12" s="219">
        <f t="shared" si="1"/>
        <v>-13.438396262677038</v>
      </c>
      <c r="J12" s="220">
        <f>IFERROR(SUM(VLOOKUP(C12,'Raw - Incapacity'!A:Q,14,FALSE)-VLOOKUP(C12,'Raw - Incapacity'!A:Q,2,FALSE)),"-")</f>
        <v>-909</v>
      </c>
      <c r="K12" s="221">
        <f t="shared" si="0"/>
        <v>-11.658566484828899</v>
      </c>
      <c r="L12" s="222">
        <f>IF(K12="-","-",IF(K12=""," ",IF($K$5="LGBF Family Group Average",SUM(MROUND(SUM(SUM(VLOOKUP(C$18,'Raw - Incapacity'!A:Q,16,FALSE)*VLOOKUP(C12,'Raw - Incapacity'!A:Q,15,FALSE))),100)-MROUND(SUM(SUM(VLOOKUP(C12,'Raw - Incapacity'!A:Q,16,FALSE)*VLOOKUP(C12,'Raw - Incapacity'!A:Q,15,FALSE))),100)),IF($K$5="City Region Comparator",SUM(MROUND(SUM(SUM(VLOOKUP(C$19,'Raw - Incapacity'!A:Q,16,FALSE)*VLOOKUP(C12,'Raw - Incapacity'!A:Q,15,FALSE))),100)-MROUND(SUM(SUM(VLOOKUP(C12,'Raw - Incapacity'!A:Q,16,FALSE)*VLOOKUP(C12,'Raw - Incapacity'!A:Q,15,FALSE))),100)),IF($K$5="Scotland",SUM(MROUND(SUM(SUM(VLOOKUP(C$20,'Raw - Incapacity'!A:Q,16,FALSE)*VLOOKUP(C12,'Raw - Incapacity'!A:Q,15,FALSE))),100)-MROUND(SUM(SUM(VLOOKUP(C12,'Raw - Incapacity'!A:Q,16,FALSE)*VLOOKUP(C12,'Raw - Incapacity'!A:Q,15,FALSE))),100)),IF($K$5="Great Britain",SUM(MROUND(SUM(SUM(VLOOKUP(C$21,'Raw - Incapacity'!A:Q,16,FALSE)*VLOOKUP(C12,'Raw - Incapacity'!A:Q,15,FALSE))),100)-MROUND(SUM(SUM(VLOOKUP(C12,'Raw - Incapacity'!A:Q,16,FALSE)*VLOOKUP(C12,'Raw - Incapacity'!A:Q,15,FALSE))),100)),SUM(MROUND(SUM(SUM(VLOOKUP(C$17,'Raw - Incapacity'!A:Q,16,FALSE)*VLOOKUP(C12,'Raw - Incapacity'!A:Q,15,FALSE))),100)-MROUND(SUM(SUM(VLOOKUP(C12,'Raw - Incapacity'!A:Q,16,FALSE)*VLOOKUP(C12,'Raw - Incapacity'!A:Q,15,FALSE))),100))))))))</f>
        <v>-800</v>
      </c>
    </row>
    <row r="13" spans="2:12" s="137" customFormat="1" ht="19.5" customHeight="1">
      <c r="B13" s="216" t="s">
        <v>153</v>
      </c>
      <c r="C13" s="216" t="str">
        <f>IF(C$6="LGBF Family Group 1",Lookups!I34,IF(C$6="LGBF Family Group 2",Lookups!J34,IF(C$6="LGBF Family Group 3",Lookups!K34,Lookups!L34)))</f>
        <v>Dumfries and Galloway</v>
      </c>
      <c r="D13" s="217">
        <f>VLOOKUP($C13,'Raw - Incapacity'!$A:$Q,4,FALSE)</f>
        <v>65.608134713825763</v>
      </c>
      <c r="E13" s="217">
        <f>VLOOKUP($C13,'Raw - Incapacity'!$A:$Q,8,FALSE)</f>
        <v>61.716813749334072</v>
      </c>
      <c r="F13" s="217">
        <f>VLOOKUP($C13,'Raw - Incapacity'!$A:$Q,12,FALSE)</f>
        <v>59.412132582864288</v>
      </c>
      <c r="G13" s="217">
        <f>VLOOKUP($C13,'Raw - Incapacity'!$A:$Q,16,FALSE)</f>
        <v>50.830380098672777</v>
      </c>
      <c r="H13" s="218">
        <f>VLOOKUP(C13,'Raw - Incapacity'!A:Q,14,FALSE)</f>
        <v>4389</v>
      </c>
      <c r="I13" s="219">
        <f t="shared" si="1"/>
        <v>-14.777754615152986</v>
      </c>
      <c r="J13" s="220">
        <f>IFERROR(SUM(VLOOKUP(C13,'Raw - Incapacity'!A:Q,14,FALSE)-VLOOKUP(C13,'Raw - Incapacity'!A:Q,2,FALSE)),"-")</f>
        <v>-1276</v>
      </c>
      <c r="K13" s="221">
        <f t="shared" si="0"/>
        <v>-23.016429508311706</v>
      </c>
      <c r="L13" s="222">
        <f>IF(K13="-","-",IF(K13=""," ",IF($K$5="LGBF Family Group Average",SUM(MROUND(SUM(SUM(VLOOKUP(C$18,'Raw - Incapacity'!A:Q,16,FALSE)*VLOOKUP(C13,'Raw - Incapacity'!A:Q,15,FALSE))),100)-MROUND(SUM(SUM(VLOOKUP(C13,'Raw - Incapacity'!A:Q,16,FALSE)*VLOOKUP(C13,'Raw - Incapacity'!A:Q,15,FALSE))),100)),IF($K$5="City Region Comparator",SUM(MROUND(SUM(SUM(VLOOKUP(C$19,'Raw - Incapacity'!A:Q,16,FALSE)*VLOOKUP(C13,'Raw - Incapacity'!A:Q,15,FALSE))),100)-MROUND(SUM(SUM(VLOOKUP(C13,'Raw - Incapacity'!A:Q,16,FALSE)*VLOOKUP(C13,'Raw - Incapacity'!A:Q,15,FALSE))),100)),IF($K$5="Scotland",SUM(MROUND(SUM(SUM(VLOOKUP(C$20,'Raw - Incapacity'!A:Q,16,FALSE)*VLOOKUP(C13,'Raw - Incapacity'!A:Q,15,FALSE))),100)-MROUND(SUM(SUM(VLOOKUP(C13,'Raw - Incapacity'!A:Q,16,FALSE)*VLOOKUP(C13,'Raw - Incapacity'!A:Q,15,FALSE))),100)),IF($K$5="Great Britain",SUM(MROUND(SUM(SUM(VLOOKUP(C$21,'Raw - Incapacity'!A:Q,16,FALSE)*VLOOKUP(C13,'Raw - Incapacity'!A:Q,15,FALSE))),100)-MROUND(SUM(SUM(VLOOKUP(C13,'Raw - Incapacity'!A:Q,16,FALSE)*VLOOKUP(C13,'Raw - Incapacity'!A:Q,15,FALSE))),100)),SUM(MROUND(SUM(SUM(VLOOKUP(C$17,'Raw - Incapacity'!A:Q,16,FALSE)*VLOOKUP(C13,'Raw - Incapacity'!A:Q,15,FALSE))),100)-MROUND(SUM(SUM(VLOOKUP(C13,'Raw - Incapacity'!A:Q,16,FALSE)*VLOOKUP(C13,'Raw - Incapacity'!A:Q,15,FALSE))),100))))))))</f>
        <v>-2000</v>
      </c>
    </row>
    <row r="14" spans="2:12" s="137" customFormat="1" ht="19.5" customHeight="1">
      <c r="B14" s="216" t="s">
        <v>153</v>
      </c>
      <c r="C14" s="216" t="str">
        <f>IF(C$6="LGBF Family Group 1",Lookups!I35,IF(C$6="LGBF Family Group 2",Lookups!J35,IF(C$6="LGBF Family Group 3",Lookups!K35,Lookups!L35)))</f>
        <v>Aberdeenshire</v>
      </c>
      <c r="D14" s="217">
        <f>VLOOKUP($C14,'Raw - Incapacity'!$A:$Q,4,FALSE)</f>
        <v>36.013582977662857</v>
      </c>
      <c r="E14" s="217">
        <f>VLOOKUP($C14,'Raw - Incapacity'!$A:$Q,8,FALSE)</f>
        <v>34.007289946727312</v>
      </c>
      <c r="F14" s="217">
        <f>VLOOKUP($C14,'Raw - Incapacity'!$A:$Q,12,FALSE)</f>
        <v>32.804760272905696</v>
      </c>
      <c r="G14" s="217">
        <f>VLOOKUP($C14,'Raw - Incapacity'!$A:$Q,16,FALSE)</f>
        <v>27.81395059036107</v>
      </c>
      <c r="H14" s="218">
        <f>VLOOKUP(C14,'Raw - Incapacity'!A:Q,14,FALSE)</f>
        <v>4464</v>
      </c>
      <c r="I14" s="219">
        <f t="shared" si="1"/>
        <v>-8.1996323873017865</v>
      </c>
      <c r="J14" s="220">
        <f>IFERROR(SUM(VLOOKUP(C14,'Raw - Incapacity'!A:Q,14,FALSE)-VLOOKUP(C14,'Raw - Incapacity'!A:Q,2,FALSE)),"-")</f>
        <v>-1316</v>
      </c>
      <c r="K14" s="221" t="str">
        <f t="shared" si="0"/>
        <v/>
      </c>
      <c r="L14" s="222" t="str">
        <f>IF(K14="-","-",IF(K14=""," ",IF($K$5="LGBF Family Group Average",SUM(MROUND(SUM(SUM(VLOOKUP(C$18,'Raw - Incapacity'!A:Q,16,FALSE)*VLOOKUP(C14,'Raw - Incapacity'!A:Q,15,FALSE))),100)-MROUND(SUM(SUM(VLOOKUP(C14,'Raw - Incapacity'!A:Q,16,FALSE)*VLOOKUP(C14,'Raw - Incapacity'!A:Q,15,FALSE))),100)),IF($K$5="City Region Comparator",SUM(MROUND(SUM(SUM(VLOOKUP(C$19,'Raw - Incapacity'!A:Q,16,FALSE)*VLOOKUP(C14,'Raw - Incapacity'!A:Q,15,FALSE))),100)-MROUND(SUM(SUM(VLOOKUP(C14,'Raw - Incapacity'!A:Q,16,FALSE)*VLOOKUP(C14,'Raw - Incapacity'!A:Q,15,FALSE))),100)),IF($K$5="Scotland",SUM(MROUND(SUM(SUM(VLOOKUP(C$20,'Raw - Incapacity'!A:Q,16,FALSE)*VLOOKUP(C14,'Raw - Incapacity'!A:Q,15,FALSE))),100)-MROUND(SUM(SUM(VLOOKUP(C14,'Raw - Incapacity'!A:Q,16,FALSE)*VLOOKUP(C14,'Raw - Incapacity'!A:Q,15,FALSE))),100)),IF($K$5="Great Britain",SUM(MROUND(SUM(SUM(VLOOKUP(C$21,'Raw - Incapacity'!A:Q,16,FALSE)*VLOOKUP(C14,'Raw - Incapacity'!A:Q,15,FALSE))),100)-MROUND(SUM(SUM(VLOOKUP(C14,'Raw - Incapacity'!A:Q,16,FALSE)*VLOOKUP(C14,'Raw - Incapacity'!A:Q,15,FALSE))),100)),SUM(MROUND(SUM(SUM(VLOOKUP(C$17,'Raw - Incapacity'!A:Q,16,FALSE)*VLOOKUP(C14,'Raw - Incapacity'!A:Q,15,FALSE))),100)-MROUND(SUM(SUM(VLOOKUP(C14,'Raw - Incapacity'!A:Q,16,FALSE)*VLOOKUP(C14,'Raw - Incapacity'!A:Q,15,FALSE))),100))))))))</f>
        <v xml:space="preserve"> </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Incapacity'!$A$9:$A$41,MATCH(MIN('Raw - Incapacity'!P9:P41),'Raw - Incapacity'!P9:P41,0))</f>
        <v>Aberdeenshire</v>
      </c>
      <c r="D17" s="217">
        <f>VLOOKUP($C17,'Raw - Incapacity'!$A:$Q,4,FALSE)</f>
        <v>36.013582977662857</v>
      </c>
      <c r="E17" s="217">
        <f>VLOOKUP($C17,'Raw - Incapacity'!$A:$Q,8,FALSE)</f>
        <v>34.007289946727312</v>
      </c>
      <c r="F17" s="217">
        <f>VLOOKUP($C17,'Raw - Incapacity'!$A:$Q,12,FALSE)</f>
        <v>32.804760272905696</v>
      </c>
      <c r="G17" s="217">
        <f>VLOOKUP($C17,'Raw - Incapacity'!$A:$Q,16,FALSE)</f>
        <v>27.81395059036107</v>
      </c>
      <c r="H17" s="218">
        <f>VLOOKUP(C17,'Raw - Incapacity'!A:Q,14,FALSE)</f>
        <v>4464</v>
      </c>
      <c r="I17" s="219">
        <f t="shared" ref="I17" si="2">IFERROR(SUM(G17-D17),"-")</f>
        <v>-8.1996323873017865</v>
      </c>
      <c r="J17" s="220">
        <f>IFERROR(SUM(VLOOKUP(C17,'Raw - Incapacity'!A:Q,14,FALSE)-VLOOKUP(C17,'Raw - Incapacity'!A:Q,2,FALSE)),"-")</f>
        <v>-1316</v>
      </c>
    </row>
    <row r="18" spans="2:12" s="137" customFormat="1" ht="19.5" customHeight="1">
      <c r="B18" s="226" t="s">
        <v>271</v>
      </c>
      <c r="C18" s="227" t="s">
        <v>246</v>
      </c>
      <c r="D18" s="217">
        <f>VLOOKUP($C18,'Raw - Incapacity'!$A:$Q,4,FALSE)</f>
        <v>47.890094709777273</v>
      </c>
      <c r="E18" s="217">
        <f>VLOOKUP($C18,'Raw - Incapacity'!$A:$Q,8,FALSE)</f>
        <v>44.941036925602738</v>
      </c>
      <c r="F18" s="217">
        <f>VLOOKUP($C18,'Raw - Incapacity'!$A:$Q,12,FALSE)</f>
        <v>42.885194681208844</v>
      </c>
      <c r="G18" s="217">
        <f>VLOOKUP($C18,'Raw - Incapacity'!$A:$Q,16,FALSE)</f>
        <v>36.69416227592766</v>
      </c>
      <c r="H18" s="218">
        <f>VLOOKUP(C18,'Raw - Incapacity'!A:Q,14,FALSE)</f>
        <v>20294</v>
      </c>
      <c r="I18" s="219">
        <f t="shared" ref="I18:I20" si="3">IFERROR(SUM(G18-D18),"-")</f>
        <v>-11.195932433849613</v>
      </c>
      <c r="J18" s="220">
        <f>IFERROR(SUM(VLOOKUP(C18,'Raw - Incapacity'!A:Q,14,FALSE)-VLOOKUP(C18,'Raw - Incapacity'!A:Q,2,FALSE)),"-")</f>
        <v>-6192</v>
      </c>
    </row>
    <row r="19" spans="2:12" s="137" customFormat="1" ht="19.5" customHeight="1">
      <c r="B19" s="226" t="s">
        <v>270</v>
      </c>
      <c r="C19" s="216" t="s">
        <v>48</v>
      </c>
      <c r="D19" s="217">
        <f>VLOOKUP($C19,'Raw - Incapacity'!$A:$Q,4,FALSE)</f>
        <v>75.897253709640111</v>
      </c>
      <c r="E19" s="217">
        <f>VLOOKUP($C19,'Raw - Incapacity'!$A:$Q,8,FALSE)</f>
        <v>70.950791500049576</v>
      </c>
      <c r="F19" s="217">
        <f>VLOOKUP($C19,'Raw - Incapacity'!$A:$Q,12,FALSE)</f>
        <v>66.816484351763123</v>
      </c>
      <c r="G19" s="217">
        <f>VLOOKUP($C19,'Raw - Incapacity'!$A:$Q,16,FALSE)</f>
        <v>57.490333454509404</v>
      </c>
      <c r="H19" s="218">
        <f>VLOOKUP(C19,'Raw - Incapacity'!A:Q,14,FALSE)</f>
        <v>69584</v>
      </c>
      <c r="I19" s="219">
        <f t="shared" si="3"/>
        <v>-18.406920255130707</v>
      </c>
      <c r="J19" s="220">
        <f>IFERROR(SUM(VLOOKUP(C19,'Raw - Incapacity'!A:Q,14,FALSE)-VLOOKUP(C19,'Raw - Incapacity'!A:Q,2,FALSE)),"-")</f>
        <v>-22279</v>
      </c>
    </row>
    <row r="20" spans="2:12" s="137" customFormat="1" ht="19.5" customHeight="1">
      <c r="B20" s="226" t="s">
        <v>164</v>
      </c>
      <c r="C20" s="216" t="s">
        <v>46</v>
      </c>
      <c r="D20" s="217">
        <f>VLOOKUP($C20,'Raw - Incapacity'!$A:$Q,4,FALSE)</f>
        <v>60.945189277946</v>
      </c>
      <c r="E20" s="217">
        <f>VLOOKUP($C20,'Raw - Incapacity'!$A:$Q,8,FALSE)</f>
        <v>57.072551085028351</v>
      </c>
      <c r="F20" s="217">
        <f>VLOOKUP($C20,'Raw - Incapacity'!$A:$Q,12,FALSE)</f>
        <v>53.936781535187841</v>
      </c>
      <c r="G20" s="217">
        <f>VLOOKUP($C20,'Raw - Incapacity'!$A:$Q,16,FALSE)</f>
        <v>46.20753025382335</v>
      </c>
      <c r="H20" s="218">
        <f>VLOOKUP(C20,'Raw - Incapacity'!A:Q,14,FALSE)</f>
        <v>161473</v>
      </c>
      <c r="I20" s="219">
        <f t="shared" si="3"/>
        <v>-14.737659024122649</v>
      </c>
      <c r="J20" s="220">
        <f>IFERROR(SUM(VLOOKUP(C20,'Raw - Incapacity'!A:Q,14,FALSE)-VLOOKUP(C20,'Raw - Incapacity'!A:Q,2,FALSE)),"-")</f>
        <v>-51501</v>
      </c>
    </row>
    <row r="21" spans="2:12" s="137" customFormat="1" ht="19.5" customHeight="1">
      <c r="B21" s="226" t="s">
        <v>164</v>
      </c>
      <c r="C21" s="216" t="s">
        <v>173</v>
      </c>
      <c r="D21" s="217" t="s">
        <v>71</v>
      </c>
      <c r="E21" s="217" t="s">
        <v>71</v>
      </c>
      <c r="F21" s="217" t="s">
        <v>71</v>
      </c>
      <c r="G21" s="217" t="s">
        <v>71</v>
      </c>
      <c r="H21" s="218" t="s">
        <v>71</v>
      </c>
      <c r="I21" s="219" t="s">
        <v>71</v>
      </c>
      <c r="J21" s="220"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prmggY6Ieg1JA8A2nTraIKBZMUd7vGS9udMO2iPYR5JCNhyeW4YrpZM2xrbv++vy3wZGzfFkYS6PVwamI5QVgA==" saltValue="WP3rSt4uBWGo0OJetXNBfA==" spinCount="100000" sheet="1" sort="0"/>
  <mergeCells count="4">
    <mergeCell ref="K4:L4"/>
    <mergeCell ref="I5:J5"/>
    <mergeCell ref="K5:L5"/>
    <mergeCell ref="G2:H2"/>
  </mergeCells>
  <hyperlinks>
    <hyperlink ref="C3" r:id="rId1" xr:uid="{00000000-0004-0000-0B00-000000000000}"/>
    <hyperlink ref="G2:H2" location="'Index RAG'!A1" display="Return to Index RAG" xr:uid="{85828CCA-E964-454E-A692-5A4C556F824E}"/>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0FEC8C8-8588-4593-A1F1-D13A505ED644}">
          <x14:formula1>
            <xm:f>Lookups!$C$9:$C$12</xm:f>
          </x14:formula1>
          <xm:sqref>K5:L5</xm:sqref>
        </x14:dataValidation>
        <x14:dataValidation type="list" allowBlank="1" showInputMessage="1" showErrorMessage="1" xr:uid="{450CDA2E-9D86-469E-8132-12FD4DEC06E6}">
          <x14:formula1>
            <xm:f>Lookups!$B$27:$E$27</xm:f>
          </x14:formula1>
          <xm:sqref>C6</xm:sqref>
        </x14:dataValidation>
        <x14:dataValidation type="list" allowBlank="1" showInputMessage="1" showErrorMessage="1" xr:uid="{4574778B-3B3D-465F-B891-6E77B2631FEA}">
          <x14:formula1>
            <xm:f>Lookups!$B$36:$E$36</xm:f>
          </x14:formula1>
          <xm:sqref>C18</xm:sqref>
        </x14:dataValidation>
        <x14:dataValidation type="list" allowBlank="1" showInputMessage="1" showErrorMessage="1" xr:uid="{3CF028A4-8A7D-48BC-881E-B56EB28570E0}">
          <x14:formula1>
            <xm:f>Lookups!$Q$3:$Q$7</xm:f>
          </x14:formula1>
          <xm:sqref>C19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B1:L25"/>
  <sheetViews>
    <sheetView zoomScale="90" zoomScaleNormal="90" workbookViewId="0">
      <selection activeCell="I17" sqref="I17:J21"/>
    </sheetView>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Economic Inactive by reason:  Long-term Ill-health (%) - LGBF Family Group 1</v>
      </c>
      <c r="D1" s="170" t="s">
        <v>290</v>
      </c>
    </row>
    <row r="2" spans="2:12" ht="12.75">
      <c r="B2" s="171" t="s">
        <v>49</v>
      </c>
      <c r="C2" s="172" t="s">
        <v>211</v>
      </c>
      <c r="F2" s="467" t="s">
        <v>216</v>
      </c>
      <c r="G2" s="468"/>
    </row>
    <row r="3" spans="2:12" ht="12.75">
      <c r="B3" s="171" t="s">
        <v>50</v>
      </c>
      <c r="C3" s="174" t="s">
        <v>512</v>
      </c>
    </row>
    <row r="4" spans="2:12" ht="12.75">
      <c r="B4" s="172"/>
      <c r="C4" s="175" t="s">
        <v>208</v>
      </c>
      <c r="D4" s="176"/>
      <c r="K4" s="463" t="s">
        <v>56</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360</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34">
        <f>IF(OR($C7="Shetland Islands"),"-",VLOOKUP($C7,'Raw - Ill Health'!$A:$Q,4,FALSE))</f>
        <v>21.6</v>
      </c>
      <c r="E7" s="234">
        <f>IF(OR($C7="Shetland Islands"),"-",VLOOKUP($C7,'Raw - Ill Health'!$A:$Q,8,FALSE))</f>
        <v>26.8</v>
      </c>
      <c r="F7" s="234">
        <f>IF(OR($C7="Shetland Islands"),"-",VLOOKUP($C7,'Raw - Ill Health'!$A:$Q,12,FALSE))</f>
        <v>32.700000000000003</v>
      </c>
      <c r="G7" s="234">
        <f>IF(OR($C7="Shetland Islands",$C7="Orkney Islands"),"-",VLOOKUP($C7,'Raw - Ill Health'!$A:$Q,16,FALSE))</f>
        <v>35</v>
      </c>
      <c r="H7" s="218">
        <f>IF(OR($C7="Shetland Islands",$C7="Orkney Islands"),"-",VLOOKUP($C7,'Raw - Ill Health'!$A:$Q,14,FALSE))</f>
        <v>1100</v>
      </c>
      <c r="I7" s="219">
        <f>IFERROR(IF(G7="-","-",SUM(G7-D7)),"-")</f>
        <v>13.399999999999999</v>
      </c>
      <c r="J7" s="220">
        <f>IFERROR(IF(I7="-","-",SUM(VLOOKUP(C7,'Raw - Ill Health'!A:Q,14,FALSE)-VLOOKUP(C7,'Raw - Ill Health'!A:Q,2,FALSE))),"-")</f>
        <v>600</v>
      </c>
      <c r="K7" s="221">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-15.100000000000001</v>
      </c>
      <c r="L7" s="222">
        <f>IF(K7="-","-",IF(K7=""," ",IF($K$5="LGBF Family Group Average",SUM(MROUND(SUM(SUM(VLOOKUP(C$18,'Raw - Ill Health'!A:Q,16,FALSE)*VLOOKUP(C7,'Raw - Ill Health'!A:Q,15,FALSE))/100),100)-MROUND(SUM(SUM(VLOOKUP(C7,'Raw - Ill Health'!A:Q,16,FALSE)*VLOOKUP(C7,'Raw - Ill Health'!A:Q,15,FALSE))/100),100)),IF($K$5="City Region Comparator",SUM(MROUND(SUM(SUM(VLOOKUP(C$19,'Raw - Ill Health'!A:Q,16,FALSE)*VLOOKUP(C7,'Raw - Ill Health'!A:Q,15,FALSE))/100),100)-MROUND(SUM(SUM(VLOOKUP(C7,'Raw - Ill Health'!A:Q,16,FALSE)*VLOOKUP(C7,'Raw - Ill Health'!A:Q,15,FALSE))/100),100)),IF($K$5="Scotland",SUM(MROUND(SUM(SUM(VLOOKUP(C$20,'Raw - Ill Health'!A:Q,16,FALSE)*VLOOKUP(C7,'Raw - Ill Health'!A:Q,15,FALSE))/100),100)-MROUND(SUM(SUM(VLOOKUP(C7,'Raw - Ill Health'!A:Q,16,FALSE)*VLOOKUP(C7,'Raw - Ill Health'!A:Q,15,FALSE))/100),100)),IF($K$5="United Kingdom",SUM(MROUND(SUM(SUM(VLOOKUP(C$21,'Raw - Ill Health'!A:Q,16,FALSE)*VLOOKUP(C7,'Raw - Ill Health'!A:Q,15,FALSE))/100),100)-MROUND(SUM(SUM(VLOOKUP(C7,'Raw - Ill Health'!A:Q,16,FALSE)*VLOOKUP(C7,'Raw - Ill Health'!A:Q,15,FALSE))/100),100)),SUM(MROUND(SUM(SUM(VLOOKUP(C$17,'Raw - Ill Health'!A:Q,16,FALSE)*VLOOKUP(C7,'Raw - Ill Health'!A:Q,15,FALSE))/100),100)-MROUND(SUM(SUM(VLOOKUP(C7,'Raw - Ill Health'!A:Q,16,FALSE)*VLOOKUP(C7,'Raw - Ill Health'!A:Q,15,FALSE))/100),100))))))))</f>
        <v>-500</v>
      </c>
    </row>
    <row r="8" spans="2:12" s="137" customFormat="1" ht="19.5" customHeight="1">
      <c r="B8" s="216" t="s">
        <v>153</v>
      </c>
      <c r="C8" s="216" t="str">
        <f>IF(C$6="LGBF Family Group 1",Lookups!I29,IF(C$6="LGBF Family Group 2",Lookups!J29,IF(C$6="LGBF Family Group 3",Lookups!K29,Lookups!L29)))</f>
        <v>Argyll and Bute</v>
      </c>
      <c r="D8" s="234">
        <f>IF(OR($C8="Shetland Islands"),"-",VLOOKUP($C8,'Raw - Ill Health'!$A:$Q,4,FALSE))</f>
        <v>28</v>
      </c>
      <c r="E8" s="234">
        <f>IF(OR($C8="Shetland Islands"),"-",VLOOKUP($C8,'Raw - Ill Health'!$A:$Q,8,FALSE))</f>
        <v>23.9</v>
      </c>
      <c r="F8" s="234">
        <f>IF(OR($C8="Shetland Islands"),"-",VLOOKUP($C8,'Raw - Ill Health'!$A:$Q,12,FALSE))</f>
        <v>25.9</v>
      </c>
      <c r="G8" s="234">
        <f>IF(OR($C8="Shetland Islands",$C8="Orkney Islands"),"-",VLOOKUP($C8,'Raw - Ill Health'!$A:$Q,16,FALSE))</f>
        <v>37.700000000000003</v>
      </c>
      <c r="H8" s="218">
        <f>IF(OR($C8="Shetland Islands",$C8="Orkney Islands"),"-",VLOOKUP($C8,'Raw - Ill Health'!$A:$Q,14,FALSE))</f>
        <v>5400</v>
      </c>
      <c r="I8" s="219">
        <f t="shared" ref="I8:I14" si="1">IFERROR(IF(G8="-","-",SUM(G8-D8)),"-")</f>
        <v>9.7000000000000028</v>
      </c>
      <c r="J8" s="220">
        <f>IFERROR(IF(I8="-","-",SUM(VLOOKUP(C8,'Raw - Ill Health'!A:Q,14,FALSE)-VLOOKUP(C8,'Raw - Ill Health'!A:Q,2,FALSE))),"-")</f>
        <v>2300</v>
      </c>
      <c r="K8" s="221">
        <f t="shared" si="0"/>
        <v>-17.800000000000004</v>
      </c>
      <c r="L8" s="222">
        <f>IF(K8="-","-",IF(K8=""," ",IF($K$5="LGBF Family Group Average",SUM(MROUND(SUM(SUM(VLOOKUP(C$18,'Raw - Ill Health'!A:Q,16,FALSE)*VLOOKUP(C8,'Raw - Ill Health'!A:Q,15,FALSE))/100),100)-MROUND(SUM(SUM(VLOOKUP(C8,'Raw - Ill Health'!A:Q,16,FALSE)*VLOOKUP(C8,'Raw - Ill Health'!A:Q,15,FALSE))/100),100)),IF($K$5="City Region Comparator",SUM(MROUND(SUM(SUM(VLOOKUP(C$19,'Raw - Ill Health'!A:Q,16,FALSE)*VLOOKUP(C8,'Raw - Ill Health'!A:Q,15,FALSE))/100),100)-MROUND(SUM(SUM(VLOOKUP(C8,'Raw - Ill Health'!A:Q,16,FALSE)*VLOOKUP(C8,'Raw - Ill Health'!A:Q,15,FALSE))/100),100)),IF($K$5="Scotland",SUM(MROUND(SUM(SUM(VLOOKUP(C$20,'Raw - Ill Health'!A:Q,16,FALSE)*VLOOKUP(C8,'Raw - Ill Health'!A:Q,15,FALSE))/100),100)-MROUND(SUM(SUM(VLOOKUP(C8,'Raw - Ill Health'!A:Q,16,FALSE)*VLOOKUP(C8,'Raw - Ill Health'!A:Q,15,FALSE))/100),100)),IF($K$5="United Kingdom",SUM(MROUND(SUM(SUM(VLOOKUP(C$21,'Raw - Ill Health'!A:Q,16,FALSE)*VLOOKUP(C8,'Raw - Ill Health'!A:Q,15,FALSE))/100),100)-MROUND(SUM(SUM(VLOOKUP(C8,'Raw - Ill Health'!A:Q,16,FALSE)*VLOOKUP(C8,'Raw - Ill Health'!A:Q,15,FALSE))/100),100)),SUM(MROUND(SUM(SUM(VLOOKUP(C$17,'Raw - Ill Health'!A:Q,16,FALSE)*VLOOKUP(C8,'Raw - Ill Health'!A:Q,15,FALSE))/100),100)-MROUND(SUM(SUM(VLOOKUP(C8,'Raw - Ill Health'!A:Q,16,FALSE)*VLOOKUP(C8,'Raw - Ill Health'!A:Q,15,FALSE))/100),100))))))))</f>
        <v>-2500</v>
      </c>
    </row>
    <row r="9" spans="2:12" s="137" customFormat="1" ht="19.5" customHeight="1">
      <c r="B9" s="216" t="s">
        <v>153</v>
      </c>
      <c r="C9" s="216" t="str">
        <f>IF(C$6="LGBF Family Group 1",Lookups!I30,IF(C$6="LGBF Family Group 2",Lookups!J30,IF(C$6="LGBF Family Group 3",Lookups!K30,Lookups!L30)))</f>
        <v>Shetland Islands</v>
      </c>
      <c r="D9" s="234" t="str">
        <f>IF(OR($C9="Shetland Islands"),"-",VLOOKUP($C9,'Raw - Ill Health'!$A:$Q,4,FALSE))</f>
        <v>-</v>
      </c>
      <c r="E9" s="234" t="str">
        <f>IF(OR($C9="Shetland Islands"),"-",VLOOKUP($C9,'Raw - Ill Health'!$A:$Q,8,FALSE))</f>
        <v>-</v>
      </c>
      <c r="F9" s="234" t="str">
        <f>IF(OR($C9="Shetland Islands"),"-",VLOOKUP($C9,'Raw - Ill Health'!$A:$Q,12,FALSE))</f>
        <v>-</v>
      </c>
      <c r="G9" s="234" t="str">
        <f>IF(OR($C9="Shetland Islands",$C9="Orkney Islands"),"-",VLOOKUP($C9,'Raw - Ill Health'!$A:$Q,16,FALSE))</f>
        <v>-</v>
      </c>
      <c r="H9" s="218" t="str">
        <f>IF(OR($C9="Shetland Islands",$C9="Orkney Islands"),"-",VLOOKUP($C9,'Raw - Ill Health'!$A:$Q,14,FALSE))</f>
        <v>-</v>
      </c>
      <c r="I9" s="219" t="str">
        <f t="shared" si="1"/>
        <v>-</v>
      </c>
      <c r="J9" s="220" t="str">
        <f>IFERROR(IF(I9="-","-",SUM(VLOOKUP(C9,'Raw - Ill Health'!A:Q,14,FALSE)-VLOOKUP(C9,'Raw - Ill Health'!A:Q,2,FALSE))),"-")</f>
        <v>-</v>
      </c>
      <c r="K9" s="221" t="str">
        <f t="shared" si="0"/>
        <v>-</v>
      </c>
      <c r="L9" s="222" t="str">
        <f>IF(K9="-","-",IF(K9=""," ",IF($K$5="LGBF Family Group Average",SUM(MROUND(SUM(SUM(VLOOKUP(C$18,'Raw - Ill Health'!A:Q,16,FALSE)*VLOOKUP(C9,'Raw - Ill Health'!A:Q,15,FALSE))/100),100)-MROUND(SUM(SUM(VLOOKUP(C9,'Raw - Ill Health'!A:Q,16,FALSE)*VLOOKUP(C9,'Raw - Ill Health'!A:Q,15,FALSE))/100),100)),IF($K$5="City Region Comparator",SUM(MROUND(SUM(SUM(VLOOKUP(C$19,'Raw - Ill Health'!A:Q,16,FALSE)*VLOOKUP(C9,'Raw - Ill Health'!A:Q,15,FALSE))/100),100)-MROUND(SUM(SUM(VLOOKUP(C9,'Raw - Ill Health'!A:Q,16,FALSE)*VLOOKUP(C9,'Raw - Ill Health'!A:Q,15,FALSE))/100),100)),IF($K$5="Scotland",SUM(MROUND(SUM(SUM(VLOOKUP(C$20,'Raw - Ill Health'!A:Q,16,FALSE)*VLOOKUP(C9,'Raw - Ill Health'!A:Q,15,FALSE))/100),100)-MROUND(SUM(SUM(VLOOKUP(C9,'Raw - Ill Health'!A:Q,16,FALSE)*VLOOKUP(C9,'Raw - Ill Health'!A:Q,15,FALSE))/100),100)),IF($K$5="United Kingdom",SUM(MROUND(SUM(SUM(VLOOKUP(C$21,'Raw - Ill Health'!A:Q,16,FALSE)*VLOOKUP(C9,'Raw - Ill Health'!A:Q,15,FALSE))/100),100)-MROUND(SUM(SUM(VLOOKUP(C9,'Raw - Ill Health'!A:Q,16,FALSE)*VLOOKUP(C9,'Raw - Ill Health'!A:Q,15,FALSE))/100),100)),SUM(MROUND(SUM(SUM(VLOOKUP(C$17,'Raw - Ill Health'!A:Q,16,FALSE)*VLOOKUP(C9,'Raw - Ill Health'!A:Q,15,FALSE))/100),100)-MROUND(SUM(SUM(VLOOKUP(C9,'Raw - Ill Health'!A:Q,16,FALSE)*VLOOKUP(C9,'Raw - Ill Health'!A:Q,15,FALSE))/100),100))))))))</f>
        <v>-</v>
      </c>
    </row>
    <row r="10" spans="2:12" s="137" customFormat="1" ht="19.5" customHeight="1">
      <c r="B10" s="216" t="s">
        <v>153</v>
      </c>
      <c r="C10" s="216" t="str">
        <f>IF(C$6="LGBF Family Group 1",Lookups!I31,IF(C$6="LGBF Family Group 2",Lookups!J31,IF(C$6="LGBF Family Group 3",Lookups!K31,Lookups!L31)))</f>
        <v>Highland</v>
      </c>
      <c r="D10" s="234">
        <f>IF(OR($C10="Shetland Islands"),"-",VLOOKUP($C10,'Raw - Ill Health'!$A:$Q,4,FALSE))</f>
        <v>19.5</v>
      </c>
      <c r="E10" s="234">
        <f>IF(OR($C10="Shetland Islands"),"-",VLOOKUP($C10,'Raw - Ill Health'!$A:$Q,8,FALSE))</f>
        <v>22.1</v>
      </c>
      <c r="F10" s="234">
        <f>IF(OR($C10="Shetland Islands"),"-",VLOOKUP($C10,'Raw - Ill Health'!$A:$Q,12,FALSE))</f>
        <v>27.3</v>
      </c>
      <c r="G10" s="234">
        <f>IF(OR($C10="Shetland Islands",$C10="Orkney Islands"),"-",VLOOKUP($C10,'Raw - Ill Health'!$A:$Q,16,FALSE))</f>
        <v>39.5</v>
      </c>
      <c r="H10" s="218">
        <f>IF(OR($C10="Shetland Islands",$C10="Orkney Islands"),"-",VLOOKUP($C10,'Raw - Ill Health'!$A:$Q,14,FALSE))</f>
        <v>13100</v>
      </c>
      <c r="I10" s="219">
        <f t="shared" si="1"/>
        <v>20</v>
      </c>
      <c r="J10" s="220">
        <f>IFERROR(IF(I10="-","-",SUM(VLOOKUP(C10,'Raw - Ill Health'!A:Q,14,FALSE)-VLOOKUP(C10,'Raw - Ill Health'!A:Q,2,FALSE))),"-")</f>
        <v>7400</v>
      </c>
      <c r="K10" s="221">
        <f t="shared" si="0"/>
        <v>-19.600000000000001</v>
      </c>
      <c r="L10" s="222">
        <f>IF(K10="-","-",IF(K10=""," ",IF($K$5="LGBF Family Group Average",SUM(MROUND(SUM(SUM(VLOOKUP(C$18,'Raw - Ill Health'!A:Q,16,FALSE)*VLOOKUP(C10,'Raw - Ill Health'!A:Q,15,FALSE))/100),100)-MROUND(SUM(SUM(VLOOKUP(C10,'Raw - Ill Health'!A:Q,16,FALSE)*VLOOKUP(C10,'Raw - Ill Health'!A:Q,15,FALSE))/100),100)),IF($K$5="City Region Comparator",SUM(MROUND(SUM(SUM(VLOOKUP(C$19,'Raw - Ill Health'!A:Q,16,FALSE)*VLOOKUP(C10,'Raw - Ill Health'!A:Q,15,FALSE))/100),100)-MROUND(SUM(SUM(VLOOKUP(C10,'Raw - Ill Health'!A:Q,16,FALSE)*VLOOKUP(C10,'Raw - Ill Health'!A:Q,15,FALSE))/100),100)),IF($K$5="Scotland",SUM(MROUND(SUM(SUM(VLOOKUP(C$20,'Raw - Ill Health'!A:Q,16,FALSE)*VLOOKUP(C10,'Raw - Ill Health'!A:Q,15,FALSE))/100),100)-MROUND(SUM(SUM(VLOOKUP(C10,'Raw - Ill Health'!A:Q,16,FALSE)*VLOOKUP(C10,'Raw - Ill Health'!A:Q,15,FALSE))/100),100)),IF($K$5="United Kingdom",SUM(MROUND(SUM(SUM(VLOOKUP(C$21,'Raw - Ill Health'!A:Q,16,FALSE)*VLOOKUP(C10,'Raw - Ill Health'!A:Q,15,FALSE))/100),100)-MROUND(SUM(SUM(VLOOKUP(C10,'Raw - Ill Health'!A:Q,16,FALSE)*VLOOKUP(C10,'Raw - Ill Health'!A:Q,15,FALSE))/100),100)),SUM(MROUND(SUM(SUM(VLOOKUP(C$17,'Raw - Ill Health'!A:Q,16,FALSE)*VLOOKUP(C10,'Raw - Ill Health'!A:Q,15,FALSE))/100),100)-MROUND(SUM(SUM(VLOOKUP(C10,'Raw - Ill Health'!A:Q,16,FALSE)*VLOOKUP(C10,'Raw - Ill Health'!A:Q,15,FALSE))/100),100))))))))</f>
        <v>-6500</v>
      </c>
    </row>
    <row r="11" spans="2:12" s="137" customFormat="1" ht="19.5" customHeight="1">
      <c r="B11" s="216" t="s">
        <v>153</v>
      </c>
      <c r="C11" s="216" t="str">
        <f>IF(C$6="LGBF Family Group 1",Lookups!I32,IF(C$6="LGBF Family Group 2",Lookups!J32,IF(C$6="LGBF Family Group 3",Lookups!K32,Lookups!L32)))</f>
        <v>Orkney Islands</v>
      </c>
      <c r="D11" s="234" t="str">
        <f>IF(OR($C11="Shetland Islands"),"-",VLOOKUP($C11,'Raw - Ill Health'!$A:$Q,4,FALSE))</f>
        <v>-</v>
      </c>
      <c r="E11" s="234" t="str">
        <f>IF(OR($C11="Shetland Islands"),"-",VLOOKUP($C11,'Raw - Ill Health'!$A:$Q,8,FALSE))</f>
        <v>-</v>
      </c>
      <c r="F11" s="234" t="str">
        <f>IF(OR($C11="Shetland Islands"),"-",VLOOKUP($C11,'Raw - Ill Health'!$A:$Q,12,FALSE))</f>
        <v>-</v>
      </c>
      <c r="G11" s="234" t="str">
        <f>IF(OR($C11="Shetland Islands",$C11="Orkney Islands"),"-",VLOOKUP($C11,'Raw - Ill Health'!$A:$Q,16,FALSE))</f>
        <v>-</v>
      </c>
      <c r="H11" s="218" t="str">
        <f>IF(OR($C11="Shetland Islands",$C11="Orkney Islands"),"-",VLOOKUP($C11,'Raw - Ill Health'!$A:$Q,14,FALSE))</f>
        <v>-</v>
      </c>
      <c r="I11" s="219" t="str">
        <f t="shared" si="1"/>
        <v>-</v>
      </c>
      <c r="J11" s="220" t="str">
        <f>IFERROR(IF(I11="-","-",SUM(VLOOKUP(C11,'Raw - Ill Health'!A:Q,14,FALSE)-VLOOKUP(C11,'Raw - Ill Health'!A:Q,2,FALSE))),"-")</f>
        <v>-</v>
      </c>
      <c r="K11" s="221" t="str">
        <f t="shared" si="0"/>
        <v>-</v>
      </c>
      <c r="L11" s="222" t="str">
        <f>IF(K11="-","-",IF(K11=""," ",IF($K$5="LGBF Family Group Average",SUM(MROUND(SUM(SUM(VLOOKUP(C$18,'Raw - Ill Health'!A:Q,16,FALSE)*VLOOKUP(C11,'Raw - Ill Health'!A:Q,15,FALSE))/100),100)-MROUND(SUM(SUM(VLOOKUP(C11,'Raw - Ill Health'!A:Q,16,FALSE)*VLOOKUP(C11,'Raw - Ill Health'!A:Q,15,FALSE))/100),100)),IF($K$5="City Region Comparator",SUM(MROUND(SUM(SUM(VLOOKUP(C$19,'Raw - Ill Health'!A:Q,16,FALSE)*VLOOKUP(C11,'Raw - Ill Health'!A:Q,15,FALSE))/100),100)-MROUND(SUM(SUM(VLOOKUP(C11,'Raw - Ill Health'!A:Q,16,FALSE)*VLOOKUP(C11,'Raw - Ill Health'!A:Q,15,FALSE))/100),100)),IF($K$5="Scotland",SUM(MROUND(SUM(SUM(VLOOKUP(C$20,'Raw - Ill Health'!A:Q,16,FALSE)*VLOOKUP(C11,'Raw - Ill Health'!A:Q,15,FALSE))/100),100)-MROUND(SUM(SUM(VLOOKUP(C11,'Raw - Ill Health'!A:Q,16,FALSE)*VLOOKUP(C11,'Raw - Ill Health'!A:Q,15,FALSE))/100),100)),IF($K$5="United Kingdom",SUM(MROUND(SUM(SUM(VLOOKUP(C$21,'Raw - Ill Health'!A:Q,16,FALSE)*VLOOKUP(C11,'Raw - Ill Health'!A:Q,15,FALSE))/100),100)-MROUND(SUM(SUM(VLOOKUP(C11,'Raw - Ill Health'!A:Q,16,FALSE)*VLOOKUP(C11,'Raw - Ill Health'!A:Q,15,FALSE))/100),100)),SUM(MROUND(SUM(SUM(VLOOKUP(C$17,'Raw - Ill Health'!A:Q,16,FALSE)*VLOOKUP(C11,'Raw - Ill Health'!A:Q,15,FALSE))/100),100)-MROUND(SUM(SUM(VLOOKUP(C11,'Raw - Ill Health'!A:Q,16,FALSE)*VLOOKUP(C11,'Raw - Ill Health'!A:Q,15,FALSE))/100),100))))))))</f>
        <v>-</v>
      </c>
    </row>
    <row r="12" spans="2:12" s="137" customFormat="1" ht="19.5" customHeight="1">
      <c r="B12" s="216" t="s">
        <v>153</v>
      </c>
      <c r="C12" s="216" t="str">
        <f>IF(C$6="LGBF Family Group 1",Lookups!I33,IF(C$6="LGBF Family Group 2",Lookups!J33,IF(C$6="LGBF Family Group 3",Lookups!K33,Lookups!L33)))</f>
        <v>Scottish Borders</v>
      </c>
      <c r="D12" s="234">
        <f>IF(OR($C12="Shetland Islands"),"-",VLOOKUP($C12,'Raw - Ill Health'!$A:$Q,4,FALSE))</f>
        <v>24.3</v>
      </c>
      <c r="E12" s="234">
        <f>IF(OR($C12="Shetland Islands"),"-",VLOOKUP($C12,'Raw - Ill Health'!$A:$Q,8,FALSE))</f>
        <v>28.5</v>
      </c>
      <c r="F12" s="234">
        <f>IF(OR($C12="Shetland Islands"),"-",VLOOKUP($C12,'Raw - Ill Health'!$A:$Q,12,FALSE))</f>
        <v>24</v>
      </c>
      <c r="G12" s="234">
        <f>IF(OR($C12="Shetland Islands",$C12="Orkney Islands"),"-",VLOOKUP($C12,'Raw - Ill Health'!$A:$Q,16,FALSE))</f>
        <v>22.1</v>
      </c>
      <c r="H12" s="218">
        <f>IF(OR($C12="Shetland Islands",$C12="Orkney Islands"),"-",VLOOKUP($C12,'Raw - Ill Health'!$A:$Q,14,FALSE))</f>
        <v>3100</v>
      </c>
      <c r="I12" s="219">
        <f t="shared" si="1"/>
        <v>-2.1999999999999993</v>
      </c>
      <c r="J12" s="220">
        <f>IFERROR(IF(I12="-","-",SUM(VLOOKUP(C12,'Raw - Ill Health'!A:Q,14,FALSE)-VLOOKUP(C12,'Raw - Ill Health'!A:Q,2,FALSE))),"-")</f>
        <v>-100</v>
      </c>
      <c r="K12" s="221">
        <f t="shared" si="0"/>
        <v>-2.2000000000000028</v>
      </c>
      <c r="L12" s="222">
        <f>IF(K12="-","-",IF(K12=""," ",IF($K$5="LGBF Family Group Average",SUM(MROUND(SUM(SUM(VLOOKUP(C$18,'Raw - Ill Health'!A:Q,16,FALSE)*VLOOKUP(C12,'Raw - Ill Health'!A:Q,15,FALSE))/100),100)-MROUND(SUM(SUM(VLOOKUP(C12,'Raw - Ill Health'!A:Q,16,FALSE)*VLOOKUP(C12,'Raw - Ill Health'!A:Q,15,FALSE))/100),100)),IF($K$5="City Region Comparator",SUM(MROUND(SUM(SUM(VLOOKUP(C$19,'Raw - Ill Health'!A:Q,16,FALSE)*VLOOKUP(C12,'Raw - Ill Health'!A:Q,15,FALSE))/100),100)-MROUND(SUM(SUM(VLOOKUP(C12,'Raw - Ill Health'!A:Q,16,FALSE)*VLOOKUP(C12,'Raw - Ill Health'!A:Q,15,FALSE))/100),100)),IF($K$5="Scotland",SUM(MROUND(SUM(SUM(VLOOKUP(C$20,'Raw - Ill Health'!A:Q,16,FALSE)*VLOOKUP(C12,'Raw - Ill Health'!A:Q,15,FALSE))/100),100)-MROUND(SUM(SUM(VLOOKUP(C12,'Raw - Ill Health'!A:Q,16,FALSE)*VLOOKUP(C12,'Raw - Ill Health'!A:Q,15,FALSE))/100),100)),IF($K$5="United Kingdom",SUM(MROUND(SUM(SUM(VLOOKUP(C$21,'Raw - Ill Health'!A:Q,16,FALSE)*VLOOKUP(C12,'Raw - Ill Health'!A:Q,15,FALSE))/100),100)-MROUND(SUM(SUM(VLOOKUP(C12,'Raw - Ill Health'!A:Q,16,FALSE)*VLOOKUP(C12,'Raw - Ill Health'!A:Q,15,FALSE))/100),100)),SUM(MROUND(SUM(SUM(VLOOKUP(C$17,'Raw - Ill Health'!A:Q,16,FALSE)*VLOOKUP(C12,'Raw - Ill Health'!A:Q,15,FALSE))/100),100)-MROUND(SUM(SUM(VLOOKUP(C12,'Raw - Ill Health'!A:Q,16,FALSE)*VLOOKUP(C12,'Raw - Ill Health'!A:Q,15,FALSE))/100),100))))))))</f>
        <v>-300</v>
      </c>
    </row>
    <row r="13" spans="2:12" s="137" customFormat="1" ht="19.5" customHeight="1">
      <c r="B13" s="216" t="s">
        <v>153</v>
      </c>
      <c r="C13" s="216" t="str">
        <f>IF(C$6="LGBF Family Group 1",Lookups!I34,IF(C$6="LGBF Family Group 2",Lookups!J34,IF(C$6="LGBF Family Group 3",Lookups!K34,Lookups!L34)))</f>
        <v>Dumfries and Galloway</v>
      </c>
      <c r="D13" s="234">
        <f>IF(OR($C13="Shetland Islands"),"-",VLOOKUP($C13,'Raw - Ill Health'!$A:$Q,4,FALSE))</f>
        <v>24.5</v>
      </c>
      <c r="E13" s="234">
        <f>IF(OR($C13="Shetland Islands"),"-",VLOOKUP($C13,'Raw - Ill Health'!$A:$Q,8,FALSE))</f>
        <v>31.4</v>
      </c>
      <c r="F13" s="234">
        <f>IF(OR($C13="Shetland Islands"),"-",VLOOKUP($C13,'Raw - Ill Health'!$A:$Q,12,FALSE))</f>
        <v>36.1</v>
      </c>
      <c r="G13" s="234">
        <f>IF(OR($C13="Shetland Islands",$C13="Orkney Islands"),"-",VLOOKUP($C13,'Raw - Ill Health'!$A:$Q,16,FALSE))</f>
        <v>42.9</v>
      </c>
      <c r="H13" s="218">
        <f>IF(OR($C13="Shetland Islands",$C13="Orkney Islands"),"-",VLOOKUP($C13,'Raw - Ill Health'!$A:$Q,14,FALSE))</f>
        <v>10000</v>
      </c>
      <c r="I13" s="219">
        <f t="shared" si="1"/>
        <v>18.399999999999999</v>
      </c>
      <c r="J13" s="220">
        <f>IFERROR(IF(I13="-","-",SUM(VLOOKUP(C13,'Raw - Ill Health'!A:Q,14,FALSE)-VLOOKUP(C13,'Raw - Ill Health'!A:Q,2,FALSE))),"-")</f>
        <v>4300</v>
      </c>
      <c r="K13" s="221">
        <f t="shared" si="0"/>
        <v>-23</v>
      </c>
      <c r="L13" s="222">
        <f>IF(K13="-","-",IF(K13=""," ",IF($K$5="LGBF Family Group Average",SUM(MROUND(SUM(SUM(VLOOKUP(C$18,'Raw - Ill Health'!A:Q,16,FALSE)*VLOOKUP(C13,'Raw - Ill Health'!A:Q,15,FALSE))/100),100)-MROUND(SUM(SUM(VLOOKUP(C13,'Raw - Ill Health'!A:Q,16,FALSE)*VLOOKUP(C13,'Raw - Ill Health'!A:Q,15,FALSE))/100),100)),IF($K$5="City Region Comparator",SUM(MROUND(SUM(SUM(VLOOKUP(C$19,'Raw - Ill Health'!A:Q,16,FALSE)*VLOOKUP(C13,'Raw - Ill Health'!A:Q,15,FALSE))/100),100)-MROUND(SUM(SUM(VLOOKUP(C13,'Raw - Ill Health'!A:Q,16,FALSE)*VLOOKUP(C13,'Raw - Ill Health'!A:Q,15,FALSE))/100),100)),IF($K$5="Scotland",SUM(MROUND(SUM(SUM(VLOOKUP(C$20,'Raw - Ill Health'!A:Q,16,FALSE)*VLOOKUP(C13,'Raw - Ill Health'!A:Q,15,FALSE))/100),100)-MROUND(SUM(SUM(VLOOKUP(C13,'Raw - Ill Health'!A:Q,16,FALSE)*VLOOKUP(C13,'Raw - Ill Health'!A:Q,15,FALSE))/100),100)),IF($K$5="United Kingdom",SUM(MROUND(SUM(SUM(VLOOKUP(C$21,'Raw - Ill Health'!A:Q,16,FALSE)*VLOOKUP(C13,'Raw - Ill Health'!A:Q,15,FALSE))/100),100)-MROUND(SUM(SUM(VLOOKUP(C13,'Raw - Ill Health'!A:Q,16,FALSE)*VLOOKUP(C13,'Raw - Ill Health'!A:Q,15,FALSE))/100),100)),SUM(MROUND(SUM(SUM(VLOOKUP(C$17,'Raw - Ill Health'!A:Q,16,FALSE)*VLOOKUP(C13,'Raw - Ill Health'!A:Q,15,FALSE))/100),100)-MROUND(SUM(SUM(VLOOKUP(C13,'Raw - Ill Health'!A:Q,16,FALSE)*VLOOKUP(C13,'Raw - Ill Health'!A:Q,15,FALSE))/100),100))))))))</f>
        <v>-5400</v>
      </c>
    </row>
    <row r="14" spans="2:12" s="137" customFormat="1" ht="19.5" customHeight="1">
      <c r="B14" s="216" t="s">
        <v>153</v>
      </c>
      <c r="C14" s="216" t="str">
        <f>IF(C$6="LGBF Family Group 1",Lookups!I35,IF(C$6="LGBF Family Group 2",Lookups!J35,IF(C$6="LGBF Family Group 3",Lookups!K35,Lookups!L35)))</f>
        <v>Aberdeenshire</v>
      </c>
      <c r="D14" s="234">
        <f>IF(OR($C14="Shetland Islands"),"-",VLOOKUP($C14,'Raw - Ill Health'!$A:$Q,4,FALSE))</f>
        <v>20.399999999999999</v>
      </c>
      <c r="E14" s="234">
        <f>IF(OR($C14="Shetland Islands"),"-",VLOOKUP($C14,'Raw - Ill Health'!$A:$Q,8,FALSE))</f>
        <v>23</v>
      </c>
      <c r="F14" s="234">
        <f>IF(OR($C14="Shetland Islands"),"-",VLOOKUP($C14,'Raw - Ill Health'!$A:$Q,12,FALSE))</f>
        <v>27</v>
      </c>
      <c r="G14" s="234">
        <f>IF(OR($C14="Shetland Islands",$C14="Orkney Islands"),"-",VLOOKUP($C14,'Raw - Ill Health'!$A:$Q,16,FALSE))</f>
        <v>20.8</v>
      </c>
      <c r="H14" s="218">
        <f>IF(OR($C14="Shetland Islands",$C14="Orkney Islands"),"-",VLOOKUP($C14,'Raw - Ill Health'!$A:$Q,14,FALSE))</f>
        <v>5200</v>
      </c>
      <c r="I14" s="219">
        <f t="shared" si="1"/>
        <v>0.40000000000000213</v>
      </c>
      <c r="J14" s="220">
        <f>IFERROR(IF(I14="-","-",SUM(VLOOKUP(C14,'Raw - Ill Health'!A:Q,14,FALSE)-VLOOKUP(C14,'Raw - Ill Health'!A:Q,2,FALSE))),"-")</f>
        <v>-900</v>
      </c>
      <c r="K14" s="221">
        <f t="shared" si="0"/>
        <v>-0.90000000000000213</v>
      </c>
      <c r="L14" s="222">
        <f>IF(K14="-","-",IF(K14=""," ",IF($K$5="LGBF Family Group Average",SUM(MROUND(SUM(SUM(VLOOKUP(C$18,'Raw - Ill Health'!A:Q,16,FALSE)*VLOOKUP(C14,'Raw - Ill Health'!A:Q,15,FALSE))/100),100)-MROUND(SUM(SUM(VLOOKUP(C14,'Raw - Ill Health'!A:Q,16,FALSE)*VLOOKUP(C14,'Raw - Ill Health'!A:Q,15,FALSE))/100),100)),IF($K$5="City Region Comparator",SUM(MROUND(SUM(SUM(VLOOKUP(C$19,'Raw - Ill Health'!A:Q,16,FALSE)*VLOOKUP(C14,'Raw - Ill Health'!A:Q,15,FALSE))/100),100)-MROUND(SUM(SUM(VLOOKUP(C14,'Raw - Ill Health'!A:Q,16,FALSE)*VLOOKUP(C14,'Raw - Ill Health'!A:Q,15,FALSE))/100),100)),IF($K$5="Scotland",SUM(MROUND(SUM(SUM(VLOOKUP(C$20,'Raw - Ill Health'!A:Q,16,FALSE)*VLOOKUP(C14,'Raw - Ill Health'!A:Q,15,FALSE))/100),100)-MROUND(SUM(SUM(VLOOKUP(C14,'Raw - Ill Health'!A:Q,16,FALSE)*VLOOKUP(C14,'Raw - Ill Health'!A:Q,15,FALSE))/100),100)),IF($K$5="United Kingdom",SUM(MROUND(SUM(SUM(VLOOKUP(C$21,'Raw - Ill Health'!A:Q,16,FALSE)*VLOOKUP(C14,'Raw - Ill Health'!A:Q,15,FALSE))/100),100)-MROUND(SUM(SUM(VLOOKUP(C14,'Raw - Ill Health'!A:Q,16,FALSE)*VLOOKUP(C14,'Raw - Ill Health'!A:Q,15,FALSE))/100),100)),SUM(MROUND(SUM(SUM(VLOOKUP(C$17,'Raw - Ill Health'!A:Q,16,FALSE)*VLOOKUP(C14,'Raw - Ill Health'!A:Q,15,FALSE))/100),100)-MROUND(SUM(SUM(VLOOKUP(C14,'Raw - Ill Health'!A:Q,16,FALSE)*VLOOKUP(C14,'Raw - Ill Health'!A:Q,15,FALSE))/100),100))))))))</f>
        <v>-200</v>
      </c>
    </row>
    <row r="15" spans="2:12" s="137" customFormat="1" ht="19.5" customHeight="1">
      <c r="B15" s="223"/>
      <c r="C15" s="232" t="s">
        <v>511</v>
      </c>
      <c r="D15" s="231"/>
      <c r="E15" s="231"/>
      <c r="F15" s="231"/>
      <c r="G15" s="231"/>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Ill Health'!$A$9:$A$40,MATCH(MIN('Raw - Ill Health'!P9:P40),'Raw - Ill Health'!P9:P40,0))</f>
        <v>Edinburgh, City of</v>
      </c>
      <c r="D17" s="234">
        <f>VLOOKUP($C17,'Raw - Ill Health'!$A:$Q,4,FALSE)</f>
        <v>19.7</v>
      </c>
      <c r="E17" s="234">
        <f>VLOOKUP($C17,'Raw - Ill Health'!$A:$Q,8,FALSE)</f>
        <v>16</v>
      </c>
      <c r="F17" s="234">
        <f>VLOOKUP($C17,'Raw - Ill Health'!$A:$Q,12,FALSE)</f>
        <v>25.5</v>
      </c>
      <c r="G17" s="234">
        <f>VLOOKUP($C17,'Raw - Ill Health'!$A:$Q,16,FALSE)</f>
        <v>19.899999999999999</v>
      </c>
      <c r="H17" s="218">
        <f>VLOOKUP(C17,'Raw - Ill Health'!A:Q,14,FALSE)</f>
        <v>10100</v>
      </c>
      <c r="I17" s="219">
        <f t="shared" ref="I17" si="2">IFERROR(IF(G17="-","-",SUM(G17-D17)),"-")</f>
        <v>0.19999999999999929</v>
      </c>
      <c r="J17" s="220">
        <f>IFERROR(IF(I17="-","-",SUM(VLOOKUP(C17,'Raw - Ill Health'!A:Q,14,FALSE)-VLOOKUP(C17,'Raw - Ill Health'!A:Q,2,FALSE))),"-")</f>
        <v>-5900</v>
      </c>
    </row>
    <row r="18" spans="2:12" s="137" customFormat="1" ht="19.5" customHeight="1">
      <c r="B18" s="226" t="s">
        <v>271</v>
      </c>
      <c r="C18" s="227" t="s">
        <v>246</v>
      </c>
      <c r="D18" s="234">
        <f>VLOOKUP($C18,'Raw - Ill Health'!$A:$Q,4,FALSE)</f>
        <v>22.591943957968478</v>
      </c>
      <c r="E18" s="234">
        <f>VLOOKUP($C18,'Raw - Ill Health'!$A:$Q,8,FALSE)</f>
        <v>24.849397590361448</v>
      </c>
      <c r="F18" s="234">
        <f>VLOOKUP($C18,'Raw - Ill Health'!$A:$Q,12,FALSE)</f>
        <v>27.560366361365528</v>
      </c>
      <c r="G18" s="234">
        <f>VLOOKUP($C18,'Raw - Ill Health'!$A:$Q,16,FALSE)</f>
        <v>32.448630136986303</v>
      </c>
      <c r="H18" s="218">
        <f>VLOOKUP(C18,'Raw - Ill Health'!A:Q,14,FALSE)</f>
        <v>37900</v>
      </c>
      <c r="I18" s="219">
        <f t="shared" ref="I18:I21" si="3">IFERROR(IF(G18="-","-",SUM(G18-D18)),"-")</f>
        <v>9.8566861790178244</v>
      </c>
      <c r="J18" s="220">
        <f>IFERROR(IF(I18="-","-",SUM(VLOOKUP(C18,'Raw - Ill Health'!A:Q,14,FALSE)-VLOOKUP(C18,'Raw - Ill Health'!A:Q,2,FALSE))),"-")</f>
        <v>12100</v>
      </c>
    </row>
    <row r="19" spans="2:12" s="137" customFormat="1" ht="19.5" customHeight="1">
      <c r="B19" s="226" t="s">
        <v>270</v>
      </c>
      <c r="C19" s="216" t="s">
        <v>156</v>
      </c>
      <c r="D19" s="234">
        <f>VLOOKUP($C19,'Raw - Ill Health'!$A:$Q,4,FALSE)</f>
        <v>25.954198473282442</v>
      </c>
      <c r="E19" s="234">
        <f>VLOOKUP($C19,'Raw - Ill Health'!$A:$Q,8,FALSE)</f>
        <v>25.147928994082839</v>
      </c>
      <c r="F19" s="234">
        <f>VLOOKUP($C19,'Raw - Ill Health'!$A:$Q,12,FALSE)</f>
        <v>27.705627705627705</v>
      </c>
      <c r="G19" s="234">
        <f>VLOOKUP($C19,'Raw - Ill Health'!$A:$Q,16,FALSE)</f>
        <v>27.241962774957702</v>
      </c>
      <c r="H19" s="218">
        <f>VLOOKUP(C19,'Raw - Ill Health'!A:Q,14,FALSE)</f>
        <v>16100</v>
      </c>
      <c r="I19" s="219">
        <f t="shared" si="3"/>
        <v>1.28776430167526</v>
      </c>
      <c r="J19" s="220">
        <f>IFERROR(IF(I19="-","-",SUM(VLOOKUP(C19,'Raw - Ill Health'!A:Q,14,FALSE)-VLOOKUP(C19,'Raw - Ill Health'!A:Q,2,FALSE))),"-")</f>
        <v>-900</v>
      </c>
    </row>
    <row r="20" spans="2:12" s="137" customFormat="1" ht="19.5" customHeight="1">
      <c r="B20" s="226" t="s">
        <v>164</v>
      </c>
      <c r="C20" s="216" t="s">
        <v>46</v>
      </c>
      <c r="D20" s="234">
        <f>VLOOKUP($C20,'Raw - Ill Health'!$A:$Q,4,FALSE)</f>
        <v>28.7</v>
      </c>
      <c r="E20" s="234">
        <f>VLOOKUP($C20,'Raw - Ill Health'!$A:$Q,8,FALSE)</f>
        <v>29.6</v>
      </c>
      <c r="F20" s="234">
        <f>VLOOKUP($C20,'Raw - Ill Health'!$A:$Q,12,FALSE)</f>
        <v>32.1</v>
      </c>
      <c r="G20" s="234">
        <f>VLOOKUP($C20,'Raw - Ill Health'!$A:$Q,16,FALSE)</f>
        <v>31.6</v>
      </c>
      <c r="H20" s="218">
        <f>VLOOKUP(C20,'Raw - Ill Health'!A:Q,14,FALSE)</f>
        <v>245300</v>
      </c>
      <c r="I20" s="219">
        <f t="shared" si="3"/>
        <v>2.9000000000000021</v>
      </c>
      <c r="J20" s="220">
        <f>IFERROR(IF(I20="-","-",SUM(VLOOKUP(C20,'Raw - Ill Health'!A:Q,14,FALSE)-VLOOKUP(C20,'Raw - Ill Health'!A:Q,2,FALSE))),"-")</f>
        <v>16700</v>
      </c>
    </row>
    <row r="21" spans="2:12" ht="19.5" customHeight="1">
      <c r="B21" s="188" t="s">
        <v>164</v>
      </c>
      <c r="C21" s="183" t="s">
        <v>47</v>
      </c>
      <c r="D21" s="199">
        <f>VLOOKUP($C21,'Raw - Ill Health'!$A:$Q,4,FALSE)</f>
        <v>24</v>
      </c>
      <c r="E21" s="199">
        <f>VLOOKUP($C21,'Raw - Ill Health'!$A:$Q,8,FALSE)</f>
        <v>24.9</v>
      </c>
      <c r="F21" s="199">
        <f>VLOOKUP($C21,'Raw - Ill Health'!$A:$Q,12,FALSE)</f>
        <v>26.1</v>
      </c>
      <c r="G21" s="199">
        <f>VLOOKUP($C21,'Raw - Ill Health'!$A:$Q,16,FALSE)</f>
        <v>27.5</v>
      </c>
      <c r="H21" s="185">
        <f>VLOOKUP(C21,'Raw - Ill Health'!A:Q,14,FALSE)</f>
        <v>2446300</v>
      </c>
      <c r="I21" s="219">
        <f t="shared" si="3"/>
        <v>3.5</v>
      </c>
      <c r="J21" s="220">
        <f>IFERROR(IF(I21="-","-",SUM(VLOOKUP(C21,'Raw - Ill Health'!A:Q,14,FALSE)-VLOOKUP(C21,'Raw - Ill Health'!A:Q,2,FALSE))),"-")</f>
        <v>346800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6HpXXqjqXBAgTkRPPDCoikRGXyH7HItbql40CXuuWSJpaliGvFlNgW6zPPc+spH85Hg2YiGlGIC9p1tG50S2GQ==" saltValue="wbzOCaUc6XKzNv1o6luJ7w==" spinCount="100000" sheet="1" sort="0"/>
  <mergeCells count="4">
    <mergeCell ref="I5:J5"/>
    <mergeCell ref="K5:L5"/>
    <mergeCell ref="K4:L4"/>
    <mergeCell ref="F2:G2"/>
  </mergeCells>
  <hyperlinks>
    <hyperlink ref="F2:G2" location="'Index RAG'!A1" display="Return to Index RAG" xr:uid="{00000000-0004-0000-0C00-000001000000}"/>
    <hyperlink ref="C3" r:id="rId1" xr:uid="{DD37E706-73B2-4257-B2F5-40AF36160A95}"/>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1000000}">
          <x14:formula1>
            <xm:f>Lookups!$B$27:$E$27</xm:f>
          </x14:formula1>
          <xm:sqref>C6</xm:sqref>
        </x14:dataValidation>
        <x14:dataValidation type="list" allowBlank="1" showInputMessage="1" showErrorMessage="1" xr:uid="{68CDF9C6-8D61-4E44-9588-27F6334AA1BF}">
          <x14:formula1>
            <xm:f>Lookups!$B$36:$E$36</xm:f>
          </x14:formula1>
          <xm:sqref>C18</xm:sqref>
        </x14:dataValidation>
        <x14:dataValidation type="list" allowBlank="1" showInputMessage="1" showErrorMessage="1" xr:uid="{656D849B-63FA-47BB-B470-346F0554FD7A}">
          <x14:formula1>
            <xm:f>Lookups!$B$9:$B$13</xm:f>
          </x14:formula1>
          <xm:sqref>K5:L5</xm:sqref>
        </x14:dataValidation>
        <x14:dataValidation type="list" allowBlank="1" showInputMessage="1" showErrorMessage="1" xr:uid="{3D7A0FEA-7025-4490-AD0A-30E7D97F99A1}">
          <x14:formula1>
            <xm:f>Lookups!$Q$3:$Q$7</xm:f>
          </x14:formula1>
          <xm:sqref>C19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Economic Inactivity Rate (%) - LGBF Family Group 1</v>
      </c>
      <c r="D1" s="170" t="s">
        <v>290</v>
      </c>
    </row>
    <row r="2" spans="2:12" ht="12.75">
      <c r="B2" s="171" t="s">
        <v>49</v>
      </c>
      <c r="C2" s="172" t="s">
        <v>199</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360</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f>VLOOKUP($C7,'Raw - Economic Inactivity'!$A:$Q,4,FALSE)</f>
        <v>15.6</v>
      </c>
      <c r="E7" s="217">
        <f>VLOOKUP($C7,'Raw - Economic Inactivity'!$A:$Q,8,FALSE)</f>
        <v>17.600000000000001</v>
      </c>
      <c r="F7" s="217">
        <f>VLOOKUP($C7,'Raw - Economic Inactivity'!$A:$Q,12,FALSE)</f>
        <v>15.9</v>
      </c>
      <c r="G7" s="217">
        <f>VLOOKUP($C7,'Raw - Economic Inactivity'!$A:$Q,16,FALSE)</f>
        <v>20.9</v>
      </c>
      <c r="H7" s="218">
        <f>VLOOKUP(C7,'Raw - Economic Inactivity'!A:Q,14,FALSE)</f>
        <v>3200</v>
      </c>
      <c r="I7" s="219">
        <f>IFERROR(SUM(G7-D7),"-")</f>
        <v>5.2999999999999989</v>
      </c>
      <c r="J7" s="220">
        <f>IFERROR(SUM(VLOOKUP(C7,'Raw - Economic Inactivity'!A:Q,14,FALSE)-VLOOKUP(C7,'Raw - Economic Inactivity'!A:Q,2,FALSE)),"-")</f>
        <v>800</v>
      </c>
      <c r="K7" s="221">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-9.1999999999999993</v>
      </c>
      <c r="L7" s="222">
        <f>IF(K7="-","-",IF(K7=""," ",IF($K$5="LGBF Family Group Average",SUM(MROUND(SUM(SUM(VLOOKUP(C$18,'Raw - Economic Inactivity'!A:Q,16,FALSE)*VLOOKUP(C7,'Raw - Economic Inactivity'!A:Q,15,FALSE))/100),100)-MROUND(SUM(SUM(VLOOKUP(C7,'Raw - Economic Inactivity'!A:Q,16,FALSE)*VLOOKUP(C7,'Raw - Economic Inactivity'!A:Q,15,FALSE))/100),100)),IF($K$5="City Region Comparator",SUM(MROUND(SUM(SUM(VLOOKUP(C$19,'Raw - Economic Inactivity'!A:Q,16,FALSE)*VLOOKUP(C7,'Raw - Economic Inactivity'!A:Q,15,FALSE))/100),100)-MROUND(SUM(SUM(VLOOKUP(C7,'Raw - Economic Inactivity'!A:Q,16,FALSE)*VLOOKUP(C7,'Raw - Economic Inactivity'!A:Q,15,FALSE))/100),100)),IF($K$5="Scotland",SUM(MROUND(SUM(SUM(VLOOKUP(C$20,'Raw - Economic Inactivity'!A:Q,16,FALSE)*VLOOKUP(C7,'Raw - Economic Inactivity'!A:Q,15,FALSE))/100),100)-MROUND(SUM(SUM(VLOOKUP(C7,'Raw - Economic Inactivity'!A:Q,16,FALSE)*VLOOKUP(C7,'Raw - Economic Inactivity'!A:Q,15,FALSE))/100),100)),IF($K$5="United Kingdom",SUM(MROUND(SUM(SUM(VLOOKUP(C$21,'Raw - Economic Inactivity'!A:Q,16,FALSE)*VLOOKUP(C7,'Raw - Economic Inactivity'!A:Q,15,FALSE))/100),100)-MROUND(SUM(SUM(VLOOKUP(C7,'Raw - Economic Inactivity'!A:Q,16,FALSE)*VLOOKUP(C7,'Raw - Economic Inactivity'!A:Q,15,FALSE))/100),100)),SUM(MROUND(SUM(SUM(VLOOKUP(C$17,'Raw - Economic Inactivity'!A:Q,16,FALSE)*VLOOKUP(C7,'Raw - Economic Inactivity'!A:Q,15,FALSE))/100),100)-MROUND(SUM(SUM(VLOOKUP(C7,'Raw - Economic Inactivity'!A:Q,16,FALSE)*VLOOKUP(C7,'Raw - Economic Inactivity'!A:Q,15,FALSE))/100),100))))))))</f>
        <v>-1400</v>
      </c>
    </row>
    <row r="8" spans="2:12" s="137" customFormat="1" ht="19.5" customHeight="1">
      <c r="B8" s="216" t="s">
        <v>153</v>
      </c>
      <c r="C8" s="216" t="str">
        <f>IF(C$6="LGBF Family Group 1",Lookups!I29,IF(C$6="LGBF Family Group 2",Lookups!J29,IF(C$6="LGBF Family Group 3",Lookups!K29,Lookups!L29)))</f>
        <v>Argyll and Bute</v>
      </c>
      <c r="D8" s="217">
        <f>VLOOKUP($C8,'Raw - Economic Inactivity'!$A:$Q,4,FALSE)</f>
        <v>22.9</v>
      </c>
      <c r="E8" s="217">
        <f>VLOOKUP($C8,'Raw - Economic Inactivity'!$A:$Q,8,FALSE)</f>
        <v>24</v>
      </c>
      <c r="F8" s="217">
        <f>VLOOKUP($C8,'Raw - Economic Inactivity'!$A:$Q,12,FALSE)</f>
        <v>24.3</v>
      </c>
      <c r="G8" s="217">
        <f>VLOOKUP($C8,'Raw - Economic Inactivity'!$A:$Q,16,FALSE)</f>
        <v>29.5</v>
      </c>
      <c r="H8" s="218">
        <f>VLOOKUP(C8,'Raw - Economic Inactivity'!A:Q,14,FALSE)</f>
        <v>14400</v>
      </c>
      <c r="I8" s="219">
        <f t="shared" ref="I8:I14" si="1">IFERROR(SUM(G8-D8),"-")</f>
        <v>6.6000000000000014</v>
      </c>
      <c r="J8" s="220">
        <f>IFERROR(SUM(VLOOKUP(C8,'Raw - Economic Inactivity'!A:Q,14,FALSE)-VLOOKUP(C8,'Raw - Economic Inactivity'!A:Q,2,FALSE)),"-")</f>
        <v>3300</v>
      </c>
      <c r="K8" s="221">
        <f t="shared" si="0"/>
        <v>-17.8</v>
      </c>
      <c r="L8" s="222">
        <f>IF(K8="-","-",IF(K8=""," ",IF($K$5="LGBF Family Group Average",SUM(MROUND(SUM(SUM(VLOOKUP(C$18,'Raw - Economic Inactivity'!A:Q,16,FALSE)*VLOOKUP(C8,'Raw - Economic Inactivity'!A:Q,15,FALSE))/100),100)-MROUND(SUM(SUM(VLOOKUP(C8,'Raw - Economic Inactivity'!A:Q,16,FALSE)*VLOOKUP(C8,'Raw - Economic Inactivity'!A:Q,15,FALSE))/100),100)),IF($K$5="City Region Comparator",SUM(MROUND(SUM(SUM(VLOOKUP(C$19,'Raw - Economic Inactivity'!A:Q,16,FALSE)*VLOOKUP(C8,'Raw - Economic Inactivity'!A:Q,15,FALSE))/100),100)-MROUND(SUM(SUM(VLOOKUP(C8,'Raw - Economic Inactivity'!A:Q,16,FALSE)*VLOOKUP(C8,'Raw - Economic Inactivity'!A:Q,15,FALSE))/100),100)),IF($K$5="Scotland",SUM(MROUND(SUM(SUM(VLOOKUP(C$20,'Raw - Economic Inactivity'!A:Q,16,FALSE)*VLOOKUP(C8,'Raw - Economic Inactivity'!A:Q,15,FALSE))/100),100)-MROUND(SUM(SUM(VLOOKUP(C8,'Raw - Economic Inactivity'!A:Q,16,FALSE)*VLOOKUP(C8,'Raw - Economic Inactivity'!A:Q,15,FALSE))/100),100)),IF($K$5="United Kingdom",SUM(MROUND(SUM(SUM(VLOOKUP(C$21,'Raw - Economic Inactivity'!A:Q,16,FALSE)*VLOOKUP(C8,'Raw - Economic Inactivity'!A:Q,15,FALSE))/100),100)-MROUND(SUM(SUM(VLOOKUP(C8,'Raw - Economic Inactivity'!A:Q,16,FALSE)*VLOOKUP(C8,'Raw - Economic Inactivity'!A:Q,15,FALSE))/100),100)),SUM(MROUND(SUM(SUM(VLOOKUP(C$17,'Raw - Economic Inactivity'!A:Q,16,FALSE)*VLOOKUP(C8,'Raw - Economic Inactivity'!A:Q,15,FALSE))/100),100)-MROUND(SUM(SUM(VLOOKUP(C8,'Raw - Economic Inactivity'!A:Q,16,FALSE)*VLOOKUP(C8,'Raw - Economic Inactivity'!A:Q,15,FALSE))/100),100))))))))</f>
        <v>-8700</v>
      </c>
    </row>
    <row r="9" spans="2:12" s="137" customFormat="1" ht="19.5" customHeight="1">
      <c r="B9" s="216" t="s">
        <v>153</v>
      </c>
      <c r="C9" s="216" t="str">
        <f>IF(C$6="LGBF Family Group 1",Lookups!I30,IF(C$6="LGBF Family Group 2",Lookups!J30,IF(C$6="LGBF Family Group 3",Lookups!K30,Lookups!L30)))</f>
        <v>Shetland Islands</v>
      </c>
      <c r="D9" s="217">
        <f>VLOOKUP($C9,'Raw - Economic Inactivity'!$A:$Q,4,FALSE)</f>
        <v>25.4</v>
      </c>
      <c r="E9" s="217">
        <f>VLOOKUP($C9,'Raw - Economic Inactivity'!$A:$Q,8,FALSE)</f>
        <v>26.3</v>
      </c>
      <c r="F9" s="217">
        <f>VLOOKUP($C9,'Raw - Economic Inactivity'!$A:$Q,12,FALSE)</f>
        <v>23.9</v>
      </c>
      <c r="G9" s="217">
        <f>VLOOKUP($C9,'Raw - Economic Inactivity'!$A:$Q,16,FALSE)</f>
        <v>15.7</v>
      </c>
      <c r="H9" s="218">
        <f>VLOOKUP(C9,'Raw - Economic Inactivity'!A:Q,14,FALSE)</f>
        <v>2200</v>
      </c>
      <c r="I9" s="219">
        <f t="shared" si="1"/>
        <v>-9.6999999999999993</v>
      </c>
      <c r="J9" s="220">
        <f>IFERROR(SUM(VLOOKUP(C9,'Raw - Economic Inactivity'!A:Q,14,FALSE)-VLOOKUP(C9,'Raw - Economic Inactivity'!A:Q,2,FALSE)),"-")</f>
        <v>-1400</v>
      </c>
      <c r="K9" s="221">
        <f t="shared" si="0"/>
        <v>-4</v>
      </c>
      <c r="L9" s="222">
        <f>IF(K9="-","-",IF(K9=""," ",IF($K$5="LGBF Family Group Average",SUM(MROUND(SUM(SUM(VLOOKUP(C$18,'Raw - Economic Inactivity'!A:Q,16,FALSE)*VLOOKUP(C9,'Raw - Economic Inactivity'!A:Q,15,FALSE))/100),100)-MROUND(SUM(SUM(VLOOKUP(C9,'Raw - Economic Inactivity'!A:Q,16,FALSE)*VLOOKUP(C9,'Raw - Economic Inactivity'!A:Q,15,FALSE))/100),100)),IF($K$5="City Region Comparator",SUM(MROUND(SUM(SUM(VLOOKUP(C$19,'Raw - Economic Inactivity'!A:Q,16,FALSE)*VLOOKUP(C9,'Raw - Economic Inactivity'!A:Q,15,FALSE))/100),100)-MROUND(SUM(SUM(VLOOKUP(C9,'Raw - Economic Inactivity'!A:Q,16,FALSE)*VLOOKUP(C9,'Raw - Economic Inactivity'!A:Q,15,FALSE))/100),100)),IF($K$5="Scotland",SUM(MROUND(SUM(SUM(VLOOKUP(C$20,'Raw - Economic Inactivity'!A:Q,16,FALSE)*VLOOKUP(C9,'Raw - Economic Inactivity'!A:Q,15,FALSE))/100),100)-MROUND(SUM(SUM(VLOOKUP(C9,'Raw - Economic Inactivity'!A:Q,16,FALSE)*VLOOKUP(C9,'Raw - Economic Inactivity'!A:Q,15,FALSE))/100),100)),IF($K$5="United Kingdom",SUM(MROUND(SUM(SUM(VLOOKUP(C$21,'Raw - Economic Inactivity'!A:Q,16,FALSE)*VLOOKUP(C9,'Raw - Economic Inactivity'!A:Q,15,FALSE))/100),100)-MROUND(SUM(SUM(VLOOKUP(C9,'Raw - Economic Inactivity'!A:Q,16,FALSE)*VLOOKUP(C9,'Raw - Economic Inactivity'!A:Q,15,FALSE))/100),100)),SUM(MROUND(SUM(SUM(VLOOKUP(C$17,'Raw - Economic Inactivity'!A:Q,16,FALSE)*VLOOKUP(C9,'Raw - Economic Inactivity'!A:Q,15,FALSE))/100),100)-MROUND(SUM(SUM(VLOOKUP(C9,'Raw - Economic Inactivity'!A:Q,16,FALSE)*VLOOKUP(C9,'Raw - Economic Inactivity'!A:Q,15,FALSE))/100),100))))))))</f>
        <v>-500</v>
      </c>
    </row>
    <row r="10" spans="2:12" s="137" customFormat="1" ht="19.5" customHeight="1">
      <c r="B10" s="216" t="s">
        <v>153</v>
      </c>
      <c r="C10" s="216" t="str">
        <f>IF(C$6="LGBF Family Group 1",Lookups!I31,IF(C$6="LGBF Family Group 2",Lookups!J31,IF(C$6="LGBF Family Group 3",Lookups!K31,Lookups!L31)))</f>
        <v>Highland</v>
      </c>
      <c r="D10" s="217">
        <f>VLOOKUP($C10,'Raw - Economic Inactivity'!$A:$Q,4,FALSE)</f>
        <v>20.5</v>
      </c>
      <c r="E10" s="217">
        <f>VLOOKUP($C10,'Raw - Economic Inactivity'!$A:$Q,8,FALSE)</f>
        <v>25.3</v>
      </c>
      <c r="F10" s="217">
        <f>VLOOKUP($C10,'Raw - Economic Inactivity'!$A:$Q,12,FALSE)</f>
        <v>25.7</v>
      </c>
      <c r="G10" s="217">
        <f>VLOOKUP($C10,'Raw - Economic Inactivity'!$A:$Q,16,FALSE)</f>
        <v>22.9</v>
      </c>
      <c r="H10" s="218">
        <f>VLOOKUP(C10,'Raw - Economic Inactivity'!A:Q,14,FALSE)</f>
        <v>33200</v>
      </c>
      <c r="I10" s="219">
        <f t="shared" si="1"/>
        <v>2.3999999999999986</v>
      </c>
      <c r="J10" s="220">
        <f>IFERROR(SUM(VLOOKUP(C10,'Raw - Economic Inactivity'!A:Q,14,FALSE)-VLOOKUP(C10,'Raw - Economic Inactivity'!A:Q,2,FALSE)),"-")</f>
        <v>4100</v>
      </c>
      <c r="K10" s="221">
        <f t="shared" si="0"/>
        <v>-11.2</v>
      </c>
      <c r="L10" s="222">
        <f>IF(K10="-","-",IF(K10=""," ",IF($K$5="LGBF Family Group Average",SUM(MROUND(SUM(SUM(VLOOKUP(C$18,'Raw - Economic Inactivity'!A:Q,16,FALSE)*VLOOKUP(C10,'Raw - Economic Inactivity'!A:Q,15,FALSE))/100),100)-MROUND(SUM(SUM(VLOOKUP(C10,'Raw - Economic Inactivity'!A:Q,16,FALSE)*VLOOKUP(C10,'Raw - Economic Inactivity'!A:Q,15,FALSE))/100),100)),IF($K$5="City Region Comparator",SUM(MROUND(SUM(SUM(VLOOKUP(C$19,'Raw - Economic Inactivity'!A:Q,16,FALSE)*VLOOKUP(C10,'Raw - Economic Inactivity'!A:Q,15,FALSE))/100),100)-MROUND(SUM(SUM(VLOOKUP(C10,'Raw - Economic Inactivity'!A:Q,16,FALSE)*VLOOKUP(C10,'Raw - Economic Inactivity'!A:Q,15,FALSE))/100),100)),IF($K$5="Scotland",SUM(MROUND(SUM(SUM(VLOOKUP(C$20,'Raw - Economic Inactivity'!A:Q,16,FALSE)*VLOOKUP(C10,'Raw - Economic Inactivity'!A:Q,15,FALSE))/100),100)-MROUND(SUM(SUM(VLOOKUP(C10,'Raw - Economic Inactivity'!A:Q,16,FALSE)*VLOOKUP(C10,'Raw - Economic Inactivity'!A:Q,15,FALSE))/100),100)),IF($K$5="United Kingdom",SUM(MROUND(SUM(SUM(VLOOKUP(C$21,'Raw - Economic Inactivity'!A:Q,16,FALSE)*VLOOKUP(C10,'Raw - Economic Inactivity'!A:Q,15,FALSE))/100),100)-MROUND(SUM(SUM(VLOOKUP(C10,'Raw - Economic Inactivity'!A:Q,16,FALSE)*VLOOKUP(C10,'Raw - Economic Inactivity'!A:Q,15,FALSE))/100),100)),SUM(MROUND(SUM(SUM(VLOOKUP(C$17,'Raw - Economic Inactivity'!A:Q,16,FALSE)*VLOOKUP(C10,'Raw - Economic Inactivity'!A:Q,15,FALSE))/100),100)-MROUND(SUM(SUM(VLOOKUP(C10,'Raw - Economic Inactivity'!A:Q,16,FALSE)*VLOOKUP(C10,'Raw - Economic Inactivity'!A:Q,15,FALSE))/100),100))))))))</f>
        <v>-16200</v>
      </c>
    </row>
    <row r="11" spans="2:12" s="137" customFormat="1" ht="19.5" customHeight="1">
      <c r="B11" s="216" t="s">
        <v>153</v>
      </c>
      <c r="C11" s="216" t="str">
        <f>IF(C$6="LGBF Family Group 1",Lookups!I32,IF(C$6="LGBF Family Group 2",Lookups!J32,IF(C$6="LGBF Family Group 3",Lookups!K32,Lookups!L32)))</f>
        <v>Orkney Islands</v>
      </c>
      <c r="D11" s="217">
        <f>VLOOKUP($C11,'Raw - Economic Inactivity'!$A:$Q,4,FALSE)</f>
        <v>13.1</v>
      </c>
      <c r="E11" s="217">
        <f>VLOOKUP($C11,'Raw - Economic Inactivity'!$A:$Q,8,FALSE)</f>
        <v>19.399999999999999</v>
      </c>
      <c r="F11" s="217">
        <f>VLOOKUP($C11,'Raw - Economic Inactivity'!$A:$Q,12,FALSE)</f>
        <v>12.5</v>
      </c>
      <c r="G11" s="217">
        <f>VLOOKUP($C11,'Raw - Economic Inactivity'!$A:$Q,16,FALSE)</f>
        <v>11.7</v>
      </c>
      <c r="H11" s="218">
        <f>VLOOKUP(C11,'Raw - Economic Inactivity'!A:Q,14,FALSE)</f>
        <v>1500</v>
      </c>
      <c r="I11" s="219">
        <f t="shared" si="1"/>
        <v>-1.4000000000000004</v>
      </c>
      <c r="J11" s="220">
        <f>IFERROR(SUM(VLOOKUP(C11,'Raw - Economic Inactivity'!A:Q,14,FALSE)-VLOOKUP(C11,'Raw - Economic Inactivity'!A:Q,2,FALSE)),"-")</f>
        <v>-200</v>
      </c>
      <c r="K11" s="221" t="str">
        <f t="shared" si="0"/>
        <v/>
      </c>
      <c r="L11" s="222" t="str">
        <f>IF(K11="-","-",IF(K11=""," ",IF($K$5="LGBF Family Group Average",SUM(MROUND(SUM(SUM(VLOOKUP(C$18,'Raw - Economic Inactivity'!A:Q,16,FALSE)*VLOOKUP(C11,'Raw - Economic Inactivity'!A:Q,15,FALSE))/100),100)-MROUND(SUM(SUM(VLOOKUP(C11,'Raw - Economic Inactivity'!A:Q,16,FALSE)*VLOOKUP(C11,'Raw - Economic Inactivity'!A:Q,15,FALSE))/100),100)),IF($K$5="City Region Comparator",SUM(MROUND(SUM(SUM(VLOOKUP(C$19,'Raw - Economic Inactivity'!A:Q,16,FALSE)*VLOOKUP(C11,'Raw - Economic Inactivity'!A:Q,15,FALSE))/100),100)-MROUND(SUM(SUM(VLOOKUP(C11,'Raw - Economic Inactivity'!A:Q,16,FALSE)*VLOOKUP(C11,'Raw - Economic Inactivity'!A:Q,15,FALSE))/100),100)),IF($K$5="Scotland",SUM(MROUND(SUM(SUM(VLOOKUP(C$20,'Raw - Economic Inactivity'!A:Q,16,FALSE)*VLOOKUP(C11,'Raw - Economic Inactivity'!A:Q,15,FALSE))/100),100)-MROUND(SUM(SUM(VLOOKUP(C11,'Raw - Economic Inactivity'!A:Q,16,FALSE)*VLOOKUP(C11,'Raw - Economic Inactivity'!A:Q,15,FALSE))/100),100)),IF($K$5="United Kingdom",SUM(MROUND(SUM(SUM(VLOOKUP(C$21,'Raw - Economic Inactivity'!A:Q,16,FALSE)*VLOOKUP(C11,'Raw - Economic Inactivity'!A:Q,15,FALSE))/100),100)-MROUND(SUM(SUM(VLOOKUP(C11,'Raw - Economic Inactivity'!A:Q,16,FALSE)*VLOOKUP(C11,'Raw - Economic Inactivity'!A:Q,15,FALSE))/100),100)),SUM(MROUND(SUM(SUM(VLOOKUP(C$17,'Raw - Economic Inactivity'!A:Q,16,FALSE)*VLOOKUP(C11,'Raw - Economic Inactivity'!A:Q,15,FALSE))/100),100)-MROUND(SUM(SUM(VLOOKUP(C11,'Raw - Economic Inactivity'!A:Q,16,FALSE)*VLOOKUP(C11,'Raw - Economic Inactivity'!A:Q,15,FALSE))/100),100))))))))</f>
        <v xml:space="preserve"> </v>
      </c>
    </row>
    <row r="12" spans="2:12" s="137" customFormat="1" ht="19.5" customHeight="1">
      <c r="B12" s="216" t="s">
        <v>153</v>
      </c>
      <c r="C12" s="216" t="str">
        <f>IF(C$6="LGBF Family Group 1",Lookups!I33,IF(C$6="LGBF Family Group 2",Lookups!J33,IF(C$6="LGBF Family Group 3",Lookups!K33,Lookups!L33)))</f>
        <v>Scottish Borders</v>
      </c>
      <c r="D12" s="217">
        <f>VLOOKUP($C12,'Raw - Economic Inactivity'!$A:$Q,4,FALSE)</f>
        <v>19.899999999999999</v>
      </c>
      <c r="E12" s="217">
        <f>VLOOKUP($C12,'Raw - Economic Inactivity'!$A:$Q,8,FALSE)</f>
        <v>25.9</v>
      </c>
      <c r="F12" s="217">
        <f>VLOOKUP($C12,'Raw - Economic Inactivity'!$A:$Q,12,FALSE)</f>
        <v>15.2</v>
      </c>
      <c r="G12" s="217">
        <f>VLOOKUP($C12,'Raw - Economic Inactivity'!$A:$Q,16,FALSE)</f>
        <v>21.3</v>
      </c>
      <c r="H12" s="218">
        <f>VLOOKUP(C12,'Raw - Economic Inactivity'!A:Q,14,FALSE)</f>
        <v>14000</v>
      </c>
      <c r="I12" s="219">
        <f t="shared" si="1"/>
        <v>1.4000000000000021</v>
      </c>
      <c r="J12" s="220">
        <f>IFERROR(SUM(VLOOKUP(C12,'Raw - Economic Inactivity'!A:Q,14,FALSE)-VLOOKUP(C12,'Raw - Economic Inactivity'!A:Q,2,FALSE)),"-")</f>
        <v>800</v>
      </c>
      <c r="K12" s="221">
        <f t="shared" si="0"/>
        <v>-9.6000000000000014</v>
      </c>
      <c r="L12" s="222">
        <f>IF(K12="-","-",IF(K12=""," ",IF($K$5="LGBF Family Group Average",SUM(MROUND(SUM(SUM(VLOOKUP(C$18,'Raw - Economic Inactivity'!A:Q,16,FALSE)*VLOOKUP(C12,'Raw - Economic Inactivity'!A:Q,15,FALSE))/100),100)-MROUND(SUM(SUM(VLOOKUP(C12,'Raw - Economic Inactivity'!A:Q,16,FALSE)*VLOOKUP(C12,'Raw - Economic Inactivity'!A:Q,15,FALSE))/100),100)),IF($K$5="City Region Comparator",SUM(MROUND(SUM(SUM(VLOOKUP(C$19,'Raw - Economic Inactivity'!A:Q,16,FALSE)*VLOOKUP(C12,'Raw - Economic Inactivity'!A:Q,15,FALSE))/100),100)-MROUND(SUM(SUM(VLOOKUP(C12,'Raw - Economic Inactivity'!A:Q,16,FALSE)*VLOOKUP(C12,'Raw - Economic Inactivity'!A:Q,15,FALSE))/100),100)),IF($K$5="Scotland",SUM(MROUND(SUM(SUM(VLOOKUP(C$20,'Raw - Economic Inactivity'!A:Q,16,FALSE)*VLOOKUP(C12,'Raw - Economic Inactivity'!A:Q,15,FALSE))/100),100)-MROUND(SUM(SUM(VLOOKUP(C12,'Raw - Economic Inactivity'!A:Q,16,FALSE)*VLOOKUP(C12,'Raw - Economic Inactivity'!A:Q,15,FALSE))/100),100)),IF($K$5="United Kingdom",SUM(MROUND(SUM(SUM(VLOOKUP(C$21,'Raw - Economic Inactivity'!A:Q,16,FALSE)*VLOOKUP(C12,'Raw - Economic Inactivity'!A:Q,15,FALSE))/100),100)-MROUND(SUM(SUM(VLOOKUP(C12,'Raw - Economic Inactivity'!A:Q,16,FALSE)*VLOOKUP(C12,'Raw - Economic Inactivity'!A:Q,15,FALSE))/100),100)),SUM(MROUND(SUM(SUM(VLOOKUP(C$17,'Raw - Economic Inactivity'!A:Q,16,FALSE)*VLOOKUP(C12,'Raw - Economic Inactivity'!A:Q,15,FALSE))/100),100)-MROUND(SUM(SUM(VLOOKUP(C12,'Raw - Economic Inactivity'!A:Q,16,FALSE)*VLOOKUP(C12,'Raw - Economic Inactivity'!A:Q,15,FALSE))/100),100))))))))</f>
        <v>-6400</v>
      </c>
    </row>
    <row r="13" spans="2:12" s="137" customFormat="1" ht="19.5" customHeight="1">
      <c r="B13" s="216" t="s">
        <v>153</v>
      </c>
      <c r="C13" s="216" t="str">
        <f>IF(C$6="LGBF Family Group 1",Lookups!I34,IF(C$6="LGBF Family Group 2",Lookups!J34,IF(C$6="LGBF Family Group 3",Lookups!K34,Lookups!L34)))</f>
        <v>Dumfries and Galloway</v>
      </c>
      <c r="D13" s="217">
        <f>VLOOKUP($C13,'Raw - Economic Inactivity'!$A:$Q,4,FALSE)</f>
        <v>27.4</v>
      </c>
      <c r="E13" s="217">
        <f>VLOOKUP($C13,'Raw - Economic Inactivity'!$A:$Q,8,FALSE)</f>
        <v>26</v>
      </c>
      <c r="F13" s="217">
        <f>VLOOKUP($C13,'Raw - Economic Inactivity'!$A:$Q,12,FALSE)</f>
        <v>29.3</v>
      </c>
      <c r="G13" s="217">
        <f>VLOOKUP($C13,'Raw - Economic Inactivity'!$A:$Q,16,FALSE)</f>
        <v>27.4</v>
      </c>
      <c r="H13" s="218">
        <f>VLOOKUP(C13,'Raw - Economic Inactivity'!A:Q,14,FALSE)</f>
        <v>23300</v>
      </c>
      <c r="I13" s="219">
        <f t="shared" si="1"/>
        <v>0</v>
      </c>
      <c r="J13" s="220">
        <f>IFERROR(SUM(VLOOKUP(C13,'Raw - Economic Inactivity'!A:Q,14,FALSE)-VLOOKUP(C13,'Raw - Economic Inactivity'!A:Q,2,FALSE)),"-")</f>
        <v>100</v>
      </c>
      <c r="K13" s="221">
        <f t="shared" si="0"/>
        <v>-15.7</v>
      </c>
      <c r="L13" s="222">
        <f>IF(K13="-","-",IF(K13=""," ",IF($K$5="LGBF Family Group Average",SUM(MROUND(SUM(SUM(VLOOKUP(C$18,'Raw - Economic Inactivity'!A:Q,16,FALSE)*VLOOKUP(C13,'Raw - Economic Inactivity'!A:Q,15,FALSE))/100),100)-MROUND(SUM(SUM(VLOOKUP(C13,'Raw - Economic Inactivity'!A:Q,16,FALSE)*VLOOKUP(C13,'Raw - Economic Inactivity'!A:Q,15,FALSE))/100),100)),IF($K$5="City Region Comparator",SUM(MROUND(SUM(SUM(VLOOKUP(C$19,'Raw - Economic Inactivity'!A:Q,16,FALSE)*VLOOKUP(C13,'Raw - Economic Inactivity'!A:Q,15,FALSE))/100),100)-MROUND(SUM(SUM(VLOOKUP(C13,'Raw - Economic Inactivity'!A:Q,16,FALSE)*VLOOKUP(C13,'Raw - Economic Inactivity'!A:Q,15,FALSE))/100),100)),IF($K$5="Scotland",SUM(MROUND(SUM(SUM(VLOOKUP(C$20,'Raw - Economic Inactivity'!A:Q,16,FALSE)*VLOOKUP(C13,'Raw - Economic Inactivity'!A:Q,15,FALSE))/100),100)-MROUND(SUM(SUM(VLOOKUP(C13,'Raw - Economic Inactivity'!A:Q,16,FALSE)*VLOOKUP(C13,'Raw - Economic Inactivity'!A:Q,15,FALSE))/100),100)),IF($K$5="United Kingdom",SUM(MROUND(SUM(SUM(VLOOKUP(C$21,'Raw - Economic Inactivity'!A:Q,16,FALSE)*VLOOKUP(C13,'Raw - Economic Inactivity'!A:Q,15,FALSE))/100),100)-MROUND(SUM(SUM(VLOOKUP(C13,'Raw - Economic Inactivity'!A:Q,16,FALSE)*VLOOKUP(C13,'Raw - Economic Inactivity'!A:Q,15,FALSE))/100),100)),SUM(MROUND(SUM(SUM(VLOOKUP(C$17,'Raw - Economic Inactivity'!A:Q,16,FALSE)*VLOOKUP(C13,'Raw - Economic Inactivity'!A:Q,15,FALSE))/100),100)-MROUND(SUM(SUM(VLOOKUP(C13,'Raw - Economic Inactivity'!A:Q,16,FALSE)*VLOOKUP(C13,'Raw - Economic Inactivity'!A:Q,15,FALSE))/100),100))))))))</f>
        <v>-13300</v>
      </c>
    </row>
    <row r="14" spans="2:12" s="137" customFormat="1" ht="19.5" customHeight="1">
      <c r="B14" s="216" t="s">
        <v>153</v>
      </c>
      <c r="C14" s="216" t="str">
        <f>IF(C$6="LGBF Family Group 1",Lookups!I35,IF(C$6="LGBF Family Group 2",Lookups!J35,IF(C$6="LGBF Family Group 3",Lookups!K35,Lookups!L35)))</f>
        <v>Aberdeenshire</v>
      </c>
      <c r="D14" s="217">
        <f>VLOOKUP($C14,'Raw - Economic Inactivity'!$A:$Q,4,FALSE)</f>
        <v>18.2</v>
      </c>
      <c r="E14" s="217">
        <f>VLOOKUP($C14,'Raw - Economic Inactivity'!$A:$Q,8,FALSE)</f>
        <v>22.4</v>
      </c>
      <c r="F14" s="217">
        <f>VLOOKUP($C14,'Raw - Economic Inactivity'!$A:$Q,12,FALSE)</f>
        <v>17.7</v>
      </c>
      <c r="G14" s="217">
        <f>VLOOKUP($C14,'Raw - Economic Inactivity'!$A:$Q,16,FALSE)</f>
        <v>14.6</v>
      </c>
      <c r="H14" s="218">
        <f>VLOOKUP(C14,'Raw - Economic Inactivity'!A:Q,14,FALSE)</f>
        <v>25000</v>
      </c>
      <c r="I14" s="219">
        <f t="shared" si="1"/>
        <v>-3.5999999999999996</v>
      </c>
      <c r="J14" s="220">
        <f>IFERROR(SUM(VLOOKUP(C14,'Raw - Economic Inactivity'!A:Q,14,FALSE)-VLOOKUP(C14,'Raw - Economic Inactivity'!A:Q,2,FALSE)),"-")</f>
        <v>-4900</v>
      </c>
      <c r="K14" s="221">
        <f t="shared" si="0"/>
        <v>-2.9000000000000004</v>
      </c>
      <c r="L14" s="222">
        <f>IF(K14="-","-",IF(K14=""," ",IF($K$5="LGBF Family Group Average",SUM(MROUND(SUM(SUM(VLOOKUP(C$18,'Raw - Economic Inactivity'!A:Q,16,FALSE)*VLOOKUP(C14,'Raw - Economic Inactivity'!A:Q,15,FALSE))/100),100)-MROUND(SUM(SUM(VLOOKUP(C14,'Raw - Economic Inactivity'!A:Q,16,FALSE)*VLOOKUP(C14,'Raw - Economic Inactivity'!A:Q,15,FALSE))/100),100)),IF($K$5="City Region Comparator",SUM(MROUND(SUM(SUM(VLOOKUP(C$19,'Raw - Economic Inactivity'!A:Q,16,FALSE)*VLOOKUP(C14,'Raw - Economic Inactivity'!A:Q,15,FALSE))/100),100)-MROUND(SUM(SUM(VLOOKUP(C14,'Raw - Economic Inactivity'!A:Q,16,FALSE)*VLOOKUP(C14,'Raw - Economic Inactivity'!A:Q,15,FALSE))/100),100)),IF($K$5="Scotland",SUM(MROUND(SUM(SUM(VLOOKUP(C$20,'Raw - Economic Inactivity'!A:Q,16,FALSE)*VLOOKUP(C14,'Raw - Economic Inactivity'!A:Q,15,FALSE))/100),100)-MROUND(SUM(SUM(VLOOKUP(C14,'Raw - Economic Inactivity'!A:Q,16,FALSE)*VLOOKUP(C14,'Raw - Economic Inactivity'!A:Q,15,FALSE))/100),100)),IF($K$5="United Kingdom",SUM(MROUND(SUM(SUM(VLOOKUP(C$21,'Raw - Economic Inactivity'!A:Q,16,FALSE)*VLOOKUP(C14,'Raw - Economic Inactivity'!A:Q,15,FALSE))/100),100)-MROUND(SUM(SUM(VLOOKUP(C14,'Raw - Economic Inactivity'!A:Q,16,FALSE)*VLOOKUP(C14,'Raw - Economic Inactivity'!A:Q,15,FALSE))/100),100)),SUM(MROUND(SUM(SUM(VLOOKUP(C$17,'Raw - Economic Inactivity'!A:Q,16,FALSE)*VLOOKUP(C14,'Raw - Economic Inactivity'!A:Q,15,FALSE))/100),100)-MROUND(SUM(SUM(VLOOKUP(C14,'Raw - Economic Inactivity'!A:Q,16,FALSE)*VLOOKUP(C14,'Raw - Economic Inactivity'!A:Q,15,FALSE))/100),100))))))))</f>
        <v>-4900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Economic Inactivity'!$A$9:$A$40,MATCH(MIN('Raw - Economic Inactivity'!P9:P40),'Raw - Economic Inactivity'!P9:P40,0))</f>
        <v>Orkney Islands</v>
      </c>
      <c r="D17" s="217">
        <f>VLOOKUP($C17,'Raw - Economic Inactivity'!$A:$Q,4,FALSE)</f>
        <v>13.1</v>
      </c>
      <c r="E17" s="217">
        <f>VLOOKUP($C17,'Raw - Economic Inactivity'!$A:$Q,8,FALSE)</f>
        <v>19.399999999999999</v>
      </c>
      <c r="F17" s="217">
        <f>VLOOKUP($C17,'Raw - Economic Inactivity'!$A:$Q,12,FALSE)</f>
        <v>12.5</v>
      </c>
      <c r="G17" s="217">
        <f>VLOOKUP($C17,'Raw - Economic Inactivity'!$A:$Q,16,FALSE)</f>
        <v>11.7</v>
      </c>
      <c r="H17" s="218">
        <f>VLOOKUP(C17,'Raw - Economic Inactivity'!A:Q,14,FALSE)</f>
        <v>1500</v>
      </c>
      <c r="I17" s="219">
        <f t="shared" ref="I17" si="2">IFERROR(SUM(G17-D17),"-")</f>
        <v>-1.4000000000000004</v>
      </c>
      <c r="J17" s="220">
        <f>IFERROR(SUM(VLOOKUP(C17,'Raw - Economic Inactivity'!A:Q,14,FALSE)-VLOOKUP(C17,'Raw - Economic Inactivity'!A:Q,2,FALSE)),"-")</f>
        <v>-200</v>
      </c>
    </row>
    <row r="18" spans="2:12" s="137" customFormat="1" ht="19.5" customHeight="1">
      <c r="B18" s="226" t="s">
        <v>271</v>
      </c>
      <c r="C18" s="227" t="s">
        <v>246</v>
      </c>
      <c r="D18" s="217">
        <f>VLOOKUP($C18,'Raw - Economic Inactivity'!$A:$Q,4,FALSE)</f>
        <v>20.809037900874635</v>
      </c>
      <c r="E18" s="217">
        <f>VLOOKUP($C18,'Raw - Economic Inactivity'!$A:$Q,8,FALSE)</f>
        <v>24.180626365622722</v>
      </c>
      <c r="F18" s="217">
        <f>VLOOKUP($C18,'Raw - Economic Inactivity'!$A:$Q,12,FALSE)</f>
        <v>21.82445938578957</v>
      </c>
      <c r="G18" s="217">
        <f>VLOOKUP($C18,'Raw - Economic Inactivity'!$A:$Q,16,FALSE)</f>
        <v>20.92065197922264</v>
      </c>
      <c r="H18" s="218">
        <f>VLOOKUP(C18,'Raw - Economic Inactivity'!A:Q,14,FALSE)</f>
        <v>116800</v>
      </c>
      <c r="I18" s="219">
        <f t="shared" ref="I18:I21" si="3">IFERROR(SUM(G18-D18),"-")</f>
        <v>0.11161407834800485</v>
      </c>
      <c r="J18" s="220">
        <f>IFERROR(SUM(VLOOKUP(C18,'Raw - Economic Inactivity'!A:Q,14,FALSE)-VLOOKUP(C18,'Raw - Economic Inactivity'!A:Q,2,FALSE)),"-")</f>
        <v>2600</v>
      </c>
    </row>
    <row r="19" spans="2:12" s="137" customFormat="1" ht="19.5" customHeight="1">
      <c r="B19" s="226" t="s">
        <v>270</v>
      </c>
      <c r="C19" s="216" t="s">
        <v>48</v>
      </c>
      <c r="D19" s="217">
        <f>VLOOKUP($C19,'Raw - Economic Inactivity'!$A:$Q,4,FALSE)</f>
        <v>24.3</v>
      </c>
      <c r="E19" s="217">
        <f>VLOOKUP($C19,'Raw - Economic Inactivity'!$A:$Q,8,FALSE)</f>
        <v>25.4</v>
      </c>
      <c r="F19" s="217">
        <f>VLOOKUP($C19,'Raw - Economic Inactivity'!$A:$Q,12,FALSE)</f>
        <v>24.3</v>
      </c>
      <c r="G19" s="217">
        <f>VLOOKUP($C19,'Raw - Economic Inactivity'!$A:$Q,16,FALSE)</f>
        <v>24.7</v>
      </c>
      <c r="H19" s="218">
        <f>VLOOKUP(C19,'Raw - Economic Inactivity'!A:Q,14,FALSE)</f>
        <v>293300</v>
      </c>
      <c r="I19" s="219">
        <f t="shared" si="3"/>
        <v>0.39999999999999858</v>
      </c>
      <c r="J19" s="220">
        <f>IFERROR(SUM(VLOOKUP(C19,'Raw - Economic Inactivity'!A:Q,14,FALSE)-VLOOKUP(C19,'Raw - Economic Inactivity'!A:Q,2,FALSE)),"-")</f>
        <v>5000</v>
      </c>
    </row>
    <row r="20" spans="2:12" s="137" customFormat="1" ht="19.5" customHeight="1">
      <c r="B20" s="226" t="s">
        <v>164</v>
      </c>
      <c r="C20" s="216" t="s">
        <v>46</v>
      </c>
      <c r="D20" s="217">
        <f>VLOOKUP($C20,'Raw - Economic Inactivity'!$A:$Q,4,FALSE)</f>
        <v>23.2</v>
      </c>
      <c r="E20" s="217">
        <f>VLOOKUP($C20,'Raw - Economic Inactivity'!$A:$Q,8,FALSE)</f>
        <v>23.8</v>
      </c>
      <c r="F20" s="217">
        <f>VLOOKUP($C20,'Raw - Economic Inactivity'!$A:$Q,12,FALSE)</f>
        <v>22.9</v>
      </c>
      <c r="G20" s="217">
        <f>VLOOKUP($C20,'Raw - Economic Inactivity'!$A:$Q,16,FALSE)</f>
        <v>22.5</v>
      </c>
      <c r="H20" s="218">
        <f>VLOOKUP(C20,'Raw - Economic Inactivity'!A:Q,14,FALSE)</f>
        <v>777000</v>
      </c>
      <c r="I20" s="219">
        <f t="shared" si="3"/>
        <v>-0.69999999999999929</v>
      </c>
      <c r="J20" s="220">
        <f>IFERROR(SUM(VLOOKUP(C20,'Raw - Economic Inactivity'!A:Q,14,FALSE)-VLOOKUP(C20,'Raw - Economic Inactivity'!A:Q,2,FALSE)),"-")</f>
        <v>-20300</v>
      </c>
    </row>
    <row r="21" spans="2:12" s="137" customFormat="1" ht="19.5" customHeight="1">
      <c r="B21" s="226" t="s">
        <v>164</v>
      </c>
      <c r="C21" s="216" t="s">
        <v>47</v>
      </c>
      <c r="D21" s="217">
        <f>VLOOKUP($C21,'Raw - Economic Inactivity'!$A:$Q,4,FALSE)</f>
        <v>21.2</v>
      </c>
      <c r="E21" s="217">
        <f>VLOOKUP($C21,'Raw - Economic Inactivity'!$A:$Q,8,FALSE)</f>
        <v>21.7</v>
      </c>
      <c r="F21" s="217">
        <f>VLOOKUP($C21,'Raw - Economic Inactivity'!$A:$Q,12,FALSE)</f>
        <v>21.7</v>
      </c>
      <c r="G21" s="217">
        <f>VLOOKUP($C21,'Raw - Economic Inactivity'!$A:$Q,16,FALSE)</f>
        <v>21.3</v>
      </c>
      <c r="H21" s="218">
        <f>VLOOKUP(C21,'Raw - Economic Inactivity'!A:Q,14,FALSE)</f>
        <v>8887200</v>
      </c>
      <c r="I21" s="219">
        <f t="shared" si="3"/>
        <v>0.10000000000000142</v>
      </c>
      <c r="J21" s="220">
        <f>IFERROR(SUM(VLOOKUP(C21,'Raw - Economic Inactivity'!A:Q,14,FALSE)-VLOOKUP(C21,'Raw - Economic Inactivity'!A:Q,2,FALSE)),"-")</f>
        <v>130700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L9cgb25sO8oWv6QcyAK/zbB0CG8CcTLJLi+dAfEMbn2dFASHAy3CLsK8iLhDb0cs7mhsya5Bb3Pcps2r4txeqg==" saltValue="9DR0grArkiv3Qu8aLArTow==" spinCount="100000" sheet="1" sort="0"/>
  <mergeCells count="4">
    <mergeCell ref="K4:L4"/>
    <mergeCell ref="I5:J5"/>
    <mergeCell ref="K5:L5"/>
    <mergeCell ref="F2:G2"/>
  </mergeCells>
  <hyperlinks>
    <hyperlink ref="F2:G2" location="'Index RAG'!A1" display="Return to Index RAG" xr:uid="{00000000-0004-0000-0F00-000001000000}"/>
    <hyperlink ref="C3" r:id="rId1" xr:uid="{3699DDE8-D98E-43F5-802D-9EF62D380A73}"/>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E5446099-565B-43FB-8596-C4D91B6EBFFA}">
          <x14:formula1>
            <xm:f>Lookups!$B$27:$E$27</xm:f>
          </x14:formula1>
          <xm:sqref>C6</xm:sqref>
        </x14:dataValidation>
        <x14:dataValidation type="list" allowBlank="1" showInputMessage="1" showErrorMessage="1" xr:uid="{11BE0CE7-4846-46A3-A220-FA2ECD442DCC}">
          <x14:formula1>
            <xm:f>Lookups!$B$36:$E$36</xm:f>
          </x14:formula1>
          <xm:sqref>C18</xm:sqref>
        </x14:dataValidation>
        <x14:dataValidation type="list" allowBlank="1" showInputMessage="1" showErrorMessage="1" xr:uid="{B127DF82-4154-47EA-9E6A-E84925D3E461}">
          <x14:formula1>
            <xm:f>Lookups!$B$9:$B$13</xm:f>
          </x14:formula1>
          <xm:sqref>K5:L5</xm:sqref>
        </x14:dataValidation>
        <x14:dataValidation type="list" allowBlank="1" showInputMessage="1" showErrorMessage="1" xr:uid="{49878FD8-7BA1-4849-925C-8DD7AB87D550}">
          <x14:formula1>
            <xm:f>Lookups!$Q$3:$Q$7</xm:f>
          </x14:formula1>
          <xm:sqref>C19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C075-12DB-4A3C-B7FA-A827A07B7D7E}">
  <sheetPr>
    <pageSetUpPr autoPageBreaks="0"/>
  </sheetPr>
  <dimension ref="B2:J12"/>
  <sheetViews>
    <sheetView zoomScaleNormal="100" workbookViewId="0">
      <selection activeCell="C6" sqref="C6"/>
    </sheetView>
  </sheetViews>
  <sheetFormatPr defaultColWidth="8.7109375" defaultRowHeight="15"/>
  <cols>
    <col min="1" max="1" width="4.5703125" style="134" customWidth="1"/>
    <col min="2" max="5" width="18.5703125" style="134" customWidth="1"/>
    <col min="6" max="6" width="3.140625" style="134" customWidth="1"/>
    <col min="7" max="10" width="18.5703125" style="134" customWidth="1"/>
    <col min="11" max="16384" width="8.7109375" style="134"/>
  </cols>
  <sheetData>
    <row r="2" spans="2:10">
      <c r="B2" s="258" t="s">
        <v>317</v>
      </c>
      <c r="C2" s="259"/>
      <c r="D2" s="259"/>
      <c r="E2" s="259"/>
      <c r="F2" s="259"/>
      <c r="G2" s="258" t="s">
        <v>439</v>
      </c>
      <c r="H2" s="259"/>
      <c r="I2" s="259"/>
      <c r="J2" s="259"/>
    </row>
    <row r="3" spans="2:10" ht="15.75" thickBot="1">
      <c r="B3" s="259"/>
      <c r="C3" s="259"/>
      <c r="D3" s="259"/>
      <c r="E3" s="259"/>
      <c r="F3" s="259"/>
      <c r="G3" s="259"/>
      <c r="H3" s="259"/>
      <c r="I3" s="259"/>
      <c r="J3" s="259"/>
    </row>
    <row r="4" spans="2:10" ht="15.75" thickBot="1">
      <c r="B4" s="260" t="s">
        <v>313</v>
      </c>
      <c r="C4" s="261" t="s">
        <v>314</v>
      </c>
      <c r="D4" s="261" t="s">
        <v>315</v>
      </c>
      <c r="E4" s="262" t="s">
        <v>316</v>
      </c>
      <c r="F4" s="259"/>
      <c r="G4" s="263" t="s">
        <v>313</v>
      </c>
      <c r="H4" s="264" t="s">
        <v>314</v>
      </c>
      <c r="I4" s="264" t="s">
        <v>315</v>
      </c>
      <c r="J4" s="265" t="s">
        <v>316</v>
      </c>
    </row>
    <row r="5" spans="2:10" ht="18" customHeight="1">
      <c r="B5" s="266" t="s">
        <v>25</v>
      </c>
      <c r="C5" s="267" t="s">
        <v>32</v>
      </c>
      <c r="D5" s="267" t="s">
        <v>26</v>
      </c>
      <c r="E5" s="268" t="s">
        <v>33</v>
      </c>
      <c r="F5" s="259"/>
      <c r="G5" s="266" t="s">
        <v>33</v>
      </c>
      <c r="H5" s="267" t="s">
        <v>37</v>
      </c>
      <c r="I5" s="267" t="s">
        <v>17</v>
      </c>
      <c r="J5" s="268" t="s">
        <v>35</v>
      </c>
    </row>
    <row r="6" spans="2:10" ht="18" customHeight="1">
      <c r="B6" s="269" t="s">
        <v>23</v>
      </c>
      <c r="C6" s="270" t="s">
        <v>43</v>
      </c>
      <c r="D6" s="270" t="s">
        <v>20</v>
      </c>
      <c r="E6" s="271" t="s">
        <v>21</v>
      </c>
      <c r="F6" s="259"/>
      <c r="G6" s="269" t="s">
        <v>18</v>
      </c>
      <c r="H6" s="270" t="s">
        <v>43</v>
      </c>
      <c r="I6" s="270" t="s">
        <v>19</v>
      </c>
      <c r="J6" s="271" t="s">
        <v>26</v>
      </c>
    </row>
    <row r="7" spans="2:10" ht="18" customHeight="1">
      <c r="B7" s="269" t="s">
        <v>16</v>
      </c>
      <c r="C7" s="270" t="s">
        <v>24</v>
      </c>
      <c r="D7" s="270" t="s">
        <v>27</v>
      </c>
      <c r="E7" s="271" t="s">
        <v>22</v>
      </c>
      <c r="F7" s="259"/>
      <c r="G7" s="269" t="s">
        <v>40</v>
      </c>
      <c r="H7" s="270" t="s">
        <v>32</v>
      </c>
      <c r="I7" s="270" t="s">
        <v>31</v>
      </c>
      <c r="J7" s="271" t="s">
        <v>23</v>
      </c>
    </row>
    <row r="8" spans="2:10" ht="18" customHeight="1">
      <c r="B8" s="269" t="s">
        <v>126</v>
      </c>
      <c r="C8" s="270" t="s">
        <v>17</v>
      </c>
      <c r="D8" s="270" t="s">
        <v>41</v>
      </c>
      <c r="E8" s="271" t="s">
        <v>34</v>
      </c>
      <c r="F8" s="259"/>
      <c r="G8" s="269" t="s">
        <v>29</v>
      </c>
      <c r="H8" s="270" t="s">
        <v>41</v>
      </c>
      <c r="I8" s="270" t="s">
        <v>42</v>
      </c>
      <c r="J8" s="271" t="s">
        <v>15</v>
      </c>
    </row>
    <row r="9" spans="2:10" ht="18" customHeight="1">
      <c r="B9" s="269" t="s">
        <v>37</v>
      </c>
      <c r="C9" s="270" t="s">
        <v>39</v>
      </c>
      <c r="D9" s="270" t="s">
        <v>45</v>
      </c>
      <c r="E9" s="271" t="s">
        <v>35</v>
      </c>
      <c r="F9" s="259"/>
      <c r="G9" s="269" t="s">
        <v>36</v>
      </c>
      <c r="H9" s="270" t="s">
        <v>22</v>
      </c>
      <c r="I9" s="270" t="s">
        <v>30</v>
      </c>
      <c r="J9" s="271" t="s">
        <v>126</v>
      </c>
    </row>
    <row r="10" spans="2:10" ht="18" customHeight="1">
      <c r="B10" s="269" t="s">
        <v>15</v>
      </c>
      <c r="C10" s="270" t="s">
        <v>29</v>
      </c>
      <c r="D10" s="270" t="s">
        <v>42</v>
      </c>
      <c r="E10" s="271" t="s">
        <v>30</v>
      </c>
      <c r="F10" s="259"/>
      <c r="G10" s="269" t="s">
        <v>39</v>
      </c>
      <c r="H10" s="270" t="s">
        <v>24</v>
      </c>
      <c r="I10" s="270" t="s">
        <v>38</v>
      </c>
      <c r="J10" s="271" t="s">
        <v>44</v>
      </c>
    </row>
    <row r="11" spans="2:10" ht="18" customHeight="1">
      <c r="B11" s="269" t="s">
        <v>40</v>
      </c>
      <c r="C11" s="270" t="s">
        <v>18</v>
      </c>
      <c r="D11" s="270" t="s">
        <v>38</v>
      </c>
      <c r="E11" s="271" t="s">
        <v>44</v>
      </c>
      <c r="F11" s="259"/>
      <c r="G11" s="269" t="s">
        <v>20</v>
      </c>
      <c r="H11" s="270" t="s">
        <v>34</v>
      </c>
      <c r="I11" s="270" t="s">
        <v>45</v>
      </c>
      <c r="J11" s="271" t="s">
        <v>21</v>
      </c>
    </row>
    <row r="12" spans="2:10" ht="18" customHeight="1" thickBot="1">
      <c r="B12" s="272" t="s">
        <v>36</v>
      </c>
      <c r="C12" s="273" t="s">
        <v>31</v>
      </c>
      <c r="D12" s="273" t="s">
        <v>19</v>
      </c>
      <c r="E12" s="274" t="s">
        <v>28</v>
      </c>
      <c r="F12" s="259"/>
      <c r="G12" s="272" t="s">
        <v>16</v>
      </c>
      <c r="H12" s="273" t="s">
        <v>27</v>
      </c>
      <c r="I12" s="273" t="s">
        <v>25</v>
      </c>
      <c r="J12" s="274" t="s">
        <v>28</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Employment Rate (%) - LGBF Family Group 4</v>
      </c>
      <c r="D1" s="170" t="s">
        <v>290</v>
      </c>
    </row>
    <row r="2" spans="2:12" ht="12.75">
      <c r="B2" s="171" t="s">
        <v>49</v>
      </c>
      <c r="C2" s="172" t="s">
        <v>197</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245</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North Lanarkshire</v>
      </c>
      <c r="D7" s="217">
        <f>VLOOKUP($C7,'Raw - Employment'!$A:$Q,4,FALSE)</f>
        <v>69.7</v>
      </c>
      <c r="E7" s="217">
        <f>VLOOKUP($C7,'Raw - Employment'!$A:$Q,8,FALSE)</f>
        <v>68.5</v>
      </c>
      <c r="F7" s="217">
        <f>VLOOKUP($C7,'Raw - Employment'!$A:$Q,12,FALSE)</f>
        <v>68</v>
      </c>
      <c r="G7" s="217">
        <f>VLOOKUP($C7,'Raw - Employment'!$A:$Q,16,FALSE)</f>
        <v>70.5</v>
      </c>
      <c r="H7" s="218">
        <f>VLOOKUP(C7,'Raw - Employment'!A:Q,14,FALSE)</f>
        <v>154900</v>
      </c>
      <c r="I7" s="219">
        <f>IFERROR(SUM(G7-D7),"-")</f>
        <v>0.79999999999999716</v>
      </c>
      <c r="J7" s="220">
        <f>IFERROR(SUM(VLOOKUP(C7,'Raw - Employment'!A:Q,14,FALSE)-VLOOKUP(C7,'Raw - Employment'!A:Q,2,FALSE)),"-")</f>
        <v>4000</v>
      </c>
      <c r="K7" s="221">
        <f t="shared" ref="K7:K14" si="0">IF(IF($K$5="City Region Comparator",SUM(G$19-G7),IF($K$5="LGBF Family Group Average",SUM(G$18-G7),IF($K$5="Scotland",SUM(G$20-G7),IF($K$5="United Kingdom",SUM(G$21-G7),SUM(G$17-G7)))))&lt;=0,"",IF($K$5="City Region Comparator",SUM(G$19-G7),IF($K$5="LGBF Family Group Average",SUM(G$18-G7),IF($K$5="Scotland",SUM(G$20-G7),IF($K$5="United Kingdom",SUM(G$21-G7),SUM(G$17-G7))))))</f>
        <v>17.799999999999997</v>
      </c>
      <c r="L7" s="222">
        <f>IF(K7=""," ",IF($K$5="LGBF Family Group Average",SUM(MROUND(SUM(SUM(VLOOKUP(C$18,'Raw - Employment'!A:Q,16,FALSE)*VLOOKUP(C7,'Raw - Employment'!A:Q,15,FALSE))/100),100)-MROUND(SUM(SUM(VLOOKUP(C7,'Raw - Employment'!A:Q,16,FALSE)*VLOOKUP(C7,'Raw - Employment'!A:Q,15,FALSE))/100),100)),IF($K$5="City Region Comparator",SUM(MROUND(SUM(SUM(VLOOKUP(C$19,'Raw - Employment'!A:Q,16,FALSE)*VLOOKUP(C7,'Raw - Employment'!A:Q,15,FALSE))/100),100)-MROUND(SUM(SUM(VLOOKUP(C7,'Raw - Employment'!A:Q,16,FALSE)*VLOOKUP(C7,'Raw - Employment'!A:Q,15,FALSE))/100),100)),IF($K$5="Scotland",SUM(MROUND(SUM(SUM(VLOOKUP(C$20,'Raw - Employment'!A:Q,16,FALSE)*VLOOKUP(C7,'Raw - Employment'!A:Q,15,FALSE))/100),100)-MROUND(SUM(SUM(VLOOKUP(C7,'Raw - Employment'!A:Q,16,FALSE)*VLOOKUP(C7,'Raw - Employment'!A:Q,15,FALSE))/100),100)),IF($K$5="United Kingdom",SUM(MROUND(SUM(SUM(VLOOKUP(C$21,'Raw - Employment'!A:Q,16,FALSE)*VLOOKUP(C7,'Raw - Employment'!A:Q,15,FALSE))/100),100)-MROUND(SUM(SUM(VLOOKUP(C7,'Raw - Employment'!A:Q,16,FALSE)*VLOOKUP(C7,'Raw - Employment'!A:Q,15,FALSE))/100),100)),SUM(MROUND(SUM(SUM(VLOOKUP(C$17,'Raw - Employment'!A:Q,16,FALSE)*VLOOKUP(C7,'Raw - Employment'!A:Q,15,FALSE))/100),100)-MROUND(SUM(SUM(VLOOKUP(C7,'Raw - Employment'!A:Q,16,FALSE)*VLOOKUP(C7,'Raw - Employment'!A:Q,15,FALSE))/100),100)))))))</f>
        <v>39100</v>
      </c>
    </row>
    <row r="8" spans="2:12" s="137" customFormat="1" ht="19.5" customHeight="1">
      <c r="B8" s="216" t="s">
        <v>153</v>
      </c>
      <c r="C8" s="216" t="str">
        <f>IF(C$6="LGBF Family Group 1",Lookups!I29,IF(C$6="LGBF Family Group 2",Lookups!J29,IF(C$6="LGBF Family Group 3",Lookups!K29,Lookups!L29)))</f>
        <v>Falkirk</v>
      </c>
      <c r="D8" s="217">
        <f>VLOOKUP($C8,'Raw - Employment'!$A:$Q,4,FALSE)</f>
        <v>75.099999999999994</v>
      </c>
      <c r="E8" s="217">
        <f>VLOOKUP($C8,'Raw - Employment'!$A:$Q,8,FALSE)</f>
        <v>76.7</v>
      </c>
      <c r="F8" s="217">
        <f>VLOOKUP($C8,'Raw - Employment'!$A:$Q,12,FALSE)</f>
        <v>76</v>
      </c>
      <c r="G8" s="217">
        <f>VLOOKUP($C8,'Raw - Employment'!$A:$Q,16,FALSE)</f>
        <v>72.8</v>
      </c>
      <c r="H8" s="218">
        <f>VLOOKUP(C8,'Raw - Employment'!A:Q,14,FALSE)</f>
        <v>73000</v>
      </c>
      <c r="I8" s="219">
        <f t="shared" ref="I8:I14" si="1">IFERROR(SUM(G8-D8),"-")</f>
        <v>-2.2999999999999972</v>
      </c>
      <c r="J8" s="220">
        <f>IFERROR(SUM(VLOOKUP(C8,'Raw - Employment'!A:Q,14,FALSE)-VLOOKUP(C8,'Raw - Employment'!A:Q,2,FALSE)),"-")</f>
        <v>-3300</v>
      </c>
      <c r="K8" s="221">
        <f t="shared" si="0"/>
        <v>15.5</v>
      </c>
      <c r="L8" s="222">
        <f>IF(K8=""," ",IF($K$5="LGBF Family Group Average",SUM(MROUND(SUM(SUM(VLOOKUP(C$18,'Raw - Employment'!A:Q,16,FALSE)*VLOOKUP(C8,'Raw - Employment'!A:Q,15,FALSE))/100),100)-MROUND(SUM(SUM(VLOOKUP(C8,'Raw - Employment'!A:Q,16,FALSE)*VLOOKUP(C8,'Raw - Employment'!A:Q,15,FALSE))/100),100)),IF($K$5="City Region Comparator",SUM(MROUND(SUM(SUM(VLOOKUP(C$19,'Raw - Employment'!A:Q,16,FALSE)*VLOOKUP(C8,'Raw - Employment'!A:Q,15,FALSE))/100),100)-MROUND(SUM(SUM(VLOOKUP(C8,'Raw - Employment'!A:Q,16,FALSE)*VLOOKUP(C8,'Raw - Employment'!A:Q,15,FALSE))/100),100)),IF($K$5="Scotland",SUM(MROUND(SUM(SUM(VLOOKUP(C$20,'Raw - Employment'!A:Q,16,FALSE)*VLOOKUP(C8,'Raw - Employment'!A:Q,15,FALSE))/100),100)-MROUND(SUM(SUM(VLOOKUP(C8,'Raw - Employment'!A:Q,16,FALSE)*VLOOKUP(C8,'Raw - Employment'!A:Q,15,FALSE))/100),100)),IF($K$5="United Kingdom",SUM(MROUND(SUM(SUM(VLOOKUP(C$21,'Raw - Employment'!A:Q,16,FALSE)*VLOOKUP(C8,'Raw - Employment'!A:Q,15,FALSE))/100),100)-MROUND(SUM(SUM(VLOOKUP(C8,'Raw - Employment'!A:Q,16,FALSE)*VLOOKUP(C8,'Raw - Employment'!A:Q,15,FALSE))/100),100)),SUM(MROUND(SUM(SUM(VLOOKUP(C$17,'Raw - Employment'!A:Q,16,FALSE)*VLOOKUP(C8,'Raw - Employment'!A:Q,15,FALSE))/100),100)-MROUND(SUM(SUM(VLOOKUP(C8,'Raw - Employment'!A:Q,16,FALSE)*VLOOKUP(C8,'Raw - Employment'!A:Q,15,FALSE))/100),100)))))))</f>
        <v>15600</v>
      </c>
    </row>
    <row r="9" spans="2:12" s="137" customFormat="1" ht="19.5" customHeight="1">
      <c r="B9" s="216" t="s">
        <v>153</v>
      </c>
      <c r="C9" s="216" t="str">
        <f>IF(C$6="LGBF Family Group 1",Lookups!I30,IF(C$6="LGBF Family Group 2",Lookups!J30,IF(C$6="LGBF Family Group 3",Lookups!K30,Lookups!L30)))</f>
        <v>East Dunbartonshire</v>
      </c>
      <c r="D9" s="217">
        <f>VLOOKUP($C9,'Raw - Employment'!$A:$Q,4,FALSE)</f>
        <v>75.900000000000006</v>
      </c>
      <c r="E9" s="217">
        <f>VLOOKUP($C9,'Raw - Employment'!$A:$Q,8,FALSE)</f>
        <v>72.400000000000006</v>
      </c>
      <c r="F9" s="217">
        <f>VLOOKUP($C9,'Raw - Employment'!$A:$Q,12,FALSE)</f>
        <v>76.3</v>
      </c>
      <c r="G9" s="217">
        <f>VLOOKUP($C9,'Raw - Employment'!$A:$Q,16,FALSE)</f>
        <v>73.5</v>
      </c>
      <c r="H9" s="218">
        <f>VLOOKUP(C9,'Raw - Employment'!A:Q,14,FALSE)</f>
        <v>46500</v>
      </c>
      <c r="I9" s="219">
        <f t="shared" si="1"/>
        <v>-2.4000000000000057</v>
      </c>
      <c r="J9" s="220">
        <f>IFERROR(SUM(VLOOKUP(C9,'Raw - Employment'!A:Q,14,FALSE)-VLOOKUP(C9,'Raw - Employment'!A:Q,2,FALSE)),"-")</f>
        <v>-2300</v>
      </c>
      <c r="K9" s="221">
        <f t="shared" si="0"/>
        <v>14.799999999999997</v>
      </c>
      <c r="L9" s="222">
        <f>IF(K9=""," ",IF($K$5="LGBF Family Group Average",SUM(MROUND(SUM(SUM(VLOOKUP(C$18,'Raw - Employment'!A:Q,16,FALSE)*VLOOKUP(C9,'Raw - Employment'!A:Q,15,FALSE))/100),100)-MROUND(SUM(SUM(VLOOKUP(C9,'Raw - Employment'!A:Q,16,FALSE)*VLOOKUP(C9,'Raw - Employment'!A:Q,15,FALSE))/100),100)),IF($K$5="City Region Comparator",SUM(MROUND(SUM(SUM(VLOOKUP(C$19,'Raw - Employment'!A:Q,16,FALSE)*VLOOKUP(C9,'Raw - Employment'!A:Q,15,FALSE))/100),100)-MROUND(SUM(SUM(VLOOKUP(C9,'Raw - Employment'!A:Q,16,FALSE)*VLOOKUP(C9,'Raw - Employment'!A:Q,15,FALSE))/100),100)),IF($K$5="Scotland",SUM(MROUND(SUM(SUM(VLOOKUP(C$20,'Raw - Employment'!A:Q,16,FALSE)*VLOOKUP(C9,'Raw - Employment'!A:Q,15,FALSE))/100),100)-MROUND(SUM(SUM(VLOOKUP(C9,'Raw - Employment'!A:Q,16,FALSE)*VLOOKUP(C9,'Raw - Employment'!A:Q,15,FALSE))/100),100)),IF($K$5="United Kingdom",SUM(MROUND(SUM(SUM(VLOOKUP(C$21,'Raw - Employment'!A:Q,16,FALSE)*VLOOKUP(C9,'Raw - Employment'!A:Q,15,FALSE))/100),100)-MROUND(SUM(SUM(VLOOKUP(C9,'Raw - Employment'!A:Q,16,FALSE)*VLOOKUP(C9,'Raw - Employment'!A:Q,15,FALSE))/100),100)),SUM(MROUND(SUM(SUM(VLOOKUP(C$17,'Raw - Employment'!A:Q,16,FALSE)*VLOOKUP(C9,'Raw - Employment'!A:Q,15,FALSE))/100),100)-MROUND(SUM(SUM(VLOOKUP(C9,'Raw - Employment'!A:Q,16,FALSE)*VLOOKUP(C9,'Raw - Employment'!A:Q,15,FALSE))/100),100)))))))</f>
        <v>9400</v>
      </c>
    </row>
    <row r="10" spans="2:12" s="137" customFormat="1" ht="19.5" customHeight="1">
      <c r="B10" s="216" t="s">
        <v>153</v>
      </c>
      <c r="C10" s="216" t="str">
        <f>IF(C$6="LGBF Family Group 1",Lookups!I31,IF(C$6="LGBF Family Group 2",Lookups!J31,IF(C$6="LGBF Family Group 3",Lookups!K31,Lookups!L31)))</f>
        <v>Aberdeen City</v>
      </c>
      <c r="D10" s="217">
        <f>VLOOKUP($C10,'Raw - Employment'!$A:$Q,4,FALSE)</f>
        <v>71.599999999999994</v>
      </c>
      <c r="E10" s="217">
        <f>VLOOKUP($C10,'Raw - Employment'!$A:$Q,8,FALSE)</f>
        <v>76.900000000000006</v>
      </c>
      <c r="F10" s="217">
        <f>VLOOKUP($C10,'Raw - Employment'!$A:$Q,12,FALSE)</f>
        <v>71.2</v>
      </c>
      <c r="G10" s="217">
        <f>VLOOKUP($C10,'Raw - Employment'!$A:$Q,16,FALSE)</f>
        <v>74.7</v>
      </c>
      <c r="H10" s="218">
        <f>VLOOKUP(C10,'Raw - Employment'!A:Q,14,FALSE)</f>
        <v>118000</v>
      </c>
      <c r="I10" s="219">
        <f t="shared" si="1"/>
        <v>3.1000000000000085</v>
      </c>
      <c r="J10" s="220">
        <f>IFERROR(SUM(VLOOKUP(C10,'Raw - Employment'!A:Q,14,FALSE)-VLOOKUP(C10,'Raw - Employment'!A:Q,2,FALSE)),"-")</f>
        <v>5700</v>
      </c>
      <c r="K10" s="221">
        <f t="shared" si="0"/>
        <v>13.599999999999994</v>
      </c>
      <c r="L10" s="222">
        <f>IF(K10=""," ",IF($K$5="LGBF Family Group Average",SUM(MROUND(SUM(SUM(VLOOKUP(C$18,'Raw - Employment'!A:Q,16,FALSE)*VLOOKUP(C10,'Raw - Employment'!A:Q,15,FALSE))/100),100)-MROUND(SUM(SUM(VLOOKUP(C10,'Raw - Employment'!A:Q,16,FALSE)*VLOOKUP(C10,'Raw - Employment'!A:Q,15,FALSE))/100),100)),IF($K$5="City Region Comparator",SUM(MROUND(SUM(SUM(VLOOKUP(C$19,'Raw - Employment'!A:Q,16,FALSE)*VLOOKUP(C10,'Raw - Employment'!A:Q,15,FALSE))/100),100)-MROUND(SUM(SUM(VLOOKUP(C10,'Raw - Employment'!A:Q,16,FALSE)*VLOOKUP(C10,'Raw - Employment'!A:Q,15,FALSE))/100),100)),IF($K$5="Scotland",SUM(MROUND(SUM(SUM(VLOOKUP(C$20,'Raw - Employment'!A:Q,16,FALSE)*VLOOKUP(C10,'Raw - Employment'!A:Q,15,FALSE))/100),100)-MROUND(SUM(SUM(VLOOKUP(C10,'Raw - Employment'!A:Q,16,FALSE)*VLOOKUP(C10,'Raw - Employment'!A:Q,15,FALSE))/100),100)),IF($K$5="United Kingdom",SUM(MROUND(SUM(SUM(VLOOKUP(C$21,'Raw - Employment'!A:Q,16,FALSE)*VLOOKUP(C10,'Raw - Employment'!A:Q,15,FALSE))/100),100)-MROUND(SUM(SUM(VLOOKUP(C10,'Raw - Employment'!A:Q,16,FALSE)*VLOOKUP(C10,'Raw - Employment'!A:Q,15,FALSE))/100),100)),SUM(MROUND(SUM(SUM(VLOOKUP(C$17,'Raw - Employment'!A:Q,16,FALSE)*VLOOKUP(C10,'Raw - Employment'!A:Q,15,FALSE))/100),100)-MROUND(SUM(SUM(VLOOKUP(C10,'Raw - Employment'!A:Q,16,FALSE)*VLOOKUP(C10,'Raw - Employment'!A:Q,15,FALSE))/100),100)))))))</f>
        <v>21400</v>
      </c>
    </row>
    <row r="11" spans="2:12" s="137" customFormat="1" ht="19.5" customHeight="1">
      <c r="B11" s="216" t="s">
        <v>153</v>
      </c>
      <c r="C11" s="216" t="str">
        <f>IF(C$6="LGBF Family Group 1",Lookups!I32,IF(C$6="LGBF Family Group 2",Lookups!J32,IF(C$6="LGBF Family Group 3",Lookups!K32,Lookups!L32)))</f>
        <v>Edinburgh, City of</v>
      </c>
      <c r="D11" s="217">
        <f>VLOOKUP($C11,'Raw - Employment'!$A:$Q,4,FALSE)</f>
        <v>74.099999999999994</v>
      </c>
      <c r="E11" s="217">
        <f>VLOOKUP($C11,'Raw - Employment'!$A:$Q,8,FALSE)</f>
        <v>78.5</v>
      </c>
      <c r="F11" s="217">
        <f>VLOOKUP($C11,'Raw - Employment'!$A:$Q,12,FALSE)</f>
        <v>79.2</v>
      </c>
      <c r="G11" s="217">
        <f>VLOOKUP($C11,'Raw - Employment'!$A:$Q,16,FALSE)</f>
        <v>82.1</v>
      </c>
      <c r="H11" s="218">
        <f>VLOOKUP(C11,'Raw - Employment'!A:Q,14,FALSE)</f>
        <v>292900</v>
      </c>
      <c r="I11" s="219">
        <f t="shared" si="1"/>
        <v>8</v>
      </c>
      <c r="J11" s="220">
        <f>IFERROR(SUM(VLOOKUP(C11,'Raw - Employment'!A:Q,14,FALSE)-VLOOKUP(C11,'Raw - Employment'!A:Q,2,FALSE)),"-")</f>
        <v>27300</v>
      </c>
      <c r="K11" s="221">
        <f t="shared" si="0"/>
        <v>6.2000000000000028</v>
      </c>
      <c r="L11" s="222">
        <f>IF(K11=""," ",IF($K$5="LGBF Family Group Average",SUM(MROUND(SUM(SUM(VLOOKUP(C$18,'Raw - Employment'!A:Q,16,FALSE)*VLOOKUP(C11,'Raw - Employment'!A:Q,15,FALSE))/100),100)-MROUND(SUM(SUM(VLOOKUP(C11,'Raw - Employment'!A:Q,16,FALSE)*VLOOKUP(C11,'Raw - Employment'!A:Q,15,FALSE))/100),100)),IF($K$5="City Region Comparator",SUM(MROUND(SUM(SUM(VLOOKUP(C$19,'Raw - Employment'!A:Q,16,FALSE)*VLOOKUP(C11,'Raw - Employment'!A:Q,15,FALSE))/100),100)-MROUND(SUM(SUM(VLOOKUP(C11,'Raw - Employment'!A:Q,16,FALSE)*VLOOKUP(C11,'Raw - Employment'!A:Q,15,FALSE))/100),100)),IF($K$5="Scotland",SUM(MROUND(SUM(SUM(VLOOKUP(C$20,'Raw - Employment'!A:Q,16,FALSE)*VLOOKUP(C11,'Raw - Employment'!A:Q,15,FALSE))/100),100)-MROUND(SUM(SUM(VLOOKUP(C11,'Raw - Employment'!A:Q,16,FALSE)*VLOOKUP(C11,'Raw - Employment'!A:Q,15,FALSE))/100),100)),IF($K$5="United Kingdom",SUM(MROUND(SUM(SUM(VLOOKUP(C$21,'Raw - Employment'!A:Q,16,FALSE)*VLOOKUP(C11,'Raw - Employment'!A:Q,15,FALSE))/100),100)-MROUND(SUM(SUM(VLOOKUP(C11,'Raw - Employment'!A:Q,16,FALSE)*VLOOKUP(C11,'Raw - Employment'!A:Q,15,FALSE))/100),100)),SUM(MROUND(SUM(SUM(VLOOKUP(C$17,'Raw - Employment'!A:Q,16,FALSE)*VLOOKUP(C11,'Raw - Employment'!A:Q,15,FALSE))/100),100)-MROUND(SUM(SUM(VLOOKUP(C11,'Raw - Employment'!A:Q,16,FALSE)*VLOOKUP(C11,'Raw - Employment'!A:Q,15,FALSE))/100),100)))))))</f>
        <v>22100</v>
      </c>
    </row>
    <row r="12" spans="2:12" s="137" customFormat="1" ht="19.5" customHeight="1">
      <c r="B12" s="216" t="s">
        <v>153</v>
      </c>
      <c r="C12" s="216" t="str">
        <f>IF(C$6="LGBF Family Group 1",Lookups!I33,IF(C$6="LGBF Family Group 2",Lookups!J33,IF(C$6="LGBF Family Group 3",Lookups!K33,Lookups!L33)))</f>
        <v>West Dunbartonshire</v>
      </c>
      <c r="D12" s="217">
        <f>VLOOKUP($C12,'Raw - Employment'!$A:$Q,4,FALSE)</f>
        <v>72.8</v>
      </c>
      <c r="E12" s="217">
        <f>VLOOKUP($C12,'Raw - Employment'!$A:$Q,8,FALSE)</f>
        <v>70.400000000000006</v>
      </c>
      <c r="F12" s="217">
        <f>VLOOKUP($C12,'Raw - Employment'!$A:$Q,12,FALSE)</f>
        <v>75.8</v>
      </c>
      <c r="G12" s="217">
        <f>VLOOKUP($C12,'Raw - Employment'!$A:$Q,16,FALSE)</f>
        <v>71.900000000000006</v>
      </c>
      <c r="H12" s="218">
        <f>VLOOKUP(C12,'Raw - Employment'!A:Q,14,FALSE)</f>
        <v>40000</v>
      </c>
      <c r="I12" s="219">
        <f t="shared" si="1"/>
        <v>-0.89999999999999147</v>
      </c>
      <c r="J12" s="220">
        <f>IFERROR(SUM(VLOOKUP(C12,'Raw - Employment'!A:Q,14,FALSE)-VLOOKUP(C12,'Raw - Employment'!A:Q,2,FALSE)),"-")</f>
        <v>-500</v>
      </c>
      <c r="K12" s="221">
        <f t="shared" si="0"/>
        <v>16.399999999999991</v>
      </c>
      <c r="L12" s="222">
        <f>IF(K12=""," ",IF($K$5="LGBF Family Group Average",SUM(MROUND(SUM(SUM(VLOOKUP(C$18,'Raw - Employment'!A:Q,16,FALSE)*VLOOKUP(C12,'Raw - Employment'!A:Q,15,FALSE))/100),100)-MROUND(SUM(SUM(VLOOKUP(C12,'Raw - Employment'!A:Q,16,FALSE)*VLOOKUP(C12,'Raw - Employment'!A:Q,15,FALSE))/100),100)),IF($K$5="City Region Comparator",SUM(MROUND(SUM(SUM(VLOOKUP(C$19,'Raw - Employment'!A:Q,16,FALSE)*VLOOKUP(C12,'Raw - Employment'!A:Q,15,FALSE))/100),100)-MROUND(SUM(SUM(VLOOKUP(C12,'Raw - Employment'!A:Q,16,FALSE)*VLOOKUP(C12,'Raw - Employment'!A:Q,15,FALSE))/100),100)),IF($K$5="Scotland",SUM(MROUND(SUM(SUM(VLOOKUP(C$20,'Raw - Employment'!A:Q,16,FALSE)*VLOOKUP(C12,'Raw - Employment'!A:Q,15,FALSE))/100),100)-MROUND(SUM(SUM(VLOOKUP(C12,'Raw - Employment'!A:Q,16,FALSE)*VLOOKUP(C12,'Raw - Employment'!A:Q,15,FALSE))/100),100)),IF($K$5="United Kingdom",SUM(MROUND(SUM(SUM(VLOOKUP(C$21,'Raw - Employment'!A:Q,16,FALSE)*VLOOKUP(C12,'Raw - Employment'!A:Q,15,FALSE))/100),100)-MROUND(SUM(SUM(VLOOKUP(C12,'Raw - Employment'!A:Q,16,FALSE)*VLOOKUP(C12,'Raw - Employment'!A:Q,15,FALSE))/100),100)),SUM(MROUND(SUM(SUM(VLOOKUP(C$17,'Raw - Employment'!A:Q,16,FALSE)*VLOOKUP(C12,'Raw - Employment'!A:Q,15,FALSE))/100),100)-MROUND(SUM(SUM(VLOOKUP(C12,'Raw - Employment'!A:Q,16,FALSE)*VLOOKUP(C12,'Raw - Employment'!A:Q,15,FALSE))/100),100)))))))</f>
        <v>9100</v>
      </c>
    </row>
    <row r="13" spans="2:12" s="137" customFormat="1" ht="19.5" customHeight="1">
      <c r="B13" s="216" t="s">
        <v>153</v>
      </c>
      <c r="C13" s="216" t="str">
        <f>IF(C$6="LGBF Family Group 1",Lookups!I34,IF(C$6="LGBF Family Group 2",Lookups!J34,IF(C$6="LGBF Family Group 3",Lookups!K34,Lookups!L34)))</f>
        <v>Dundee City</v>
      </c>
      <c r="D13" s="217">
        <f>VLOOKUP($C13,'Raw - Employment'!$A:$Q,4,FALSE)</f>
        <v>71.8</v>
      </c>
      <c r="E13" s="217">
        <f>VLOOKUP($C13,'Raw - Employment'!$A:$Q,8,FALSE)</f>
        <v>71</v>
      </c>
      <c r="F13" s="217">
        <f>VLOOKUP($C13,'Raw - Employment'!$A:$Q,12,FALSE)</f>
        <v>68.8</v>
      </c>
      <c r="G13" s="217">
        <f>VLOOKUP($C13,'Raw - Employment'!$A:$Q,16,FALSE)</f>
        <v>63.7</v>
      </c>
      <c r="H13" s="218">
        <f>VLOOKUP(C13,'Raw - Employment'!A:Q,14,FALSE)</f>
        <v>61100</v>
      </c>
      <c r="I13" s="219">
        <f t="shared" si="1"/>
        <v>-8.0999999999999943</v>
      </c>
      <c r="J13" s="220">
        <f>IFERROR(SUM(VLOOKUP(C13,'Raw - Employment'!A:Q,14,FALSE)-VLOOKUP(C13,'Raw - Employment'!A:Q,2,FALSE)),"-")</f>
        <v>-6200</v>
      </c>
      <c r="K13" s="221">
        <f t="shared" si="0"/>
        <v>24.599999999999994</v>
      </c>
      <c r="L13" s="222">
        <f>IF(K13=""," ",IF($K$5="LGBF Family Group Average",SUM(MROUND(SUM(SUM(VLOOKUP(C$18,'Raw - Employment'!A:Q,16,FALSE)*VLOOKUP(C13,'Raw - Employment'!A:Q,15,FALSE))/100),100)-MROUND(SUM(SUM(VLOOKUP(C13,'Raw - Employment'!A:Q,16,FALSE)*VLOOKUP(C13,'Raw - Employment'!A:Q,15,FALSE))/100),100)),IF($K$5="City Region Comparator",SUM(MROUND(SUM(SUM(VLOOKUP(C$19,'Raw - Employment'!A:Q,16,FALSE)*VLOOKUP(C13,'Raw - Employment'!A:Q,15,FALSE))/100),100)-MROUND(SUM(SUM(VLOOKUP(C13,'Raw - Employment'!A:Q,16,FALSE)*VLOOKUP(C13,'Raw - Employment'!A:Q,15,FALSE))/100),100)),IF($K$5="Scotland",SUM(MROUND(SUM(SUM(VLOOKUP(C$20,'Raw - Employment'!A:Q,16,FALSE)*VLOOKUP(C13,'Raw - Employment'!A:Q,15,FALSE))/100),100)-MROUND(SUM(SUM(VLOOKUP(C13,'Raw - Employment'!A:Q,16,FALSE)*VLOOKUP(C13,'Raw - Employment'!A:Q,15,FALSE))/100),100)),IF($K$5="United Kingdom",SUM(MROUND(SUM(SUM(VLOOKUP(C$21,'Raw - Employment'!A:Q,16,FALSE)*VLOOKUP(C13,'Raw - Employment'!A:Q,15,FALSE))/100),100)-MROUND(SUM(SUM(VLOOKUP(C13,'Raw - Employment'!A:Q,16,FALSE)*VLOOKUP(C13,'Raw - Employment'!A:Q,15,FALSE))/100),100)),SUM(MROUND(SUM(SUM(VLOOKUP(C$17,'Raw - Employment'!A:Q,16,FALSE)*VLOOKUP(C13,'Raw - Employment'!A:Q,15,FALSE))/100),100)-MROUND(SUM(SUM(VLOOKUP(C13,'Raw - Employment'!A:Q,16,FALSE)*VLOOKUP(C13,'Raw - Employment'!A:Q,15,FALSE))/100),100)))))))</f>
        <v>23600</v>
      </c>
    </row>
    <row r="14" spans="2:12" s="137" customFormat="1" ht="19.5" customHeight="1">
      <c r="B14" s="216" t="s">
        <v>153</v>
      </c>
      <c r="C14" s="216" t="str">
        <f>IF(C$6="LGBF Family Group 1",Lookups!I35,IF(C$6="LGBF Family Group 2",Lookups!J35,IF(C$6="LGBF Family Group 3",Lookups!K35,Lookups!L35)))</f>
        <v>Glasgow City</v>
      </c>
      <c r="D14" s="217">
        <f>VLOOKUP($C14,'Raw - Employment'!$A:$Q,4,FALSE)</f>
        <v>69.8</v>
      </c>
      <c r="E14" s="217">
        <f>VLOOKUP($C14,'Raw - Employment'!$A:$Q,8,FALSE)</f>
        <v>69.7</v>
      </c>
      <c r="F14" s="217">
        <f>VLOOKUP($C14,'Raw - Employment'!$A:$Q,12,FALSE)</f>
        <v>72.099999999999994</v>
      </c>
      <c r="G14" s="217">
        <f>VLOOKUP($C14,'Raw - Employment'!$A:$Q,16,FALSE)</f>
        <v>71.2</v>
      </c>
      <c r="H14" s="218">
        <f>VLOOKUP(C14,'Raw - Employment'!A:Q,14,FALSE)</f>
        <v>309000</v>
      </c>
      <c r="I14" s="219">
        <f t="shared" si="1"/>
        <v>1.4000000000000057</v>
      </c>
      <c r="J14" s="220">
        <f>IFERROR(SUM(VLOOKUP(C14,'Raw - Employment'!A:Q,14,FALSE)-VLOOKUP(C14,'Raw - Employment'!A:Q,2,FALSE)),"-")</f>
        <v>4200</v>
      </c>
      <c r="K14" s="221">
        <f t="shared" si="0"/>
        <v>17.099999999999994</v>
      </c>
      <c r="L14" s="222">
        <f>IF(K14=""," ",IF($K$5="LGBF Family Group Average",SUM(MROUND(SUM(SUM(VLOOKUP(C$18,'Raw - Employment'!A:Q,16,FALSE)*VLOOKUP(C14,'Raw - Employment'!A:Q,15,FALSE))/100),100)-MROUND(SUM(SUM(VLOOKUP(C14,'Raw - Employment'!A:Q,16,FALSE)*VLOOKUP(C14,'Raw - Employment'!A:Q,15,FALSE))/100),100)),IF($K$5="City Region Comparator",SUM(MROUND(SUM(SUM(VLOOKUP(C$19,'Raw - Employment'!A:Q,16,FALSE)*VLOOKUP(C14,'Raw - Employment'!A:Q,15,FALSE))/100),100)-MROUND(SUM(SUM(VLOOKUP(C14,'Raw - Employment'!A:Q,16,FALSE)*VLOOKUP(C14,'Raw - Employment'!A:Q,15,FALSE))/100),100)),IF($K$5="Scotland",SUM(MROUND(SUM(SUM(VLOOKUP(C$20,'Raw - Employment'!A:Q,16,FALSE)*VLOOKUP(C14,'Raw - Employment'!A:Q,15,FALSE))/100),100)-MROUND(SUM(SUM(VLOOKUP(C14,'Raw - Employment'!A:Q,16,FALSE)*VLOOKUP(C14,'Raw - Employment'!A:Q,15,FALSE))/100),100)),IF($K$5="United Kingdom",SUM(MROUND(SUM(SUM(VLOOKUP(C$21,'Raw - Employment'!A:Q,16,FALSE)*VLOOKUP(C14,'Raw - Employment'!A:Q,15,FALSE))/100),100)-MROUND(SUM(SUM(VLOOKUP(C14,'Raw - Employment'!A:Q,16,FALSE)*VLOOKUP(C14,'Raw - Employment'!A:Q,15,FALSE))/100),100)),SUM(MROUND(SUM(SUM(VLOOKUP(C$17,'Raw - Employment'!A:Q,16,FALSE)*VLOOKUP(C14,'Raw - Employment'!A:Q,15,FALSE))/100),100)-MROUND(SUM(SUM(VLOOKUP(C14,'Raw - Employment'!A:Q,16,FALSE)*VLOOKUP(C14,'Raw - Employment'!A:Q,15,FALSE))/100),100)))))))</f>
        <v>74200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Employment'!$A$9:$A$40,MATCH(MAX('Raw - Employment'!P9:P40),'Raw - Employment'!P9:P40,0))</f>
        <v>Orkney Islands</v>
      </c>
      <c r="D17" s="217">
        <f>VLOOKUP($C17,'Raw - Employment'!$A:$Q,4,FALSE)</f>
        <v>83.3</v>
      </c>
      <c r="E17" s="217">
        <f>VLOOKUP($C17,'Raw - Employment'!$A:$Q,8,FALSE)</f>
        <v>72.900000000000006</v>
      </c>
      <c r="F17" s="217">
        <f>VLOOKUP($C17,'Raw - Employment'!$A:$Q,12,FALSE)</f>
        <v>87.5</v>
      </c>
      <c r="G17" s="217">
        <f>MAX('Raw - Employment'!P9:P40)</f>
        <v>88.3</v>
      </c>
      <c r="H17" s="218">
        <f>VLOOKUP(C17,'Raw - Employment'!A:Q,14,FALSE)</f>
        <v>11500</v>
      </c>
      <c r="I17" s="219">
        <f t="shared" ref="I17" si="2">IFERROR(SUM(G17-D17),"-")</f>
        <v>5</v>
      </c>
      <c r="J17" s="220">
        <f>IFERROR(SUM(VLOOKUP(C17,'Raw - Employment'!A:Q,14,FALSE)-VLOOKUP(C17,'Raw - Employment'!A:Q,2,FALSE)),"-")</f>
        <v>900</v>
      </c>
    </row>
    <row r="18" spans="2:12" s="137" customFormat="1" ht="19.5" customHeight="1">
      <c r="B18" s="226" t="s">
        <v>271</v>
      </c>
      <c r="C18" s="227" t="s">
        <v>246</v>
      </c>
      <c r="D18" s="217">
        <f>VLOOKUP($C18,'Raw - Employment'!$A:$Q,4,FALSE)</f>
        <v>76.967930029154516</v>
      </c>
      <c r="E18" s="217">
        <f>VLOOKUP($C18,'Raw - Employment'!$A:$Q,8,FALSE)</f>
        <v>72.450837581937364</v>
      </c>
      <c r="F18" s="217">
        <f>VLOOKUP($C18,'Raw - Employment'!$A:$Q,12,FALSE)</f>
        <v>74.904597492276935</v>
      </c>
      <c r="G18" s="217">
        <f>VLOOKUP($C18,'Raw - Employment'!$A:$Q,16,FALSE)</f>
        <v>76.894142933906508</v>
      </c>
      <c r="H18" s="218">
        <f>VLOOKUP(C18,'Raw - Employment'!A:Q,14,FALSE)</f>
        <v>429300</v>
      </c>
      <c r="I18" s="219">
        <f t="shared" ref="I18:I21" si="3">IFERROR(SUM(G18-D18),"-")</f>
        <v>-7.3787095248007972E-2</v>
      </c>
      <c r="J18" s="220">
        <f>IFERROR(SUM(VLOOKUP(C18,'Raw - Employment'!A:Q,14,FALSE)-VLOOKUP(C18,'Raw - Employment'!A:Q,2,FALSE)),"-")</f>
        <v>6900</v>
      </c>
    </row>
    <row r="19" spans="2:12" s="137" customFormat="1" ht="19.5" customHeight="1">
      <c r="B19" s="226" t="s">
        <v>270</v>
      </c>
      <c r="C19" s="216" t="s">
        <v>156</v>
      </c>
      <c r="D19" s="217">
        <f>VLOOKUP($C19,'Raw - Employment'!$A:$Q,4,FALSE)</f>
        <v>75.707620528771386</v>
      </c>
      <c r="E19" s="217">
        <f>VLOOKUP($C19,'Raw - Employment'!$A:$Q,8,FALSE)</f>
        <v>75.444617784711383</v>
      </c>
      <c r="F19" s="217">
        <f>VLOOKUP($C19,'Raw - Employment'!$A:$Q,12,FALSE)</f>
        <v>74.777811829604659</v>
      </c>
      <c r="G19" s="217">
        <f>VLOOKUP($C19,'Raw - Employment'!$A:$Q,16,FALSE)</f>
        <v>79.628501827040196</v>
      </c>
      <c r="H19" s="218">
        <f>VLOOKUP(C19,'Raw - Employment'!A:Q,14,FALSE)</f>
        <v>261500</v>
      </c>
      <c r="I19" s="219">
        <f t="shared" si="3"/>
        <v>3.9208812982688102</v>
      </c>
      <c r="J19" s="220">
        <f>IFERROR(SUM(VLOOKUP(C19,'Raw - Employment'!A:Q,14,FALSE)-VLOOKUP(C19,'Raw - Employment'!A:Q,2,FALSE)),"-")</f>
        <v>18100</v>
      </c>
    </row>
    <row r="20" spans="2:12" s="137" customFormat="1" ht="19.5" customHeight="1">
      <c r="B20" s="226" t="s">
        <v>164</v>
      </c>
      <c r="C20" s="216" t="s">
        <v>46</v>
      </c>
      <c r="D20" s="217">
        <f>VLOOKUP($C20,'Raw - Employment'!$A:$Q,4,FALSE)</f>
        <v>73.400000000000006</v>
      </c>
      <c r="E20" s="217">
        <f>VLOOKUP($C20,'Raw - Employment'!$A:$Q,8,FALSE)</f>
        <v>73.2</v>
      </c>
      <c r="F20" s="217">
        <f>VLOOKUP($C20,'Raw - Employment'!$A:$Q,12,FALSE)</f>
        <v>74.400000000000006</v>
      </c>
      <c r="G20" s="217">
        <f>VLOOKUP($C20,'Raw - Employment'!$A:$Q,16,FALSE)</f>
        <v>74.7</v>
      </c>
      <c r="H20" s="218">
        <f>VLOOKUP(C20,'Raw - Employment'!A:Q,14,FALSE)</f>
        <v>2581900</v>
      </c>
      <c r="I20" s="219">
        <f t="shared" si="3"/>
        <v>1.2999999999999972</v>
      </c>
      <c r="J20" s="220">
        <f>IFERROR(SUM(VLOOKUP(C20,'Raw - Employment'!A:Q,14,FALSE)-VLOOKUP(C20,'Raw - Employment'!A:Q,2,FALSE)),"-")</f>
        <v>58900</v>
      </c>
    </row>
    <row r="21" spans="2:12" s="137" customFormat="1" ht="19.5" customHeight="1">
      <c r="B21" s="226" t="s">
        <v>164</v>
      </c>
      <c r="C21" s="216" t="s">
        <v>47</v>
      </c>
      <c r="D21" s="217">
        <f>VLOOKUP($C21,'Raw - Employment'!$A:$Q,4,FALSE)</f>
        <v>75.599999999999994</v>
      </c>
      <c r="E21" s="217">
        <f>VLOOKUP($C21,'Raw - Employment'!$A:$Q,8,FALSE)</f>
        <v>74.7</v>
      </c>
      <c r="F21" s="217">
        <f>VLOOKUP($C21,'Raw - Employment'!$A:$Q,12,FALSE)</f>
        <v>75.5</v>
      </c>
      <c r="G21" s="217">
        <f>VLOOKUP($C21,'Raw - Employment'!$A:$Q,16,FALSE)</f>
        <v>75.7</v>
      </c>
      <c r="H21" s="218">
        <f>VLOOKUP(C21,'Raw - Employment'!A:Q,14,FALSE)</f>
        <v>31559400</v>
      </c>
      <c r="I21" s="219">
        <f t="shared" si="3"/>
        <v>0.10000000000000853</v>
      </c>
      <c r="J21" s="220">
        <f>IFERROR(SUM(VLOOKUP(C21,'Raw - Employment'!A:Q,14,FALSE)-VLOOKUP(C21,'Raw - Employment'!A:Q,2,FALSE)),"-")</f>
        <v>293000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RNU6Yo5bRzmjeGK7nq6MFLzjDjHywXZ0LN9VyT4xnBa3bSONDwawUPVeN7EOQaxTn6fvDYWHlHctX2mqZFUfsw==" saltValue="NFjuJPZpP6wXuTFJzh6aaQ==" spinCount="100000" sheet="1" sort="0"/>
  <mergeCells count="4">
    <mergeCell ref="K4:L4"/>
    <mergeCell ref="I5:J5"/>
    <mergeCell ref="K5:L5"/>
    <mergeCell ref="F2:G2"/>
  </mergeCells>
  <hyperlinks>
    <hyperlink ref="F2:G2" location="'Index RAG'!A1" display="Return to Index RAG" xr:uid="{00000000-0004-0000-1000-000001000000}"/>
    <hyperlink ref="C3" r:id="rId1" xr:uid="{1A73F5AA-B523-4191-9E8F-6CE31780CF5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1AED56F1-AB98-4C15-9F3C-12F46B588470}">
          <x14:formula1>
            <xm:f>Lookups!$B$27:$E$27</xm:f>
          </x14:formula1>
          <xm:sqref>C6</xm:sqref>
        </x14:dataValidation>
        <x14:dataValidation type="list" allowBlank="1" showInputMessage="1" showErrorMessage="1" xr:uid="{D286F1BC-74D0-4CCA-8A93-BF349DB58303}">
          <x14:formula1>
            <xm:f>Lookups!$B$36:$E$36</xm:f>
          </x14:formula1>
          <xm:sqref>C18</xm:sqref>
        </x14:dataValidation>
        <x14:dataValidation type="list" allowBlank="1" showInputMessage="1" showErrorMessage="1" xr:uid="{E9429B55-A4EE-4DF4-8C8A-F768C8B684A7}">
          <x14:formula1>
            <xm:f>Lookups!$B$9:$B$13</xm:f>
          </x14:formula1>
          <xm:sqref>K5:L5</xm:sqref>
        </x14:dataValidation>
        <x14:dataValidation type="list" allowBlank="1" showInputMessage="1" showErrorMessage="1" xr:uid="{488FE1E9-66F9-4C24-A436-6E5D982D9A73}">
          <x14:formula1>
            <xm:f>Lookups!$Q$3:$Q$7</xm:f>
          </x14:formula1>
          <xm:sqref>C19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Unemployment Rate (%) - LGBF Family Group 1</v>
      </c>
      <c r="D1" s="170" t="s">
        <v>290</v>
      </c>
    </row>
    <row r="2" spans="2:12" ht="12.75">
      <c r="B2" s="171" t="s">
        <v>49</v>
      </c>
      <c r="C2" s="172" t="s">
        <v>198</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t="str">
        <f>IF(VLOOKUP($C7,'Raw - Unemployment'!$A:$Q,4,FALSE)="","-",(VLOOKUP($C7,'Raw - Unemployment'!$A:$Q,4,FALSE)))</f>
        <v>-</v>
      </c>
      <c r="E7" s="217" t="str">
        <f>IF(VLOOKUP($C7,'Raw - Unemployment'!$A:$Q,8,FALSE)="","-",(VLOOKUP($C7,'Raw - Unemployment'!$A:$Q,8,FALSE)))</f>
        <v>-</v>
      </c>
      <c r="F7" s="217" t="str">
        <f>IF(VLOOKUP($C7,'Raw - Unemployment'!$A:$Q,12,FALSE)="","-",(VLOOKUP($C7,'Raw - Unemployment'!$A:$Q,12,FALSE)))</f>
        <v>-</v>
      </c>
      <c r="G7" s="217" t="str">
        <f>IF(VLOOKUP($C7,'Raw - Unemployment'!$A:$Q,16,FALSE)="","-",(VLOOKUP($C7,'Raw - Unemployment'!$A:$Q,16,FALSE)))</f>
        <v>-</v>
      </c>
      <c r="H7" s="218" t="str">
        <f>IF(VLOOKUP($C7,'Raw - Unemployment'!$A:$Q,14,FALSE)="","-",(VLOOKUP($C7,'Raw - Unemployment'!$A:$Q,14,FALSE)))</f>
        <v>-</v>
      </c>
      <c r="I7" s="219" t="str">
        <f>IFERROR(IF(G7="-","-",SUM(G7-D7)),"-")</f>
        <v>-</v>
      </c>
      <c r="J7" s="220" t="str">
        <f>IFERROR(IF(I7="-","-",SUM(VLOOKUP(C7,'Raw - Unemployment'!A:Q,14,FALSE)-VLOOKUP(C7,'Raw - Unemployment'!A:Q,2,FALSE))),"-")</f>
        <v>-</v>
      </c>
      <c r="K7" s="221" t="str">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v>
      </c>
      <c r="L7" s="222" t="str">
        <f>IF(K7="-","-",IF(K7=""," ",IF($K$5="LGBF Family Group Average",SUM(MROUND(SUM(SUM(VLOOKUP(C$18,'Raw - Unemployment'!A:Q,16,FALSE)*VLOOKUP(C7,'Raw - Unemployment'!A:Q,15,FALSE))/100),100)-MROUND(SUM(SUM(VLOOKUP(C7,'Raw - Unemployment'!A:Q,16,FALSE)*VLOOKUP(C7,'Raw - Unemployment'!A:Q,15,FALSE))/100),100)),IF($K$5="City Region Comparator",SUM(MROUND(SUM(SUM(VLOOKUP(C$19,'Raw - Unemployment'!A:Q,16,FALSE)*VLOOKUP(C7,'Raw - Unemployment'!A:Q,15,FALSE))/100),100)-MROUND(SUM(SUM(VLOOKUP(C7,'Raw - Unemployment'!A:Q,16,FALSE)*VLOOKUP(C7,'Raw - Unemployment'!A:Q,15,FALSE))/100),100)),IF($K$5="Scotland",SUM(MROUND(SUM(SUM(VLOOKUP(C$20,'Raw - Unemployment'!A:Q,16,FALSE)*VLOOKUP(C7,'Raw - Unemployment'!A:Q,15,FALSE))/100),100)-MROUND(SUM(SUM(VLOOKUP(C7,'Raw - Unemployment'!A:Q,16,FALSE)*VLOOKUP(C7,'Raw - Unemployment'!A:Q,15,FALSE))/100),100)),IF($K$5="United Kingdom",SUM(MROUND(SUM(SUM(VLOOKUP(C$21,'Raw - Unemployment'!A:Q,16,FALSE)*VLOOKUP(C7,'Raw - Unemployment'!A:Q,15,FALSE))/100),100)-MROUND(SUM(SUM(VLOOKUP(C7,'Raw - Unemployment'!A:Q,16,FALSE)*VLOOKUP(C7,'Raw - Unemployment'!A:Q,15,FALSE))/100),100)),SUM(MROUND(SUM(SUM(VLOOKUP(C$17,'Raw - Unemployment'!A:Q,16,FALSE)*VLOOKUP(C7,'Raw - Unemployment'!A:Q,15,FALSE))/100),100)-MROUND(SUM(SUM(VLOOKUP(C7,'Raw - Unemployment'!A:Q,16,FALSE)*VLOOKUP(C7,'Raw - Unemployment'!A:Q,15,FALSE))/100),100))))))))</f>
        <v>-</v>
      </c>
    </row>
    <row r="8" spans="2:12" s="137" customFormat="1" ht="19.5" customHeight="1">
      <c r="B8" s="216" t="s">
        <v>153</v>
      </c>
      <c r="C8" s="216" t="str">
        <f>IF(C$6="LGBF Family Group 1",Lookups!I29,IF(C$6="LGBF Family Group 2",Lookups!J29,IF(C$6="LGBF Family Group 3",Lookups!K29,Lookups!L29)))</f>
        <v>Argyll and Bute</v>
      </c>
      <c r="D8" s="217">
        <f>IF(VLOOKUP($C8,'Raw - Unemployment'!$A:$Q,4,FALSE)="","-",(VLOOKUP($C8,'Raw - Unemployment'!$A:$Q,4,FALSE)))</f>
        <v>2</v>
      </c>
      <c r="E8" s="217">
        <f>IF(VLOOKUP($C8,'Raw - Unemployment'!$A:$Q,8,FALSE)="","-",(VLOOKUP($C8,'Raw - Unemployment'!$A:$Q,8,FALSE)))</f>
        <v>2</v>
      </c>
      <c r="F8" s="217" t="str">
        <f>IF(VLOOKUP($C8,'Raw - Unemployment'!$A:$Q,12,FALSE)="","-",(VLOOKUP($C8,'Raw - Unemployment'!$A:$Q,12,FALSE)))</f>
        <v>-</v>
      </c>
      <c r="G8" s="217">
        <f>IF(VLOOKUP($C8,'Raw - Unemployment'!$A:$Q,16,FALSE)="","-",(VLOOKUP($C8,'Raw - Unemployment'!$A:$Q,16,FALSE)))</f>
        <v>3.9</v>
      </c>
      <c r="H8" s="218">
        <f>IF(VLOOKUP($C8,'Raw - Unemployment'!$A:$Q,14,FALSE)="","-",(VLOOKUP($C8,'Raw - Unemployment'!$A:$Q,14,FALSE)))</f>
        <v>1400</v>
      </c>
      <c r="I8" s="219">
        <f t="shared" ref="I8:I14" si="1">IFERROR(IF(G8="-","-",SUM(G8-D8)),"-")</f>
        <v>1.9</v>
      </c>
      <c r="J8" s="220">
        <f>IFERROR(IF(I8="-","-",SUM(VLOOKUP(C8,'Raw - Unemployment'!A:Q,14,FALSE)-VLOOKUP(C8,'Raw - Unemployment'!A:Q,2,FALSE))),"-")</f>
        <v>700</v>
      </c>
      <c r="K8" s="221">
        <f t="shared" si="0"/>
        <v>-2.9</v>
      </c>
      <c r="L8" s="222">
        <f>IF(K8="-","-",IF(K8=""," ",IF($K$5="LGBF Family Group Average",SUM(MROUND(SUM(SUM(VLOOKUP(C$18,'Raw - Unemployment'!A:Q,16,FALSE)*VLOOKUP(C8,'Raw - Unemployment'!A:Q,15,FALSE))/100),100)-MROUND(SUM(SUM(VLOOKUP(C8,'Raw - Unemployment'!A:Q,16,FALSE)*VLOOKUP(C8,'Raw - Unemployment'!A:Q,15,FALSE))/100),100)),IF($K$5="City Region Comparator",SUM(MROUND(SUM(SUM(VLOOKUP(C$19,'Raw - Unemployment'!A:Q,16,FALSE)*VLOOKUP(C8,'Raw - Unemployment'!A:Q,15,FALSE))/100),100)-MROUND(SUM(SUM(VLOOKUP(C8,'Raw - Unemployment'!A:Q,16,FALSE)*VLOOKUP(C8,'Raw - Unemployment'!A:Q,15,FALSE))/100),100)),IF($K$5="Scotland",SUM(MROUND(SUM(SUM(VLOOKUP(C$20,'Raw - Unemployment'!A:Q,16,FALSE)*VLOOKUP(C8,'Raw - Unemployment'!A:Q,15,FALSE))/100),100)-MROUND(SUM(SUM(VLOOKUP(C8,'Raw - Unemployment'!A:Q,16,FALSE)*VLOOKUP(C8,'Raw - Unemployment'!A:Q,15,FALSE))/100),100)),IF($K$5="United Kingdom",SUM(MROUND(SUM(SUM(VLOOKUP(C$21,'Raw - Unemployment'!A:Q,16,FALSE)*VLOOKUP(C8,'Raw - Unemployment'!A:Q,15,FALSE))/100),100)-MROUND(SUM(SUM(VLOOKUP(C8,'Raw - Unemployment'!A:Q,16,FALSE)*VLOOKUP(C8,'Raw - Unemployment'!A:Q,15,FALSE))/100),100)),SUM(MROUND(SUM(SUM(VLOOKUP(C$17,'Raw - Unemployment'!A:Q,16,FALSE)*VLOOKUP(C8,'Raw - Unemployment'!A:Q,15,FALSE))/100),100)-MROUND(SUM(SUM(VLOOKUP(C8,'Raw - Unemployment'!A:Q,16,FALSE)*VLOOKUP(C8,'Raw - Unemployment'!A:Q,15,FALSE))/100),100))))))))</f>
        <v>-1000</v>
      </c>
    </row>
    <row r="9" spans="2:12" s="137" customFormat="1" ht="19.5" customHeight="1">
      <c r="B9" s="216" t="s">
        <v>153</v>
      </c>
      <c r="C9" s="216" t="str">
        <f>IF(C$6="LGBF Family Group 1",Lookups!I30,IF(C$6="LGBF Family Group 2",Lookups!J30,IF(C$6="LGBF Family Group 3",Lookups!K30,Lookups!L30)))</f>
        <v>Shetland Islands</v>
      </c>
      <c r="D9" s="217" t="str">
        <f>IF(VLOOKUP($C9,'Raw - Unemployment'!$A:$Q,4,FALSE)="","-",(VLOOKUP($C9,'Raw - Unemployment'!$A:$Q,4,FALSE)))</f>
        <v>-</v>
      </c>
      <c r="E9" s="217" t="str">
        <f>IF(VLOOKUP($C9,'Raw - Unemployment'!$A:$Q,8,FALSE)="","-",(VLOOKUP($C9,'Raw - Unemployment'!$A:$Q,8,FALSE)))</f>
        <v>-</v>
      </c>
      <c r="F9" s="217" t="str">
        <f>IF(VLOOKUP($C9,'Raw - Unemployment'!$A:$Q,12,FALSE)="","-",(VLOOKUP($C9,'Raw - Unemployment'!$A:$Q,12,FALSE)))</f>
        <v>-</v>
      </c>
      <c r="G9" s="217" t="str">
        <f>IF(VLOOKUP($C9,'Raw - Unemployment'!$A:$Q,16,FALSE)="","-",(VLOOKUP($C9,'Raw - Unemployment'!$A:$Q,16,FALSE)))</f>
        <v>-</v>
      </c>
      <c r="H9" s="218" t="str">
        <f>IF(VLOOKUP($C9,'Raw - Unemployment'!$A:$Q,14,FALSE)="","-",(VLOOKUP($C9,'Raw - Unemployment'!$A:$Q,14,FALSE)))</f>
        <v>-</v>
      </c>
      <c r="I9" s="219" t="str">
        <f t="shared" si="1"/>
        <v>-</v>
      </c>
      <c r="J9" s="220" t="str">
        <f>IFERROR(IF(I9="-","-",SUM(VLOOKUP(C9,'Raw - Unemployment'!A:Q,14,FALSE)-VLOOKUP(C9,'Raw - Unemployment'!A:Q,2,FALSE))),"-")</f>
        <v>-</v>
      </c>
      <c r="K9" s="221" t="str">
        <f t="shared" si="0"/>
        <v>-</v>
      </c>
      <c r="L9" s="222" t="str">
        <f>IF(K9="-","-",IF(K9=""," ",IF($K$5="LGBF Family Group Average",SUM(MROUND(SUM(SUM(VLOOKUP(C$18,'Raw - Unemployment'!A:Q,16,FALSE)*VLOOKUP(C9,'Raw - Unemployment'!A:Q,15,FALSE))/100),100)-MROUND(SUM(SUM(VLOOKUP(C9,'Raw - Unemployment'!A:Q,16,FALSE)*VLOOKUP(C9,'Raw - Unemployment'!A:Q,15,FALSE))/100),100)),IF($K$5="City Region Comparator",SUM(MROUND(SUM(SUM(VLOOKUP(C$19,'Raw - Unemployment'!A:Q,16,FALSE)*VLOOKUP(C9,'Raw - Unemployment'!A:Q,15,FALSE))/100),100)-MROUND(SUM(SUM(VLOOKUP(C9,'Raw - Unemployment'!A:Q,16,FALSE)*VLOOKUP(C9,'Raw - Unemployment'!A:Q,15,FALSE))/100),100)),IF($K$5="Scotland",SUM(MROUND(SUM(SUM(VLOOKUP(C$20,'Raw - Unemployment'!A:Q,16,FALSE)*VLOOKUP(C9,'Raw - Unemployment'!A:Q,15,FALSE))/100),100)-MROUND(SUM(SUM(VLOOKUP(C9,'Raw - Unemployment'!A:Q,16,FALSE)*VLOOKUP(C9,'Raw - Unemployment'!A:Q,15,FALSE))/100),100)),IF($K$5="United Kingdom",SUM(MROUND(SUM(SUM(VLOOKUP(C$21,'Raw - Unemployment'!A:Q,16,FALSE)*VLOOKUP(C9,'Raw - Unemployment'!A:Q,15,FALSE))/100),100)-MROUND(SUM(SUM(VLOOKUP(C9,'Raw - Unemployment'!A:Q,16,FALSE)*VLOOKUP(C9,'Raw - Unemployment'!A:Q,15,FALSE))/100),100)),SUM(MROUND(SUM(SUM(VLOOKUP(C$17,'Raw - Unemployment'!A:Q,16,FALSE)*VLOOKUP(C9,'Raw - Unemployment'!A:Q,15,FALSE))/100),100)-MROUND(SUM(SUM(VLOOKUP(C9,'Raw - Unemployment'!A:Q,16,FALSE)*VLOOKUP(C9,'Raw - Unemployment'!A:Q,15,FALSE))/100),100))))))))</f>
        <v>-</v>
      </c>
    </row>
    <row r="10" spans="2:12" s="137" customFormat="1" ht="19.5" customHeight="1">
      <c r="B10" s="216" t="s">
        <v>153</v>
      </c>
      <c r="C10" s="216" t="str">
        <f>IF(C$6="LGBF Family Group 1",Lookups!I31,IF(C$6="LGBF Family Group 2",Lookups!J31,IF(C$6="LGBF Family Group 3",Lookups!K31,Lookups!L31)))</f>
        <v>Highland</v>
      </c>
      <c r="D10" s="217">
        <f>IF(VLOOKUP($C10,'Raw - Unemployment'!$A:$Q,4,FALSE)="","-",(VLOOKUP($C10,'Raw - Unemployment'!$A:$Q,4,FALSE)))</f>
        <v>2.2000000000000002</v>
      </c>
      <c r="E10" s="217">
        <f>IF(VLOOKUP($C10,'Raw - Unemployment'!$A:$Q,8,FALSE)="","-",(VLOOKUP($C10,'Raw - Unemployment'!$A:$Q,8,FALSE)))</f>
        <v>4</v>
      </c>
      <c r="F10" s="217">
        <f>IF(VLOOKUP($C10,'Raw - Unemployment'!$A:$Q,12,FALSE)="","-",(VLOOKUP($C10,'Raw - Unemployment'!$A:$Q,12,FALSE)))</f>
        <v>3.7</v>
      </c>
      <c r="G10" s="217" t="str">
        <f>IF(VLOOKUP($C10,'Raw - Unemployment'!$A:$Q,16,FALSE)="","-",(VLOOKUP($C10,'Raw - Unemployment'!$A:$Q,16,FALSE)))</f>
        <v>-</v>
      </c>
      <c r="H10" s="218" t="str">
        <f>IF(VLOOKUP($C10,'Raw - Unemployment'!$A:$Q,14,FALSE)="","-",(VLOOKUP($C10,'Raw - Unemployment'!$A:$Q,14,FALSE)))</f>
        <v>-</v>
      </c>
      <c r="I10" s="219" t="str">
        <f t="shared" si="1"/>
        <v>-</v>
      </c>
      <c r="J10" s="220" t="str">
        <f>IFERROR(IF(I10="-","-",SUM(VLOOKUP(C10,'Raw - Unemployment'!A:Q,14,FALSE)-VLOOKUP(C10,'Raw - Unemployment'!A:Q,2,FALSE))),"-")</f>
        <v>-</v>
      </c>
      <c r="K10" s="221" t="str">
        <f t="shared" si="0"/>
        <v>-</v>
      </c>
      <c r="L10" s="222" t="str">
        <f>IF(K10="-","-",IF(K10=""," ",IF($K$5="LGBF Family Group Average",SUM(MROUND(SUM(SUM(VLOOKUP(C$18,'Raw - Unemployment'!A:Q,16,FALSE)*VLOOKUP(C10,'Raw - Unemployment'!A:Q,15,FALSE))/100),100)-MROUND(SUM(SUM(VLOOKUP(C10,'Raw - Unemployment'!A:Q,16,FALSE)*VLOOKUP(C10,'Raw - Unemployment'!A:Q,15,FALSE))/100),100)),IF($K$5="City Region Comparator",SUM(MROUND(SUM(SUM(VLOOKUP(C$19,'Raw - Unemployment'!A:Q,16,FALSE)*VLOOKUP(C10,'Raw - Unemployment'!A:Q,15,FALSE))/100),100)-MROUND(SUM(SUM(VLOOKUP(C10,'Raw - Unemployment'!A:Q,16,FALSE)*VLOOKUP(C10,'Raw - Unemployment'!A:Q,15,FALSE))/100),100)),IF($K$5="Scotland",SUM(MROUND(SUM(SUM(VLOOKUP(C$20,'Raw - Unemployment'!A:Q,16,FALSE)*VLOOKUP(C10,'Raw - Unemployment'!A:Q,15,FALSE))/100),100)-MROUND(SUM(SUM(VLOOKUP(C10,'Raw - Unemployment'!A:Q,16,FALSE)*VLOOKUP(C10,'Raw - Unemployment'!A:Q,15,FALSE))/100),100)),IF($K$5="United Kingdom",SUM(MROUND(SUM(SUM(VLOOKUP(C$21,'Raw - Unemployment'!A:Q,16,FALSE)*VLOOKUP(C10,'Raw - Unemployment'!A:Q,15,FALSE))/100),100)-MROUND(SUM(SUM(VLOOKUP(C10,'Raw - Unemployment'!A:Q,16,FALSE)*VLOOKUP(C10,'Raw - Unemployment'!A:Q,15,FALSE))/100),100)),SUM(MROUND(SUM(SUM(VLOOKUP(C$17,'Raw - Unemployment'!A:Q,16,FALSE)*VLOOKUP(C10,'Raw - Unemployment'!A:Q,15,FALSE))/100),100)-MROUND(SUM(SUM(VLOOKUP(C10,'Raw - Unemployment'!A:Q,16,FALSE)*VLOOKUP(C10,'Raw - Unemployment'!A:Q,15,FALSE))/100),100))))))))</f>
        <v>-</v>
      </c>
    </row>
    <row r="11" spans="2:12" s="137" customFormat="1" ht="19.5" customHeight="1">
      <c r="B11" s="216" t="s">
        <v>153</v>
      </c>
      <c r="C11" s="216" t="str">
        <f>IF(C$6="LGBF Family Group 1",Lookups!I32,IF(C$6="LGBF Family Group 2",Lookups!J32,IF(C$6="LGBF Family Group 3",Lookups!K32,Lookups!L32)))</f>
        <v>Orkney Islands</v>
      </c>
      <c r="D11" s="217" t="str">
        <f>IF(VLOOKUP($C11,'Raw - Unemployment'!$A:$Q,4,FALSE)="","-",(VLOOKUP($C11,'Raw - Unemployment'!$A:$Q,4,FALSE)))</f>
        <v>-</v>
      </c>
      <c r="E11" s="217" t="str">
        <f>IF(VLOOKUP($C11,'Raw - Unemployment'!$A:$Q,8,FALSE)="","-",(VLOOKUP($C11,'Raw - Unemployment'!$A:$Q,8,FALSE)))</f>
        <v>-</v>
      </c>
      <c r="F11" s="217" t="str">
        <f>IF(VLOOKUP($C11,'Raw - Unemployment'!$A:$Q,12,FALSE)="","-",(VLOOKUP($C11,'Raw - Unemployment'!$A:$Q,12,FALSE)))</f>
        <v>-</v>
      </c>
      <c r="G11" s="217" t="str">
        <f>IF(VLOOKUP($C11,'Raw - Unemployment'!$A:$Q,16,FALSE)="","-",(VLOOKUP($C11,'Raw - Unemployment'!$A:$Q,16,FALSE)))</f>
        <v>-</v>
      </c>
      <c r="H11" s="218" t="str">
        <f>IF(VLOOKUP($C11,'Raw - Unemployment'!$A:$Q,14,FALSE)="","-",(VLOOKUP($C11,'Raw - Unemployment'!$A:$Q,14,FALSE)))</f>
        <v>-</v>
      </c>
      <c r="I11" s="219" t="str">
        <f t="shared" si="1"/>
        <v>-</v>
      </c>
      <c r="J11" s="220" t="str">
        <f>IFERROR(IF(I11="-","-",SUM(VLOOKUP(C11,'Raw - Unemployment'!A:Q,14,FALSE)-VLOOKUP(C11,'Raw - Unemployment'!A:Q,2,FALSE))),"-")</f>
        <v>-</v>
      </c>
      <c r="K11" s="221" t="str">
        <f t="shared" si="0"/>
        <v>-</v>
      </c>
      <c r="L11" s="222" t="str">
        <f>IF(K11="-","-",IF(K11=""," ",IF($K$5="LGBF Family Group Average",SUM(MROUND(SUM(SUM(VLOOKUP(C$18,'Raw - Unemployment'!A:Q,16,FALSE)*VLOOKUP(C11,'Raw - Unemployment'!A:Q,15,FALSE))/100),100)-MROUND(SUM(SUM(VLOOKUP(C11,'Raw - Unemployment'!A:Q,16,FALSE)*VLOOKUP(C11,'Raw - Unemployment'!A:Q,15,FALSE))/100),100)),IF($K$5="City Region Comparator",SUM(MROUND(SUM(SUM(VLOOKUP(C$19,'Raw - Unemployment'!A:Q,16,FALSE)*VLOOKUP(C11,'Raw - Unemployment'!A:Q,15,FALSE))/100),100)-MROUND(SUM(SUM(VLOOKUP(C11,'Raw - Unemployment'!A:Q,16,FALSE)*VLOOKUP(C11,'Raw - Unemployment'!A:Q,15,FALSE))/100),100)),IF($K$5="Scotland",SUM(MROUND(SUM(SUM(VLOOKUP(C$20,'Raw - Unemployment'!A:Q,16,FALSE)*VLOOKUP(C11,'Raw - Unemployment'!A:Q,15,FALSE))/100),100)-MROUND(SUM(SUM(VLOOKUP(C11,'Raw - Unemployment'!A:Q,16,FALSE)*VLOOKUP(C11,'Raw - Unemployment'!A:Q,15,FALSE))/100),100)),IF($K$5="United Kingdom",SUM(MROUND(SUM(SUM(VLOOKUP(C$21,'Raw - Unemployment'!A:Q,16,FALSE)*VLOOKUP(C11,'Raw - Unemployment'!A:Q,15,FALSE))/100),100)-MROUND(SUM(SUM(VLOOKUP(C11,'Raw - Unemployment'!A:Q,16,FALSE)*VLOOKUP(C11,'Raw - Unemployment'!A:Q,15,FALSE))/100),100)),SUM(MROUND(SUM(SUM(VLOOKUP(C$17,'Raw - Unemployment'!A:Q,16,FALSE)*VLOOKUP(C11,'Raw - Unemployment'!A:Q,15,FALSE))/100),100)-MROUND(SUM(SUM(VLOOKUP(C11,'Raw - Unemployment'!A:Q,16,FALSE)*VLOOKUP(C11,'Raw - Unemployment'!A:Q,15,FALSE))/100),100))))))))</f>
        <v>-</v>
      </c>
    </row>
    <row r="12" spans="2:12" s="137" customFormat="1" ht="19.5" customHeight="1">
      <c r="B12" s="216" t="s">
        <v>153</v>
      </c>
      <c r="C12" s="216" t="str">
        <f>IF(C$6="LGBF Family Group 1",Lookups!I33,IF(C$6="LGBF Family Group 2",Lookups!J33,IF(C$6="LGBF Family Group 3",Lookups!K33,Lookups!L33)))</f>
        <v>Scottish Borders</v>
      </c>
      <c r="D12" s="217">
        <f>IF(VLOOKUP($C12,'Raw - Unemployment'!$A:$Q,4,FALSE)="","-",(VLOOKUP($C12,'Raw - Unemployment'!$A:$Q,4,FALSE)))</f>
        <v>0.9</v>
      </c>
      <c r="E12" s="217">
        <f>IF(VLOOKUP($C12,'Raw - Unemployment'!$A:$Q,8,FALSE)="","-",(VLOOKUP($C12,'Raw - Unemployment'!$A:$Q,8,FALSE)))</f>
        <v>7.8</v>
      </c>
      <c r="F12" s="217">
        <f>IF(VLOOKUP($C12,'Raw - Unemployment'!$A:$Q,12,FALSE)="","-",(VLOOKUP($C12,'Raw - Unemployment'!$A:$Q,12,FALSE)))</f>
        <v>6.3</v>
      </c>
      <c r="G12" s="217">
        <f>IF(VLOOKUP($C12,'Raw - Unemployment'!$A:$Q,16,FALSE)="","-",(VLOOKUP($C12,'Raw - Unemployment'!$A:$Q,16,FALSE)))</f>
        <v>5</v>
      </c>
      <c r="H12" s="218">
        <f>IF(VLOOKUP($C12,'Raw - Unemployment'!$A:$Q,14,FALSE)="","-",(VLOOKUP($C12,'Raw - Unemployment'!$A:$Q,14,FALSE)))</f>
        <v>2600</v>
      </c>
      <c r="I12" s="219">
        <f t="shared" si="1"/>
        <v>4.0999999999999996</v>
      </c>
      <c r="J12" s="220">
        <f>IFERROR(IF(I12="-","-",SUM(VLOOKUP(C12,'Raw - Unemployment'!A:Q,14,FALSE)-VLOOKUP(C12,'Raw - Unemployment'!A:Q,2,FALSE))),"-")</f>
        <v>2100</v>
      </c>
      <c r="K12" s="221">
        <f t="shared" si="0"/>
        <v>-4</v>
      </c>
      <c r="L12" s="222">
        <f>IF(K12="-","-",IF(K12=""," ",IF($K$5="LGBF Family Group Average",SUM(MROUND(SUM(SUM(VLOOKUP(C$18,'Raw - Unemployment'!A:Q,16,FALSE)*VLOOKUP(C12,'Raw - Unemployment'!A:Q,15,FALSE))/100),100)-MROUND(SUM(SUM(VLOOKUP(C12,'Raw - Unemployment'!A:Q,16,FALSE)*VLOOKUP(C12,'Raw - Unemployment'!A:Q,15,FALSE))/100),100)),IF($K$5="City Region Comparator",SUM(MROUND(SUM(SUM(VLOOKUP(C$19,'Raw - Unemployment'!A:Q,16,FALSE)*VLOOKUP(C12,'Raw - Unemployment'!A:Q,15,FALSE))/100),100)-MROUND(SUM(SUM(VLOOKUP(C12,'Raw - Unemployment'!A:Q,16,FALSE)*VLOOKUP(C12,'Raw - Unemployment'!A:Q,15,FALSE))/100),100)),IF($K$5="Scotland",SUM(MROUND(SUM(SUM(VLOOKUP(C$20,'Raw - Unemployment'!A:Q,16,FALSE)*VLOOKUP(C12,'Raw - Unemployment'!A:Q,15,FALSE))/100),100)-MROUND(SUM(SUM(VLOOKUP(C12,'Raw - Unemployment'!A:Q,16,FALSE)*VLOOKUP(C12,'Raw - Unemployment'!A:Q,15,FALSE))/100),100)),IF($K$5="United Kingdom",SUM(MROUND(SUM(SUM(VLOOKUP(C$21,'Raw - Unemployment'!A:Q,16,FALSE)*VLOOKUP(C12,'Raw - Unemployment'!A:Q,15,FALSE))/100),100)-MROUND(SUM(SUM(VLOOKUP(C12,'Raw - Unemployment'!A:Q,16,FALSE)*VLOOKUP(C12,'Raw - Unemployment'!A:Q,15,FALSE))/100),100)),SUM(MROUND(SUM(SUM(VLOOKUP(C$17,'Raw - Unemployment'!A:Q,16,FALSE)*VLOOKUP(C12,'Raw - Unemployment'!A:Q,15,FALSE))/100),100)-MROUND(SUM(SUM(VLOOKUP(C12,'Raw - Unemployment'!A:Q,16,FALSE)*VLOOKUP(C12,'Raw - Unemployment'!A:Q,15,FALSE))/100),100))))))))</f>
        <v>-2100</v>
      </c>
    </row>
    <row r="13" spans="2:12" s="137" customFormat="1" ht="19.5" customHeight="1">
      <c r="B13" s="216" t="s">
        <v>153</v>
      </c>
      <c r="C13" s="216" t="str">
        <f>IF(C$6="LGBF Family Group 1",Lookups!I34,IF(C$6="LGBF Family Group 2",Lookups!J34,IF(C$6="LGBF Family Group 3",Lookups!K34,Lookups!L34)))</f>
        <v>Dumfries and Galloway</v>
      </c>
      <c r="D13" s="217">
        <f>IF(VLOOKUP($C13,'Raw - Unemployment'!$A:$Q,4,FALSE)="","-",(VLOOKUP($C13,'Raw - Unemployment'!$A:$Q,4,FALSE)))</f>
        <v>6.2</v>
      </c>
      <c r="E13" s="217">
        <f>IF(VLOOKUP($C13,'Raw - Unemployment'!$A:$Q,8,FALSE)="","-",(VLOOKUP($C13,'Raw - Unemployment'!$A:$Q,8,FALSE)))</f>
        <v>4.3</v>
      </c>
      <c r="F13" s="217">
        <f>IF(VLOOKUP($C13,'Raw - Unemployment'!$A:$Q,12,FALSE)="","-",(VLOOKUP($C13,'Raw - Unemployment'!$A:$Q,12,FALSE)))</f>
        <v>4.8</v>
      </c>
      <c r="G13" s="217">
        <f>IF(VLOOKUP($C13,'Raw - Unemployment'!$A:$Q,16,FALSE)="","-",(VLOOKUP($C13,'Raw - Unemployment'!$A:$Q,16,FALSE)))</f>
        <v>6.7</v>
      </c>
      <c r="H13" s="218">
        <f>IF(VLOOKUP($C13,'Raw - Unemployment'!$A:$Q,14,FALSE)="","-",(VLOOKUP($C13,'Raw - Unemployment'!$A:$Q,14,FALSE)))</f>
        <v>4100</v>
      </c>
      <c r="I13" s="219">
        <f t="shared" si="1"/>
        <v>0.5</v>
      </c>
      <c r="J13" s="220">
        <f>IFERROR(IF(I13="-","-",SUM(VLOOKUP(C13,'Raw - Unemployment'!A:Q,14,FALSE)-VLOOKUP(C13,'Raw - Unemployment'!A:Q,2,FALSE))),"-")</f>
        <v>300</v>
      </c>
      <c r="K13" s="221">
        <f t="shared" si="0"/>
        <v>-5.7</v>
      </c>
      <c r="L13" s="222">
        <f>IF(K13="-","-",IF(K13=""," ",IF($K$5="LGBF Family Group Average",SUM(MROUND(SUM(SUM(VLOOKUP(C$18,'Raw - Unemployment'!A:Q,16,FALSE)*VLOOKUP(C13,'Raw - Unemployment'!A:Q,15,FALSE))/100),100)-MROUND(SUM(SUM(VLOOKUP(C13,'Raw - Unemployment'!A:Q,16,FALSE)*VLOOKUP(C13,'Raw - Unemployment'!A:Q,15,FALSE))/100),100)),IF($K$5="City Region Comparator",SUM(MROUND(SUM(SUM(VLOOKUP(C$19,'Raw - Unemployment'!A:Q,16,FALSE)*VLOOKUP(C13,'Raw - Unemployment'!A:Q,15,FALSE))/100),100)-MROUND(SUM(SUM(VLOOKUP(C13,'Raw - Unemployment'!A:Q,16,FALSE)*VLOOKUP(C13,'Raw - Unemployment'!A:Q,15,FALSE))/100),100)),IF($K$5="Scotland",SUM(MROUND(SUM(SUM(VLOOKUP(C$20,'Raw - Unemployment'!A:Q,16,FALSE)*VLOOKUP(C13,'Raw - Unemployment'!A:Q,15,FALSE))/100),100)-MROUND(SUM(SUM(VLOOKUP(C13,'Raw - Unemployment'!A:Q,16,FALSE)*VLOOKUP(C13,'Raw - Unemployment'!A:Q,15,FALSE))/100),100)),IF($K$5="United Kingdom",SUM(MROUND(SUM(SUM(VLOOKUP(C$21,'Raw - Unemployment'!A:Q,16,FALSE)*VLOOKUP(C13,'Raw - Unemployment'!A:Q,15,FALSE))/100),100)-MROUND(SUM(SUM(VLOOKUP(C13,'Raw - Unemployment'!A:Q,16,FALSE)*VLOOKUP(C13,'Raw - Unemployment'!A:Q,15,FALSE))/100),100)),SUM(MROUND(SUM(SUM(VLOOKUP(C$17,'Raw - Unemployment'!A:Q,16,FALSE)*VLOOKUP(C13,'Raw - Unemployment'!A:Q,15,FALSE))/100),100)-MROUND(SUM(SUM(VLOOKUP(C13,'Raw - Unemployment'!A:Q,16,FALSE)*VLOOKUP(C13,'Raw - Unemployment'!A:Q,15,FALSE))/100),100))))))))</f>
        <v>-3500</v>
      </c>
    </row>
    <row r="14" spans="2:12" s="137" customFormat="1" ht="19.5" customHeight="1">
      <c r="B14" s="216" t="s">
        <v>153</v>
      </c>
      <c r="C14" s="216" t="str">
        <f>IF(C$6="LGBF Family Group 1",Lookups!I35,IF(C$6="LGBF Family Group 2",Lookups!J35,IF(C$6="LGBF Family Group 3",Lookups!K35,Lookups!L35)))</f>
        <v>Aberdeenshire</v>
      </c>
      <c r="D14" s="217">
        <f>IF(VLOOKUP($C14,'Raw - Unemployment'!$A:$Q,4,FALSE)="","-",(VLOOKUP($C14,'Raw - Unemployment'!$A:$Q,4,FALSE)))</f>
        <v>2.7</v>
      </c>
      <c r="E14" s="217">
        <f>IF(VLOOKUP($C14,'Raw - Unemployment'!$A:$Q,8,FALSE)="","-",(VLOOKUP($C14,'Raw - Unemployment'!$A:$Q,8,FALSE)))</f>
        <v>4.5</v>
      </c>
      <c r="F14" s="217">
        <f>IF(VLOOKUP($C14,'Raw - Unemployment'!$A:$Q,12,FALSE)="","-",(VLOOKUP($C14,'Raw - Unemployment'!$A:$Q,12,FALSE)))</f>
        <v>5.0999999999999996</v>
      </c>
      <c r="G14" s="217">
        <f>IF(VLOOKUP($C14,'Raw - Unemployment'!$A:$Q,16,FALSE)="","-",(VLOOKUP($C14,'Raw - Unemployment'!$A:$Q,16,FALSE)))</f>
        <v>1.5</v>
      </c>
      <c r="H14" s="218">
        <f>IF(VLOOKUP($C14,'Raw - Unemployment'!$A:$Q,14,FALSE)="","-",(VLOOKUP($C14,'Raw - Unemployment'!$A:$Q,14,FALSE)))</f>
        <v>2100</v>
      </c>
      <c r="I14" s="219">
        <f t="shared" si="1"/>
        <v>-1.2000000000000002</v>
      </c>
      <c r="J14" s="220">
        <f>IFERROR(IF(I14="-","-",SUM(VLOOKUP(C14,'Raw - Unemployment'!A:Q,14,FALSE)-VLOOKUP(C14,'Raw - Unemployment'!A:Q,2,FALSE))),"-")</f>
        <v>-1600</v>
      </c>
      <c r="K14" s="221">
        <f t="shared" si="0"/>
        <v>-0.5</v>
      </c>
      <c r="L14" s="222">
        <f>IF(K14="-","-",IF(K14=""," ",IF($K$5="LGBF Family Group Average",SUM(MROUND(SUM(SUM(VLOOKUP(C$18,'Raw - Unemployment'!A:Q,16,FALSE)*VLOOKUP(C14,'Raw - Unemployment'!A:Q,15,FALSE))/100),100)-MROUND(SUM(SUM(VLOOKUP(C14,'Raw - Unemployment'!A:Q,16,FALSE)*VLOOKUP(C14,'Raw - Unemployment'!A:Q,15,FALSE))/100),100)),IF($K$5="City Region Comparator",SUM(MROUND(SUM(SUM(VLOOKUP(C$19,'Raw - Unemployment'!A:Q,16,FALSE)*VLOOKUP(C14,'Raw - Unemployment'!A:Q,15,FALSE))/100),100)-MROUND(SUM(SUM(VLOOKUP(C14,'Raw - Unemployment'!A:Q,16,FALSE)*VLOOKUP(C14,'Raw - Unemployment'!A:Q,15,FALSE))/100),100)),IF($K$5="Scotland",SUM(MROUND(SUM(SUM(VLOOKUP(C$20,'Raw - Unemployment'!A:Q,16,FALSE)*VLOOKUP(C14,'Raw - Unemployment'!A:Q,15,FALSE))/100),100)-MROUND(SUM(SUM(VLOOKUP(C14,'Raw - Unemployment'!A:Q,16,FALSE)*VLOOKUP(C14,'Raw - Unemployment'!A:Q,15,FALSE))/100),100)),IF($K$5="United Kingdom",SUM(MROUND(SUM(SUM(VLOOKUP(C$21,'Raw - Unemployment'!A:Q,16,FALSE)*VLOOKUP(C14,'Raw - Unemployment'!A:Q,15,FALSE))/100),100)-MROUND(SUM(SUM(VLOOKUP(C14,'Raw - Unemployment'!A:Q,16,FALSE)*VLOOKUP(C14,'Raw - Unemployment'!A:Q,15,FALSE))/100),100)),SUM(MROUND(SUM(SUM(VLOOKUP(C$17,'Raw - Unemployment'!A:Q,16,FALSE)*VLOOKUP(C14,'Raw - Unemployment'!A:Q,15,FALSE))/100),100)-MROUND(SUM(SUM(VLOOKUP(C14,'Raw - Unemployment'!A:Q,16,FALSE)*VLOOKUP(C14,'Raw - Unemployment'!A:Q,15,FALSE))/100),100))))))))</f>
        <v>-700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Unemployment'!$A$9:$A$40,MATCH(MIN('Raw - Unemployment'!P9:P40),'Raw - Unemployment'!P9:P40,0))</f>
        <v>Renfrewshire</v>
      </c>
      <c r="D17" s="217">
        <f>VLOOKUP($C17,'Raw - Unemployment'!$A:$Q,4,FALSE)</f>
        <v>4.5999999999999996</v>
      </c>
      <c r="E17" s="217">
        <f>VLOOKUP($C17,'Raw - Unemployment'!$A:$Q,8,FALSE)</f>
        <v>3.9</v>
      </c>
      <c r="F17" s="217">
        <f>VLOOKUP($C17,'Raw - Unemployment'!$A:$Q,12,FALSE)</f>
        <v>3.8</v>
      </c>
      <c r="G17" s="217">
        <f>MIN('Raw - Unemployment'!P9:P40)</f>
        <v>1</v>
      </c>
      <c r="H17" s="218">
        <f>VLOOKUP(C17,'Raw - Unemployment'!A:Q,14,FALSE)</f>
        <v>900</v>
      </c>
      <c r="I17" s="219">
        <f t="shared" ref="I17" si="2">IFERROR(IF(G17="-","-",SUM(G17-D17)),"-")</f>
        <v>-3.5999999999999996</v>
      </c>
      <c r="J17" s="220">
        <f>IFERROR(IF(I17="-","-",SUM(VLOOKUP(C17,'Raw - Unemployment'!A:Q,14,FALSE)-VLOOKUP(C17,'Raw - Unemployment'!A:Q,2,FALSE))),"-")</f>
        <v>-3300</v>
      </c>
    </row>
    <row r="18" spans="2:12" s="137" customFormat="1" ht="19.5" customHeight="1">
      <c r="B18" s="226" t="s">
        <v>271</v>
      </c>
      <c r="C18" s="227" t="s">
        <v>246</v>
      </c>
      <c r="D18" s="217">
        <f>VLOOKUP($C18,'Raw - Unemployment'!$A:$Q,4,FALSE)</f>
        <v>2.7743064233941515</v>
      </c>
      <c r="E18" s="217">
        <f>VLOOKUP($C18,'Raw - Unemployment'!$A:$Q,8,FALSE)</f>
        <v>4.5110821382007824</v>
      </c>
      <c r="F18" s="217">
        <f>VLOOKUP($C18,'Raw - Unemployment'!$A:$Q,12,FALSE)</f>
        <v>4.3917213528520946</v>
      </c>
      <c r="G18" s="217">
        <f>VLOOKUP($C18,'Raw - Unemployment'!$A:$Q,16,FALSE)</f>
        <v>2.3108291798821932</v>
      </c>
      <c r="H18" s="218">
        <f>VLOOKUP(C18,'Raw - Unemployment'!A:Q,14,FALSE)</f>
        <v>10200</v>
      </c>
      <c r="I18" s="219">
        <f t="shared" ref="I18:I21" si="3">IFERROR(IF(G18="-","-",SUM(G18-D18)),"-")</f>
        <v>-0.46347724351195829</v>
      </c>
      <c r="J18" s="220">
        <f>IFERROR(IF(I18="-","-",SUM(VLOOKUP(C18,'Raw - Unemployment'!A:Q,14,FALSE)-VLOOKUP(C18,'Raw - Unemployment'!A:Q,2,FALSE))),"-")</f>
        <v>-900</v>
      </c>
    </row>
    <row r="19" spans="2:12" s="137" customFormat="1" ht="19.5" customHeight="1">
      <c r="B19" s="226" t="s">
        <v>270</v>
      </c>
      <c r="C19" s="216" t="s">
        <v>48</v>
      </c>
      <c r="D19" s="217">
        <f>VLOOKUP($C19,'Raw - Unemployment'!$A:$Q,4,FALSE)</f>
        <v>4.5999999999999996</v>
      </c>
      <c r="E19" s="217">
        <f>VLOOKUP($C19,'Raw - Unemployment'!$A:$Q,8,FALSE)</f>
        <v>3.8</v>
      </c>
      <c r="F19" s="217">
        <f>VLOOKUP($C19,'Raw - Unemployment'!$A:$Q,12,FALSE)</f>
        <v>3.1</v>
      </c>
      <c r="G19" s="217">
        <f>VLOOKUP($C19,'Raw - Unemployment'!$A:$Q,16,FALSE)</f>
        <v>3.2</v>
      </c>
      <c r="H19" s="218">
        <f>VLOOKUP(C19,'Raw - Unemployment'!A:Q,14,FALSE)</f>
        <v>28300</v>
      </c>
      <c r="I19" s="219">
        <f t="shared" si="3"/>
        <v>-1.3999999999999995</v>
      </c>
      <c r="J19" s="220">
        <f>IFERROR(IF(I19="-","-",SUM(VLOOKUP(C19,'Raw - Unemployment'!A:Q,14,FALSE)-VLOOKUP(C19,'Raw - Unemployment'!A:Q,2,FALSE))),"-")</f>
        <v>-13300</v>
      </c>
    </row>
    <row r="20" spans="2:12" s="137" customFormat="1" ht="19.5" customHeight="1">
      <c r="B20" s="226" t="s">
        <v>164</v>
      </c>
      <c r="C20" s="216" t="s">
        <v>46</v>
      </c>
      <c r="D20" s="217">
        <f>VLOOKUP($C20,'Raw - Unemployment'!$A:$Q,4,FALSE)</f>
        <v>4.4000000000000004</v>
      </c>
      <c r="E20" s="217">
        <f>VLOOKUP($C20,'Raw - Unemployment'!$A:$Q,8,FALSE)</f>
        <v>4</v>
      </c>
      <c r="F20" s="217">
        <f>VLOOKUP($C20,'Raw - Unemployment'!$A:$Q,12,FALSE)</f>
        <v>3.4</v>
      </c>
      <c r="G20" s="217">
        <f>VLOOKUP($C20,'Raw - Unemployment'!$A:$Q,16,FALSE)</f>
        <v>3.6</v>
      </c>
      <c r="H20" s="218">
        <f>VLOOKUP(C20,'Raw - Unemployment'!A:Q,14,FALSE)</f>
        <v>95100</v>
      </c>
      <c r="I20" s="219">
        <f t="shared" si="3"/>
        <v>-0.80000000000000027</v>
      </c>
      <c r="J20" s="220">
        <f>IFERROR(IF(I20="-","-",SUM(VLOOKUP(C20,'Raw - Unemployment'!A:Q,14,FALSE)-VLOOKUP(C20,'Raw - Unemployment'!A:Q,2,FALSE))),"-")</f>
        <v>-21400</v>
      </c>
    </row>
    <row r="21" spans="2:12" ht="19.5" customHeight="1">
      <c r="B21" s="188" t="s">
        <v>164</v>
      </c>
      <c r="C21" s="183" t="s">
        <v>47</v>
      </c>
      <c r="D21" s="184">
        <f>VLOOKUP($C21,'Raw - Unemployment'!$A:$Q,4,FALSE)</f>
        <v>4.7</v>
      </c>
      <c r="E21" s="184">
        <f>VLOOKUP($C21,'Raw - Unemployment'!$A:$Q,8,FALSE)</f>
        <v>4.5</v>
      </c>
      <c r="F21" s="184">
        <f>VLOOKUP($C21,'Raw - Unemployment'!$A:$Q,12,FALSE)</f>
        <v>3.6</v>
      </c>
      <c r="G21" s="184">
        <f>VLOOKUP($C21,'Raw - Unemployment'!$A:$Q,16,FALSE)</f>
        <v>3.8</v>
      </c>
      <c r="H21" s="185">
        <f>VLOOKUP(C21,'Raw - Unemployment'!A:Q,14,FALSE)</f>
        <v>1232300</v>
      </c>
      <c r="I21" s="219">
        <f t="shared" si="3"/>
        <v>-0.90000000000000036</v>
      </c>
      <c r="J21" s="220">
        <f>IFERROR(IF(I21="-","-",SUM(VLOOKUP(C21,'Raw - Unemployment'!A:Q,14,FALSE)-VLOOKUP(C21,'Raw - Unemployment'!A:Q,2,FALSE))),"-")</f>
        <v>-306500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O3L/RT4PCO2+t3y5jVx1YH1YBDim11VvyI5aJRmYt4TG9uepnVtTgYBHQChIjXj4rqjKVVRCYVt2mwNX4UJJew==" saltValue="XiRjenA1lCNU1+ySUu2RRQ==" spinCount="100000" sheet="1" sort="0"/>
  <mergeCells count="4">
    <mergeCell ref="K4:L4"/>
    <mergeCell ref="I5:J5"/>
    <mergeCell ref="K5:L5"/>
    <mergeCell ref="F2:G2"/>
  </mergeCells>
  <hyperlinks>
    <hyperlink ref="F2:G2" location="'Index RAG'!A1" display="Return to Index RAG" xr:uid="{00000000-0004-0000-1100-000001000000}"/>
    <hyperlink ref="C3" r:id="rId1" xr:uid="{39D5D15B-804E-46C7-A936-73041E7D5EF7}"/>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3CAF9C8-C180-4989-BE15-9BC30CBAECF1}">
          <x14:formula1>
            <xm:f>Lookups!$B$27:$E$27</xm:f>
          </x14:formula1>
          <xm:sqref>C6</xm:sqref>
        </x14:dataValidation>
        <x14:dataValidation type="list" allowBlank="1" showInputMessage="1" showErrorMessage="1" xr:uid="{A2E084B3-375E-485E-A5D8-5BFEA9450F95}">
          <x14:formula1>
            <xm:f>Lookups!$B$36:$E$36</xm:f>
          </x14:formula1>
          <xm:sqref>C18</xm:sqref>
        </x14:dataValidation>
        <x14:dataValidation type="list" allowBlank="1" showInputMessage="1" showErrorMessage="1" xr:uid="{A8725C25-1F9E-47CE-A788-2E39835F9A11}">
          <x14:formula1>
            <xm:f>Lookups!$B$9:$B$13</xm:f>
          </x14:formula1>
          <xm:sqref>K5:L5</xm:sqref>
        </x14:dataValidation>
        <x14:dataValidation type="list" allowBlank="1" showInputMessage="1" showErrorMessage="1" xr:uid="{591A5DC9-B068-4020-9750-10AB7108558A}">
          <x14:formula1>
            <xm:f>Lookups!$Q$3:$Q$7</xm:f>
          </x14:formula1>
          <xm:sqref>C19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Employment in low pay sectors (%) - LGBF Family Group 1</v>
      </c>
      <c r="D1" s="170" t="s">
        <v>290</v>
      </c>
    </row>
    <row r="2" spans="2:12" ht="12.75">
      <c r="B2" s="171" t="s">
        <v>49</v>
      </c>
      <c r="C2" s="172" t="s">
        <v>180</v>
      </c>
      <c r="F2" s="467" t="s">
        <v>216</v>
      </c>
      <c r="G2" s="468"/>
    </row>
    <row r="3" spans="2:12" ht="12.75">
      <c r="B3" s="171" t="s">
        <v>50</v>
      </c>
      <c r="C3" s="309" t="s">
        <v>364</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f>VLOOKUP($C7,'Raw - Low Pay Sectors'!$A:$Q,4,FALSE)</f>
        <v>22.7</v>
      </c>
      <c r="E7" s="217">
        <f>VLOOKUP($C7,'Raw - Low Pay Sectors'!$A:$Q,8,FALSE)</f>
        <v>20.8</v>
      </c>
      <c r="F7" s="217">
        <f>VLOOKUP($C7,'Raw - Low Pay Sectors'!$A:$Q,12,FALSE)</f>
        <v>25</v>
      </c>
      <c r="G7" s="217">
        <f>VLOOKUP($C7,'Raw - Low Pay Sectors'!$A:$Q,16,FALSE)</f>
        <v>25</v>
      </c>
      <c r="H7" s="218">
        <f>VLOOKUP(C7,'Raw - Low Pay Sectors'!A:Q,14,FALSE)</f>
        <v>3000</v>
      </c>
      <c r="I7" s="219">
        <f>IFERROR(SUM(G7-D7),"-")</f>
        <v>2.3000000000000007</v>
      </c>
      <c r="J7" s="220">
        <f>IFERROR(SUM(VLOOKUP(C7,'Raw - Low Pay Sectors'!A:Q,14,FALSE)-VLOOKUP(C7,'Raw - Low Pay Sectors'!A:Q,2,FALSE)),"-")</f>
        <v>500</v>
      </c>
      <c r="K7" s="221">
        <f t="shared" ref="K7:K14" si="0">IF(G7="-","-",IF(IF($K$5="City Region Comparator",SUM(G$19-G7),IF($K$5="LGBF Family Group Average",SUM(G$18-G7),IF($K$5="Scotland",SUM(G$20-G7),IF($K$5="Great Britain",SUM(G$21-G7),SUM(G$17-G7)))))&gt;=0,"",IF($K$5="City Region Comparator",SUM(G$19-G7),IF($K$5="LGBF Family Group Average",SUM(G$18-G7),IF($K$5="Scotland",SUM(G$20-G7),IF($K$5="Great Britain",SUM(G$21-G7),SUM(G$17-G7)))))))</f>
        <v>-4.1999999999999993</v>
      </c>
      <c r="L7" s="222">
        <f>IF(K7="-","-",IF(K7=""," ",IF($K$5="LGBF Family Group Average",SUM(MROUND(SUM(SUM(VLOOKUP(C$18,'Raw - Low Pay Sectors'!A:Q,16,FALSE)*VLOOKUP(C7,'Raw - Low Pay Sectors'!A:Q,15,FALSE))/100),100)-MROUND(SUM(SUM(VLOOKUP(C7,'Raw - Low Pay Sectors'!A:Q,16,FALSE)*VLOOKUP(C7,'Raw - Low Pay Sectors'!A:Q,15,FALSE))/100),100)),IF($K$5="City Region Comparator",SUM(MROUND(SUM(SUM(VLOOKUP(C$19,'Raw - Low Pay Sectors'!A:Q,16,FALSE)*VLOOKUP(C7,'Raw - Low Pay Sectors'!A:Q,15,FALSE))/100),100)-MROUND(SUM(SUM(VLOOKUP(C7,'Raw - Low Pay Sectors'!A:Q,16,FALSE)*VLOOKUP(C7,'Raw - Low Pay Sectors'!A:Q,15,FALSE))/100),100)),IF($K$5="Scotland",SUM(MROUND(SUM(SUM(VLOOKUP(C$20,'Raw - Low Pay Sectors'!A:Q,16,FALSE)*VLOOKUP(C7,'Raw - Low Pay Sectors'!A:Q,15,FALSE))/100),100)-MROUND(SUM(SUM(VLOOKUP(C7,'Raw - Low Pay Sectors'!A:Q,16,FALSE)*VLOOKUP(C7,'Raw - Low Pay Sectors'!A:Q,15,FALSE))/100),100)),IF($K$5="Great Britain",SUM(MROUND(SUM(SUM(VLOOKUP(C$21,'Raw - Low Pay Sectors'!A:Q,16,FALSE)*VLOOKUP(C7,'Raw - Low Pay Sectors'!A:Q,15,FALSE))/100),100)-MROUND(SUM(SUM(VLOOKUP(C7,'Raw - Low Pay Sectors'!A:Q,16,FALSE)*VLOOKUP(C7,'Raw - Low Pay Sectors'!A:Q,15,FALSE))/100),100)),SUM(MROUND(SUM(SUM(VLOOKUP(C$17,'Raw - Low Pay Sectors'!A:Q,16,FALSE)*VLOOKUP(C7,'Raw - Low Pay Sectors'!A:Q,15,FALSE))/100),100)-MROUND(SUM(SUM(VLOOKUP(C7,'Raw - Low Pay Sectors'!A:Q,16,FALSE)*VLOOKUP(C7,'Raw - Low Pay Sectors'!A:Q,15,FALSE))/100),100))))))))</f>
        <v>-500</v>
      </c>
    </row>
    <row r="8" spans="2:12" s="137" customFormat="1" ht="19.5" customHeight="1">
      <c r="B8" s="216" t="s">
        <v>153</v>
      </c>
      <c r="C8" s="216" t="str">
        <f>IF(C$6="LGBF Family Group 1",Lookups!I29,IF(C$6="LGBF Family Group 2",Lookups!J29,IF(C$6="LGBF Family Group 3",Lookups!K29,Lookups!L29)))</f>
        <v>Argyll and Bute</v>
      </c>
      <c r="D8" s="217">
        <f>VLOOKUP($C8,'Raw - Low Pay Sectors'!$A:$Q,4,FALSE)</f>
        <v>32.4</v>
      </c>
      <c r="E8" s="217">
        <f>VLOOKUP($C8,'Raw - Low Pay Sectors'!$A:$Q,8,FALSE)</f>
        <v>32.4</v>
      </c>
      <c r="F8" s="217">
        <f>VLOOKUP($C8,'Raw - Low Pay Sectors'!$A:$Q,12,FALSE)</f>
        <v>35.1</v>
      </c>
      <c r="G8" s="217">
        <f>VLOOKUP($C8,'Raw - Low Pay Sectors'!$A:$Q,16,FALSE)</f>
        <v>33.299999999999997</v>
      </c>
      <c r="H8" s="218">
        <f>VLOOKUP(C8,'Raw - Low Pay Sectors'!A:Q,14,FALSE)</f>
        <v>12000</v>
      </c>
      <c r="I8" s="219">
        <f t="shared" ref="I8:I14" si="1">IFERROR(SUM(G8-D8),"-")</f>
        <v>0.89999999999999858</v>
      </c>
      <c r="J8" s="220">
        <f>IFERROR(SUM(VLOOKUP(C8,'Raw - Low Pay Sectors'!A:Q,14,FALSE)-VLOOKUP(C8,'Raw - Low Pay Sectors'!A:Q,2,FALSE)),"-")</f>
        <v>1000</v>
      </c>
      <c r="K8" s="221">
        <f t="shared" si="0"/>
        <v>-12.499999999999996</v>
      </c>
      <c r="L8" s="222">
        <f>IF(K8="-","-",IF(K8=""," ",IF($K$5="LGBF Family Group Average",SUM(MROUND(SUM(SUM(VLOOKUP(C$18,'Raw - Low Pay Sectors'!A:Q,16,FALSE)*VLOOKUP(C8,'Raw - Low Pay Sectors'!A:Q,15,FALSE))/100),100)-MROUND(SUM(SUM(VLOOKUP(C8,'Raw - Low Pay Sectors'!A:Q,16,FALSE)*VLOOKUP(C8,'Raw - Low Pay Sectors'!A:Q,15,FALSE))/100),100)),IF($K$5="City Region Comparator",SUM(MROUND(SUM(SUM(VLOOKUP(C$19,'Raw - Low Pay Sectors'!A:Q,16,FALSE)*VLOOKUP(C8,'Raw - Low Pay Sectors'!A:Q,15,FALSE))/100),100)-MROUND(SUM(SUM(VLOOKUP(C8,'Raw - Low Pay Sectors'!A:Q,16,FALSE)*VLOOKUP(C8,'Raw - Low Pay Sectors'!A:Q,15,FALSE))/100),100)),IF($K$5="Scotland",SUM(MROUND(SUM(SUM(VLOOKUP(C$20,'Raw - Low Pay Sectors'!A:Q,16,FALSE)*VLOOKUP(C8,'Raw - Low Pay Sectors'!A:Q,15,FALSE))/100),100)-MROUND(SUM(SUM(VLOOKUP(C8,'Raw - Low Pay Sectors'!A:Q,16,FALSE)*VLOOKUP(C8,'Raw - Low Pay Sectors'!A:Q,15,FALSE))/100),100)),IF($K$5="Great Britain",SUM(MROUND(SUM(SUM(VLOOKUP(C$21,'Raw - Low Pay Sectors'!A:Q,16,FALSE)*VLOOKUP(C8,'Raw - Low Pay Sectors'!A:Q,15,FALSE))/100),100)-MROUND(SUM(SUM(VLOOKUP(C8,'Raw - Low Pay Sectors'!A:Q,16,FALSE)*VLOOKUP(C8,'Raw - Low Pay Sectors'!A:Q,15,FALSE))/100),100)),SUM(MROUND(SUM(SUM(VLOOKUP(C$17,'Raw - Low Pay Sectors'!A:Q,16,FALSE)*VLOOKUP(C8,'Raw - Low Pay Sectors'!A:Q,15,FALSE))/100),100)-MROUND(SUM(SUM(VLOOKUP(C8,'Raw - Low Pay Sectors'!A:Q,16,FALSE)*VLOOKUP(C8,'Raw - Low Pay Sectors'!A:Q,15,FALSE))/100),100))))))))</f>
        <v>-4500</v>
      </c>
    </row>
    <row r="9" spans="2:12" s="137" customFormat="1" ht="19.5" customHeight="1">
      <c r="B9" s="216" t="s">
        <v>153</v>
      </c>
      <c r="C9" s="216" t="str">
        <f>IF(C$6="LGBF Family Group 1",Lookups!I30,IF(C$6="LGBF Family Group 2",Lookups!J30,IF(C$6="LGBF Family Group 3",Lookups!K30,Lookups!L30)))</f>
        <v>Shetland Islands</v>
      </c>
      <c r="D9" s="217">
        <f>VLOOKUP($C9,'Raw - Low Pay Sectors'!$A:$Q,4,FALSE)</f>
        <v>21.4</v>
      </c>
      <c r="E9" s="217">
        <f>VLOOKUP($C9,'Raw - Low Pay Sectors'!$A:$Q,8,FALSE)</f>
        <v>20</v>
      </c>
      <c r="F9" s="217">
        <f>VLOOKUP($C9,'Raw - Low Pay Sectors'!$A:$Q,12,FALSE)</f>
        <v>21.4</v>
      </c>
      <c r="G9" s="217">
        <f>VLOOKUP($C9,'Raw - Low Pay Sectors'!$A:$Q,16,FALSE)</f>
        <v>21.4</v>
      </c>
      <c r="H9" s="218">
        <f>VLOOKUP(C9,'Raw - Low Pay Sectors'!A:Q,14,FALSE)</f>
        <v>3000</v>
      </c>
      <c r="I9" s="219">
        <f t="shared" si="1"/>
        <v>0</v>
      </c>
      <c r="J9" s="220">
        <f>IFERROR(SUM(VLOOKUP(C9,'Raw - Low Pay Sectors'!A:Q,14,FALSE)-VLOOKUP(C9,'Raw - Low Pay Sectors'!A:Q,2,FALSE)),"-")</f>
        <v>0</v>
      </c>
      <c r="K9" s="221">
        <f t="shared" si="0"/>
        <v>-0.59999999999999787</v>
      </c>
      <c r="L9" s="222">
        <f>IF(K9="-","-",IF(K9=""," ",IF($K$5="LGBF Family Group Average",SUM(MROUND(SUM(SUM(VLOOKUP(C$18,'Raw - Low Pay Sectors'!A:Q,16,FALSE)*VLOOKUP(C9,'Raw - Low Pay Sectors'!A:Q,15,FALSE))/100),100)-MROUND(SUM(SUM(VLOOKUP(C9,'Raw - Low Pay Sectors'!A:Q,16,FALSE)*VLOOKUP(C9,'Raw - Low Pay Sectors'!A:Q,15,FALSE))/100),100)),IF($K$5="City Region Comparator",SUM(MROUND(SUM(SUM(VLOOKUP(C$19,'Raw - Low Pay Sectors'!A:Q,16,FALSE)*VLOOKUP(C9,'Raw - Low Pay Sectors'!A:Q,15,FALSE))/100),100)-MROUND(SUM(SUM(VLOOKUP(C9,'Raw - Low Pay Sectors'!A:Q,16,FALSE)*VLOOKUP(C9,'Raw - Low Pay Sectors'!A:Q,15,FALSE))/100),100)),IF($K$5="Scotland",SUM(MROUND(SUM(SUM(VLOOKUP(C$20,'Raw - Low Pay Sectors'!A:Q,16,FALSE)*VLOOKUP(C9,'Raw - Low Pay Sectors'!A:Q,15,FALSE))/100),100)-MROUND(SUM(SUM(VLOOKUP(C9,'Raw - Low Pay Sectors'!A:Q,16,FALSE)*VLOOKUP(C9,'Raw - Low Pay Sectors'!A:Q,15,FALSE))/100),100)),IF($K$5="Great Britain",SUM(MROUND(SUM(SUM(VLOOKUP(C$21,'Raw - Low Pay Sectors'!A:Q,16,FALSE)*VLOOKUP(C9,'Raw - Low Pay Sectors'!A:Q,15,FALSE))/100),100)-MROUND(SUM(SUM(VLOOKUP(C9,'Raw - Low Pay Sectors'!A:Q,16,FALSE)*VLOOKUP(C9,'Raw - Low Pay Sectors'!A:Q,15,FALSE))/100),100)),SUM(MROUND(SUM(SUM(VLOOKUP(C$17,'Raw - Low Pay Sectors'!A:Q,16,FALSE)*VLOOKUP(C9,'Raw - Low Pay Sectors'!A:Q,15,FALSE))/100),100)-MROUND(SUM(SUM(VLOOKUP(C9,'Raw - Low Pay Sectors'!A:Q,16,FALSE)*VLOOKUP(C9,'Raw - Low Pay Sectors'!A:Q,15,FALSE))/100),100))))))))</f>
        <v>-100</v>
      </c>
    </row>
    <row r="10" spans="2:12" s="137" customFormat="1" ht="19.5" customHeight="1">
      <c r="B10" s="216" t="s">
        <v>153</v>
      </c>
      <c r="C10" s="216" t="str">
        <f>IF(C$6="LGBF Family Group 1",Lookups!I31,IF(C$6="LGBF Family Group 2",Lookups!J31,IF(C$6="LGBF Family Group 3",Lookups!K31,Lookups!L31)))</f>
        <v>Highland</v>
      </c>
      <c r="D10" s="217">
        <f>VLOOKUP($C10,'Raw - Low Pay Sectors'!$A:$Q,4,FALSE)</f>
        <v>30.8</v>
      </c>
      <c r="E10" s="217">
        <f>VLOOKUP($C10,'Raw - Low Pay Sectors'!$A:$Q,8,FALSE)</f>
        <v>31.2</v>
      </c>
      <c r="F10" s="217">
        <f>VLOOKUP($C10,'Raw - Low Pay Sectors'!$A:$Q,12,FALSE)</f>
        <v>32.5</v>
      </c>
      <c r="G10" s="217">
        <f>VLOOKUP($C10,'Raw - Low Pay Sectors'!$A:$Q,16,FALSE)</f>
        <v>31.6</v>
      </c>
      <c r="H10" s="218">
        <f>VLOOKUP(C10,'Raw - Low Pay Sectors'!A:Q,14,FALSE)</f>
        <v>37000</v>
      </c>
      <c r="I10" s="219">
        <f t="shared" si="1"/>
        <v>0.80000000000000071</v>
      </c>
      <c r="J10" s="220">
        <f>IFERROR(SUM(VLOOKUP(C10,'Raw - Low Pay Sectors'!A:Q,14,FALSE)-VLOOKUP(C10,'Raw - Low Pay Sectors'!A:Q,2,FALSE)),"-")</f>
        <v>4000</v>
      </c>
      <c r="K10" s="221">
        <f t="shared" si="0"/>
        <v>-10.8</v>
      </c>
      <c r="L10" s="222">
        <f>IF(K10="-","-",IF(K10=""," ",IF($K$5="LGBF Family Group Average",SUM(MROUND(SUM(SUM(VLOOKUP(C$18,'Raw - Low Pay Sectors'!A:Q,16,FALSE)*VLOOKUP(C10,'Raw - Low Pay Sectors'!A:Q,15,FALSE))/100),100)-MROUND(SUM(SUM(VLOOKUP(C10,'Raw - Low Pay Sectors'!A:Q,16,FALSE)*VLOOKUP(C10,'Raw - Low Pay Sectors'!A:Q,15,FALSE))/100),100)),IF($K$5="City Region Comparator",SUM(MROUND(SUM(SUM(VLOOKUP(C$19,'Raw - Low Pay Sectors'!A:Q,16,FALSE)*VLOOKUP(C10,'Raw - Low Pay Sectors'!A:Q,15,FALSE))/100),100)-MROUND(SUM(SUM(VLOOKUP(C10,'Raw - Low Pay Sectors'!A:Q,16,FALSE)*VLOOKUP(C10,'Raw - Low Pay Sectors'!A:Q,15,FALSE))/100),100)),IF($K$5="Scotland",SUM(MROUND(SUM(SUM(VLOOKUP(C$20,'Raw - Low Pay Sectors'!A:Q,16,FALSE)*VLOOKUP(C10,'Raw - Low Pay Sectors'!A:Q,15,FALSE))/100),100)-MROUND(SUM(SUM(VLOOKUP(C10,'Raw - Low Pay Sectors'!A:Q,16,FALSE)*VLOOKUP(C10,'Raw - Low Pay Sectors'!A:Q,15,FALSE))/100),100)),IF($K$5="Great Britain",SUM(MROUND(SUM(SUM(VLOOKUP(C$21,'Raw - Low Pay Sectors'!A:Q,16,FALSE)*VLOOKUP(C10,'Raw - Low Pay Sectors'!A:Q,15,FALSE))/100),100)-MROUND(SUM(SUM(VLOOKUP(C10,'Raw - Low Pay Sectors'!A:Q,16,FALSE)*VLOOKUP(C10,'Raw - Low Pay Sectors'!A:Q,15,FALSE))/100),100)),SUM(MROUND(SUM(SUM(VLOOKUP(C$17,'Raw - Low Pay Sectors'!A:Q,16,FALSE)*VLOOKUP(C10,'Raw - Low Pay Sectors'!A:Q,15,FALSE))/100),100)-MROUND(SUM(SUM(VLOOKUP(C10,'Raw - Low Pay Sectors'!A:Q,16,FALSE)*VLOOKUP(C10,'Raw - Low Pay Sectors'!A:Q,15,FALSE))/100),100))))))))</f>
        <v>-12600</v>
      </c>
    </row>
    <row r="11" spans="2:12" s="137" customFormat="1" ht="19.5" customHeight="1">
      <c r="B11" s="216" t="s">
        <v>153</v>
      </c>
      <c r="C11" s="216" t="str">
        <f>IF(C$6="LGBF Family Group 1",Lookups!I32,IF(C$6="LGBF Family Group 2",Lookups!J32,IF(C$6="LGBF Family Group 3",Lookups!K32,Lookups!L32)))</f>
        <v>Orkney Islands</v>
      </c>
      <c r="D11" s="217">
        <f>VLOOKUP($C11,'Raw - Low Pay Sectors'!$A:$Q,4,FALSE)</f>
        <v>22.7</v>
      </c>
      <c r="E11" s="217">
        <f>VLOOKUP($C11,'Raw - Low Pay Sectors'!$A:$Q,8,FALSE)</f>
        <v>20.8</v>
      </c>
      <c r="F11" s="217">
        <f>VLOOKUP($C11,'Raw - Low Pay Sectors'!$A:$Q,12,FALSE)</f>
        <v>22.7</v>
      </c>
      <c r="G11" s="217">
        <f>VLOOKUP($C11,'Raw - Low Pay Sectors'!$A:$Q,16,FALSE)</f>
        <v>20.8</v>
      </c>
      <c r="H11" s="218">
        <f>VLOOKUP(C11,'Raw - Low Pay Sectors'!A:Q,14,FALSE)</f>
        <v>2500</v>
      </c>
      <c r="I11" s="219">
        <f t="shared" si="1"/>
        <v>-1.8999999999999986</v>
      </c>
      <c r="J11" s="220">
        <f>IFERROR(SUM(VLOOKUP(C11,'Raw - Low Pay Sectors'!A:Q,14,FALSE)-VLOOKUP(C11,'Raw - Low Pay Sectors'!A:Q,2,FALSE)),"-")</f>
        <v>0</v>
      </c>
      <c r="K11" s="221" t="str">
        <f t="shared" si="0"/>
        <v/>
      </c>
      <c r="L11" s="222" t="str">
        <f>IF(K11="-","-",IF(K11=""," ",IF($K$5="LGBF Family Group Average",SUM(MROUND(SUM(SUM(VLOOKUP(C$18,'Raw - Low Pay Sectors'!A:Q,16,FALSE)*VLOOKUP(C11,'Raw - Low Pay Sectors'!A:Q,15,FALSE))/100),100)-MROUND(SUM(SUM(VLOOKUP(C11,'Raw - Low Pay Sectors'!A:Q,16,FALSE)*VLOOKUP(C11,'Raw - Low Pay Sectors'!A:Q,15,FALSE))/100),100)),IF($K$5="City Region Comparator",SUM(MROUND(SUM(SUM(VLOOKUP(C$19,'Raw - Low Pay Sectors'!A:Q,16,FALSE)*VLOOKUP(C11,'Raw - Low Pay Sectors'!A:Q,15,FALSE))/100),100)-MROUND(SUM(SUM(VLOOKUP(C11,'Raw - Low Pay Sectors'!A:Q,16,FALSE)*VLOOKUP(C11,'Raw - Low Pay Sectors'!A:Q,15,FALSE))/100),100)),IF($K$5="Scotland",SUM(MROUND(SUM(SUM(VLOOKUP(C$20,'Raw - Low Pay Sectors'!A:Q,16,FALSE)*VLOOKUP(C11,'Raw - Low Pay Sectors'!A:Q,15,FALSE))/100),100)-MROUND(SUM(SUM(VLOOKUP(C11,'Raw - Low Pay Sectors'!A:Q,16,FALSE)*VLOOKUP(C11,'Raw - Low Pay Sectors'!A:Q,15,FALSE))/100),100)),IF($K$5="Great Britain",SUM(MROUND(SUM(SUM(VLOOKUP(C$21,'Raw - Low Pay Sectors'!A:Q,16,FALSE)*VLOOKUP(C11,'Raw - Low Pay Sectors'!A:Q,15,FALSE))/100),100)-MROUND(SUM(SUM(VLOOKUP(C11,'Raw - Low Pay Sectors'!A:Q,16,FALSE)*VLOOKUP(C11,'Raw - Low Pay Sectors'!A:Q,15,FALSE))/100),100)),SUM(MROUND(SUM(SUM(VLOOKUP(C$17,'Raw - Low Pay Sectors'!A:Q,16,FALSE)*VLOOKUP(C11,'Raw - Low Pay Sectors'!A:Q,15,FALSE))/100),100)-MROUND(SUM(SUM(VLOOKUP(C11,'Raw - Low Pay Sectors'!A:Q,16,FALSE)*VLOOKUP(C11,'Raw - Low Pay Sectors'!A:Q,15,FALSE))/100),100))))))))</f>
        <v xml:space="preserve"> </v>
      </c>
    </row>
    <row r="12" spans="2:12" s="137" customFormat="1" ht="19.5" customHeight="1">
      <c r="B12" s="216" t="s">
        <v>153</v>
      </c>
      <c r="C12" s="216" t="str">
        <f>IF(C$6="LGBF Family Group 1",Lookups!I33,IF(C$6="LGBF Family Group 2",Lookups!J33,IF(C$6="LGBF Family Group 3",Lookups!K33,Lookups!L33)))</f>
        <v>Scottish Borders</v>
      </c>
      <c r="D12" s="217">
        <f>VLOOKUP($C12,'Raw - Low Pay Sectors'!$A:$Q,4,FALSE)</f>
        <v>26.2</v>
      </c>
      <c r="E12" s="217">
        <f>VLOOKUP($C12,'Raw - Low Pay Sectors'!$A:$Q,8,FALSE)</f>
        <v>26.2</v>
      </c>
      <c r="F12" s="217">
        <f>VLOOKUP($C12,'Raw - Low Pay Sectors'!$A:$Q,12,FALSE)</f>
        <v>27.9</v>
      </c>
      <c r="G12" s="217">
        <f>VLOOKUP($C12,'Raw - Low Pay Sectors'!$A:$Q,16,FALSE)</f>
        <v>27.3</v>
      </c>
      <c r="H12" s="218">
        <f>VLOOKUP(C12,'Raw - Low Pay Sectors'!A:Q,14,FALSE)</f>
        <v>12000</v>
      </c>
      <c r="I12" s="219">
        <f t="shared" si="1"/>
        <v>1.1000000000000014</v>
      </c>
      <c r="J12" s="220">
        <f>IFERROR(SUM(VLOOKUP(C12,'Raw - Low Pay Sectors'!A:Q,14,FALSE)-VLOOKUP(C12,'Raw - Low Pay Sectors'!A:Q,2,FALSE)),"-")</f>
        <v>1000</v>
      </c>
      <c r="K12" s="221">
        <f t="shared" si="0"/>
        <v>-6.5</v>
      </c>
      <c r="L12" s="222">
        <f>IF(K12="-","-",IF(K12=""," ",IF($K$5="LGBF Family Group Average",SUM(MROUND(SUM(SUM(VLOOKUP(C$18,'Raw - Low Pay Sectors'!A:Q,16,FALSE)*VLOOKUP(C12,'Raw - Low Pay Sectors'!A:Q,15,FALSE))/100),100)-MROUND(SUM(SUM(VLOOKUP(C12,'Raw - Low Pay Sectors'!A:Q,16,FALSE)*VLOOKUP(C12,'Raw - Low Pay Sectors'!A:Q,15,FALSE))/100),100)),IF($K$5="City Region Comparator",SUM(MROUND(SUM(SUM(VLOOKUP(C$19,'Raw - Low Pay Sectors'!A:Q,16,FALSE)*VLOOKUP(C12,'Raw - Low Pay Sectors'!A:Q,15,FALSE))/100),100)-MROUND(SUM(SUM(VLOOKUP(C12,'Raw - Low Pay Sectors'!A:Q,16,FALSE)*VLOOKUP(C12,'Raw - Low Pay Sectors'!A:Q,15,FALSE))/100),100)),IF($K$5="Scotland",SUM(MROUND(SUM(SUM(VLOOKUP(C$20,'Raw - Low Pay Sectors'!A:Q,16,FALSE)*VLOOKUP(C12,'Raw - Low Pay Sectors'!A:Q,15,FALSE))/100),100)-MROUND(SUM(SUM(VLOOKUP(C12,'Raw - Low Pay Sectors'!A:Q,16,FALSE)*VLOOKUP(C12,'Raw - Low Pay Sectors'!A:Q,15,FALSE))/100),100)),IF($K$5="Great Britain",SUM(MROUND(SUM(SUM(VLOOKUP(C$21,'Raw - Low Pay Sectors'!A:Q,16,FALSE)*VLOOKUP(C12,'Raw - Low Pay Sectors'!A:Q,15,FALSE))/100),100)-MROUND(SUM(SUM(VLOOKUP(C12,'Raw - Low Pay Sectors'!A:Q,16,FALSE)*VLOOKUP(C12,'Raw - Low Pay Sectors'!A:Q,15,FALSE))/100),100)),SUM(MROUND(SUM(SUM(VLOOKUP(C$17,'Raw - Low Pay Sectors'!A:Q,16,FALSE)*VLOOKUP(C12,'Raw - Low Pay Sectors'!A:Q,15,FALSE))/100),100)-MROUND(SUM(SUM(VLOOKUP(C12,'Raw - Low Pay Sectors'!A:Q,16,FALSE)*VLOOKUP(C12,'Raw - Low Pay Sectors'!A:Q,15,FALSE))/100),100))))))))</f>
        <v>-2900</v>
      </c>
    </row>
    <row r="13" spans="2:12" s="137" customFormat="1" ht="19.5" customHeight="1">
      <c r="B13" s="216" t="s">
        <v>153</v>
      </c>
      <c r="C13" s="216" t="str">
        <f>IF(C$6="LGBF Family Group 1",Lookups!I34,IF(C$6="LGBF Family Group 2",Lookups!J34,IF(C$6="LGBF Family Group 3",Lookups!K34,Lookups!L34)))</f>
        <v>Dumfries and Galloway</v>
      </c>
      <c r="D13" s="217">
        <f>VLOOKUP($C13,'Raw - Low Pay Sectors'!$A:$Q,4,FALSE)</f>
        <v>28.6</v>
      </c>
      <c r="E13" s="217">
        <f>VLOOKUP($C13,'Raw - Low Pay Sectors'!$A:$Q,8,FALSE)</f>
        <v>27.6</v>
      </c>
      <c r="F13" s="217">
        <f>VLOOKUP($C13,'Raw - Low Pay Sectors'!$A:$Q,12,FALSE)</f>
        <v>28.8</v>
      </c>
      <c r="G13" s="217">
        <f>VLOOKUP($C13,'Raw - Low Pay Sectors'!$A:$Q,16,FALSE)</f>
        <v>30</v>
      </c>
      <c r="H13" s="218">
        <f>VLOOKUP(C13,'Raw - Low Pay Sectors'!A:Q,14,FALSE)</f>
        <v>18000</v>
      </c>
      <c r="I13" s="219">
        <f t="shared" si="1"/>
        <v>1.3999999999999986</v>
      </c>
      <c r="J13" s="220">
        <f>IFERROR(SUM(VLOOKUP(C13,'Raw - Low Pay Sectors'!A:Q,14,FALSE)-VLOOKUP(C13,'Raw - Low Pay Sectors'!A:Q,2,FALSE)),"-")</f>
        <v>2000</v>
      </c>
      <c r="K13" s="221">
        <f t="shared" si="0"/>
        <v>-9.1999999999999993</v>
      </c>
      <c r="L13" s="222">
        <f>IF(K13="-","-",IF(K13=""," ",IF($K$5="LGBF Family Group Average",SUM(MROUND(SUM(SUM(VLOOKUP(C$18,'Raw - Low Pay Sectors'!A:Q,16,FALSE)*VLOOKUP(C13,'Raw - Low Pay Sectors'!A:Q,15,FALSE))/100),100)-MROUND(SUM(SUM(VLOOKUP(C13,'Raw - Low Pay Sectors'!A:Q,16,FALSE)*VLOOKUP(C13,'Raw - Low Pay Sectors'!A:Q,15,FALSE))/100),100)),IF($K$5="City Region Comparator",SUM(MROUND(SUM(SUM(VLOOKUP(C$19,'Raw - Low Pay Sectors'!A:Q,16,FALSE)*VLOOKUP(C13,'Raw - Low Pay Sectors'!A:Q,15,FALSE))/100),100)-MROUND(SUM(SUM(VLOOKUP(C13,'Raw - Low Pay Sectors'!A:Q,16,FALSE)*VLOOKUP(C13,'Raw - Low Pay Sectors'!A:Q,15,FALSE))/100),100)),IF($K$5="Scotland",SUM(MROUND(SUM(SUM(VLOOKUP(C$20,'Raw - Low Pay Sectors'!A:Q,16,FALSE)*VLOOKUP(C13,'Raw - Low Pay Sectors'!A:Q,15,FALSE))/100),100)-MROUND(SUM(SUM(VLOOKUP(C13,'Raw - Low Pay Sectors'!A:Q,16,FALSE)*VLOOKUP(C13,'Raw - Low Pay Sectors'!A:Q,15,FALSE))/100),100)),IF($K$5="Great Britain",SUM(MROUND(SUM(SUM(VLOOKUP(C$21,'Raw - Low Pay Sectors'!A:Q,16,FALSE)*VLOOKUP(C13,'Raw - Low Pay Sectors'!A:Q,15,FALSE))/100),100)-MROUND(SUM(SUM(VLOOKUP(C13,'Raw - Low Pay Sectors'!A:Q,16,FALSE)*VLOOKUP(C13,'Raw - Low Pay Sectors'!A:Q,15,FALSE))/100),100)),SUM(MROUND(SUM(SUM(VLOOKUP(C$17,'Raw - Low Pay Sectors'!A:Q,16,FALSE)*VLOOKUP(C13,'Raw - Low Pay Sectors'!A:Q,15,FALSE))/100),100)-MROUND(SUM(SUM(VLOOKUP(C13,'Raw - Low Pay Sectors'!A:Q,16,FALSE)*VLOOKUP(C13,'Raw - Low Pay Sectors'!A:Q,15,FALSE))/100),100))))))))</f>
        <v>-5500</v>
      </c>
    </row>
    <row r="14" spans="2:12" s="137" customFormat="1" ht="19.5" customHeight="1">
      <c r="B14" s="216" t="s">
        <v>153</v>
      </c>
      <c r="C14" s="216" t="str">
        <f>IF(C$6="LGBF Family Group 1",Lookups!I35,IF(C$6="LGBF Family Group 2",Lookups!J35,IF(C$6="LGBF Family Group 3",Lookups!K35,Lookups!L35)))</f>
        <v>Aberdeenshire</v>
      </c>
      <c r="D14" s="217">
        <f>VLOOKUP($C14,'Raw - Low Pay Sectors'!$A:$Q,4,FALSE)</f>
        <v>24.8</v>
      </c>
      <c r="E14" s="217">
        <f>VLOOKUP($C14,'Raw - Low Pay Sectors'!$A:$Q,8,FALSE)</f>
        <v>26.2</v>
      </c>
      <c r="F14" s="217">
        <f>VLOOKUP($C14,'Raw - Low Pay Sectors'!$A:$Q,12,FALSE)</f>
        <v>25.5</v>
      </c>
      <c r="G14" s="217">
        <f>VLOOKUP($C14,'Raw - Low Pay Sectors'!$A:$Q,16,FALSE)</f>
        <v>26</v>
      </c>
      <c r="H14" s="218">
        <f>VLOOKUP(C14,'Raw - Low Pay Sectors'!A:Q,14,FALSE)</f>
        <v>27000</v>
      </c>
      <c r="I14" s="219">
        <f t="shared" si="1"/>
        <v>1.1999999999999993</v>
      </c>
      <c r="J14" s="220">
        <f>IFERROR(SUM(VLOOKUP(C14,'Raw - Low Pay Sectors'!A:Q,14,FALSE)-VLOOKUP(C14,'Raw - Low Pay Sectors'!A:Q,2,FALSE)),"-")</f>
        <v>2000</v>
      </c>
      <c r="K14" s="221">
        <f t="shared" si="0"/>
        <v>-5.1999999999999993</v>
      </c>
      <c r="L14" s="222">
        <f>IF(K14="-","-",IF(K14=""," ",IF($K$5="LGBF Family Group Average",SUM(MROUND(SUM(SUM(VLOOKUP(C$18,'Raw - Low Pay Sectors'!A:Q,16,FALSE)*VLOOKUP(C14,'Raw - Low Pay Sectors'!A:Q,15,FALSE))/100),100)-MROUND(SUM(SUM(VLOOKUP(C14,'Raw - Low Pay Sectors'!A:Q,16,FALSE)*VLOOKUP(C14,'Raw - Low Pay Sectors'!A:Q,15,FALSE))/100),100)),IF($K$5="City Region Comparator",SUM(MROUND(SUM(SUM(VLOOKUP(C$19,'Raw - Low Pay Sectors'!A:Q,16,FALSE)*VLOOKUP(C14,'Raw - Low Pay Sectors'!A:Q,15,FALSE))/100),100)-MROUND(SUM(SUM(VLOOKUP(C14,'Raw - Low Pay Sectors'!A:Q,16,FALSE)*VLOOKUP(C14,'Raw - Low Pay Sectors'!A:Q,15,FALSE))/100),100)),IF($K$5="Scotland",SUM(MROUND(SUM(SUM(VLOOKUP(C$20,'Raw - Low Pay Sectors'!A:Q,16,FALSE)*VLOOKUP(C14,'Raw - Low Pay Sectors'!A:Q,15,FALSE))/100),100)-MROUND(SUM(SUM(VLOOKUP(C14,'Raw - Low Pay Sectors'!A:Q,16,FALSE)*VLOOKUP(C14,'Raw - Low Pay Sectors'!A:Q,15,FALSE))/100),100)),IF($K$5="Great Britain",SUM(MROUND(SUM(SUM(VLOOKUP(C$21,'Raw - Low Pay Sectors'!A:Q,16,FALSE)*VLOOKUP(C14,'Raw - Low Pay Sectors'!A:Q,15,FALSE))/100),100)-MROUND(SUM(SUM(VLOOKUP(C14,'Raw - Low Pay Sectors'!A:Q,16,FALSE)*VLOOKUP(C14,'Raw - Low Pay Sectors'!A:Q,15,FALSE))/100),100)),SUM(MROUND(SUM(SUM(VLOOKUP(C$17,'Raw - Low Pay Sectors'!A:Q,16,FALSE)*VLOOKUP(C14,'Raw - Low Pay Sectors'!A:Q,15,FALSE))/100),100)-MROUND(SUM(SUM(VLOOKUP(C14,'Raw - Low Pay Sectors'!A:Q,16,FALSE)*VLOOKUP(C14,'Raw - Low Pay Sectors'!A:Q,15,FALSE))/100),100))))))))</f>
        <v>-5400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Low Pay Sectors'!$A$9:$A$41,MATCH(MIN('Raw - Low Pay Sectors'!P9:P41),'Raw - Low Pay Sectors'!P9:P41,0))</f>
        <v>Orkney Islands</v>
      </c>
      <c r="D17" s="217">
        <f>VLOOKUP($C17,'Raw - Low Pay Sectors'!$A:$Q,4,FALSE)</f>
        <v>22.7</v>
      </c>
      <c r="E17" s="217">
        <f>VLOOKUP($C17,'Raw - Low Pay Sectors'!$A:$Q,8,FALSE)</f>
        <v>20.8</v>
      </c>
      <c r="F17" s="217">
        <f>VLOOKUP($C17,'Raw - Low Pay Sectors'!$A:$Q,12,FALSE)</f>
        <v>22.7</v>
      </c>
      <c r="G17" s="217">
        <f>VLOOKUP($C17,'Raw - Low Pay Sectors'!$A:$Q,16,FALSE)</f>
        <v>20.8</v>
      </c>
      <c r="H17" s="218">
        <f>VLOOKUP(C17,'Raw - Low Pay Sectors'!A:Q,14,FALSE)</f>
        <v>2500</v>
      </c>
      <c r="I17" s="219">
        <f t="shared" ref="I17" si="2">IFERROR(SUM(G17-D17),"-")</f>
        <v>-1.8999999999999986</v>
      </c>
      <c r="J17" s="220">
        <f>IFERROR(SUM(VLOOKUP(C17,'Raw - Low Pay Sectors'!A:Q,14,FALSE)-VLOOKUP(C17,'Raw - Low Pay Sectors'!A:Q,2,FALSE)),"-")</f>
        <v>0</v>
      </c>
    </row>
    <row r="18" spans="2:12" s="137" customFormat="1" ht="19.5" customHeight="1">
      <c r="B18" s="226" t="s">
        <v>271</v>
      </c>
      <c r="C18" s="227" t="s">
        <v>246</v>
      </c>
      <c r="D18" s="217">
        <f>VLOOKUP($C18,'Raw - Low Pay Sectors'!$A:$Q,4,FALSE)</f>
        <v>27.668858391833439</v>
      </c>
      <c r="E18" s="217">
        <f>VLOOKUP($C18,'Raw - Low Pay Sectors'!$A:$Q,8,FALSE)</f>
        <v>27.858416093956379</v>
      </c>
      <c r="F18" s="217">
        <f>VLOOKUP($C18,'Raw - Low Pay Sectors'!$A:$Q,12,FALSE)</f>
        <v>28.96040467078868</v>
      </c>
      <c r="G18" s="217">
        <f>VLOOKUP($C18,'Raw - Low Pay Sectors'!$A:$Q,16,FALSE)</f>
        <v>28.699276325046085</v>
      </c>
      <c r="H18" s="218">
        <f>VLOOKUP(C18,'Raw - Low Pay Sectors'!A:Q,14,FALSE)</f>
        <v>114500</v>
      </c>
      <c r="I18" s="219">
        <f t="shared" ref="I18:I21" si="3">IFERROR(SUM(G18-D18),"-")</f>
        <v>1.0304179332126466</v>
      </c>
      <c r="J18" s="220">
        <f>IFERROR(SUM(VLOOKUP(C18,'Raw - Low Pay Sectors'!A:Q,14,FALSE)-VLOOKUP(C18,'Raw - Low Pay Sectors'!A:Q,2,FALSE)),"-")</f>
        <v>10500</v>
      </c>
    </row>
    <row r="19" spans="2:12" s="137" customFormat="1" ht="19.5" customHeight="1">
      <c r="B19" s="226" t="s">
        <v>270</v>
      </c>
      <c r="C19" s="216" t="s">
        <v>156</v>
      </c>
      <c r="D19" s="217">
        <f>VLOOKUP($C19,'Raw - Low Pay Sectors'!$A:$Q,4,FALSE)</f>
        <v>25.290970545630131</v>
      </c>
      <c r="E19" s="217">
        <f>VLOOKUP($C19,'Raw - Low Pay Sectors'!$A:$Q,8,FALSE)</f>
        <v>26.442032332563514</v>
      </c>
      <c r="F19" s="217">
        <f>VLOOKUP($C19,'Raw - Low Pay Sectors'!$A:$Q,12,FALSE)</f>
        <v>25.743295130606786</v>
      </c>
      <c r="G19" s="217">
        <f>VLOOKUP($C19,'Raw - Low Pay Sectors'!$A:$Q,16,FALSE)</f>
        <v>25.879042323839784</v>
      </c>
      <c r="H19" s="218">
        <f>VLOOKUP(C19,'Raw - Low Pay Sectors'!A:Q,14,FALSE)</f>
        <v>68000</v>
      </c>
      <c r="I19" s="219">
        <f t="shared" si="3"/>
        <v>0.58807177820965251</v>
      </c>
      <c r="J19" s="220">
        <f>IFERROR(SUM(VLOOKUP(C19,'Raw - Low Pay Sectors'!A:Q,14,FALSE)-VLOOKUP(C19,'Raw - Low Pay Sectors'!A:Q,2,FALSE)),"-")</f>
        <v>2000</v>
      </c>
    </row>
    <row r="20" spans="2:12" s="137" customFormat="1" ht="19.5" customHeight="1">
      <c r="B20" s="226" t="s">
        <v>164</v>
      </c>
      <c r="C20" s="216" t="s">
        <v>46</v>
      </c>
      <c r="D20" s="217">
        <f>VLOOKUP($C20,'Raw - Low Pay Sectors'!$A:$Q,4,FALSE)</f>
        <v>28.7</v>
      </c>
      <c r="E20" s="217">
        <f>VLOOKUP($C20,'Raw - Low Pay Sectors'!$A:$Q,8,FALSE)</f>
        <v>29.6</v>
      </c>
      <c r="F20" s="217">
        <f>VLOOKUP($C20,'Raw - Low Pay Sectors'!$A:$Q,12,FALSE)</f>
        <v>29</v>
      </c>
      <c r="G20" s="217">
        <f>VLOOKUP($C20,'Raw - Low Pay Sectors'!$A:$Q,16,FALSE)</f>
        <v>28.8</v>
      </c>
      <c r="H20" s="218">
        <f>VLOOKUP(C20,'Raw - Low Pay Sectors'!A:Q,14,FALSE)</f>
        <v>737000</v>
      </c>
      <c r="I20" s="219">
        <f t="shared" si="3"/>
        <v>0.10000000000000142</v>
      </c>
      <c r="J20" s="220">
        <f>IFERROR(SUM(VLOOKUP(C20,'Raw - Low Pay Sectors'!A:Q,14,FALSE)-VLOOKUP(C20,'Raw - Low Pay Sectors'!A:Q,2,FALSE)),"-")</f>
        <v>36000</v>
      </c>
    </row>
    <row r="21" spans="2:12" s="137" customFormat="1" ht="19.5" customHeight="1">
      <c r="B21" s="226" t="s">
        <v>164</v>
      </c>
      <c r="C21" s="216" t="s">
        <v>173</v>
      </c>
      <c r="D21" s="217">
        <f>VLOOKUP($C21,'Raw - Low Pay Sectors'!$A:$Q,4,FALSE)</f>
        <v>30.7</v>
      </c>
      <c r="E21" s="217">
        <f>VLOOKUP($C21,'Raw - Low Pay Sectors'!$A:$Q,8,FALSE)</f>
        <v>30.7</v>
      </c>
      <c r="F21" s="217">
        <f>VLOOKUP($C21,'Raw - Low Pay Sectors'!$A:$Q,12,FALSE)</f>
        <v>30.9</v>
      </c>
      <c r="G21" s="217">
        <f>VLOOKUP($C21,'Raw - Low Pay Sectors'!$A:$Q,16,FALSE)</f>
        <v>30.2</v>
      </c>
      <c r="H21" s="218">
        <f>VLOOKUP(C21,'Raw - Low Pay Sectors'!A:Q,14,FALSE)</f>
        <v>9482000</v>
      </c>
      <c r="I21" s="219">
        <f t="shared" si="3"/>
        <v>-0.5</v>
      </c>
      <c r="J21" s="220">
        <f>IFERROR(SUM(VLOOKUP(C21,'Raw - Low Pay Sectors'!A:Q,14,FALSE)-VLOOKUP(C21,'Raw - Low Pay Sectors'!A:Q,2,FALSE)),"-")</f>
        <v>419000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mM70k8PYrcG6/sb5GmOjbWWYn6ifWUuU04HqQTLfyC5fVbZ5fsQielm6BCkoGF92YM7DX2tVCCkO7dmQ9cfpwQ==" saltValue="QdeW7C8OlVATPD+0xNAqqQ==" spinCount="100000" sheet="1" sort="0"/>
  <mergeCells count="4">
    <mergeCell ref="K4:L4"/>
    <mergeCell ref="I5:J5"/>
    <mergeCell ref="K5:L5"/>
    <mergeCell ref="F2:G2"/>
  </mergeCells>
  <hyperlinks>
    <hyperlink ref="F2:G2" location="'Index RAG'!A1" display="Return to Index RAG" xr:uid="{00000000-0004-0000-1200-000001000000}"/>
    <hyperlink ref="C3" r:id="rId1" xr:uid="{33C49ED4-FF1E-4942-97C4-18F1C4CB547C}"/>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0120FBA-0FAB-416A-A7C0-63DA1E72529F}">
          <x14:formula1>
            <xm:f>Lookups!$B$27:$E$27</xm:f>
          </x14:formula1>
          <xm:sqref>C6</xm:sqref>
        </x14:dataValidation>
        <x14:dataValidation type="list" allowBlank="1" showInputMessage="1" showErrorMessage="1" xr:uid="{EAB234A3-2D10-419A-8B65-22E686ECDA75}">
          <x14:formula1>
            <xm:f>Lookups!$B$36:$E$36</xm:f>
          </x14:formula1>
          <xm:sqref>C18</xm:sqref>
        </x14:dataValidation>
        <x14:dataValidation type="list" allowBlank="1" showInputMessage="1" showErrorMessage="1" xr:uid="{FC0F2A2D-145E-4F3F-B988-E41522EDE4B5}">
          <x14:formula1>
            <xm:f>Lookups!$C$9:$C$13</xm:f>
          </x14:formula1>
          <xm:sqref>K5:L5</xm:sqref>
        </x14:dataValidation>
        <x14:dataValidation type="list" allowBlank="1" showInputMessage="1" showErrorMessage="1" xr:uid="{A4BDC5A9-B1CD-4037-ACD8-AD500ACA52C2}">
          <x14:formula1>
            <xm:f>Lookups!$Q$3:$Q$7</xm:f>
          </x14:formula1>
          <xm:sqref>C19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B2: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8" width="14" style="145" customWidth="1"/>
    <col min="9" max="16384" width="9.140625" style="145"/>
  </cols>
  <sheetData>
    <row r="2" spans="2:12" ht="12.75">
      <c r="B2" s="171" t="s">
        <v>49</v>
      </c>
      <c r="C2" s="172" t="s">
        <v>233</v>
      </c>
      <c r="F2" s="467" t="s">
        <v>216</v>
      </c>
      <c r="G2" s="468"/>
    </row>
    <row r="3" spans="2:12" ht="12.75">
      <c r="B3" s="171" t="s">
        <v>50</v>
      </c>
      <c r="C3" s="174" t="s">
        <v>512</v>
      </c>
    </row>
    <row r="4" spans="2:12" ht="12.75">
      <c r="B4" s="172"/>
      <c r="C4" s="175"/>
      <c r="D4" s="176"/>
    </row>
    <row r="5" spans="2:12" ht="21.95" customHeight="1">
      <c r="C5" s="177"/>
      <c r="D5" s="178"/>
      <c r="E5" s="178"/>
      <c r="F5" s="178"/>
      <c r="G5" s="178"/>
      <c r="H5" s="197" t="s">
        <v>51</v>
      </c>
    </row>
    <row r="6" spans="2:12" ht="26.1" customHeight="1">
      <c r="B6" s="179" t="s">
        <v>166</v>
      </c>
      <c r="C6" s="180" t="s">
        <v>242</v>
      </c>
      <c r="D6" s="181">
        <v>2020</v>
      </c>
      <c r="E6" s="181">
        <v>2021</v>
      </c>
      <c r="F6" s="181">
        <v>2022</v>
      </c>
      <c r="G6" s="181">
        <v>2023</v>
      </c>
      <c r="H6" s="182" t="s">
        <v>54</v>
      </c>
    </row>
    <row r="7" spans="2:12" s="137" customFormat="1" ht="19.5" customHeight="1">
      <c r="B7" s="216" t="s">
        <v>153</v>
      </c>
      <c r="C7" s="216" t="str">
        <f>IF(C$6="LGBF Family Group 1",Lookups!I28,IF(C$6="LGBF Family Group 2",Lookups!J28,IF(C$6="LGBF Family Group 3",Lookups!K28,Lookups!L28)))</f>
        <v>Na h-Eileanan Siar</v>
      </c>
      <c r="D7" s="217">
        <f>VLOOKUP($C7,'Raw - Gender Emp'!$A:$Q,4,FALSE)</f>
        <v>-1.5999999999999943</v>
      </c>
      <c r="E7" s="217">
        <f>VLOOKUP($C7,'Raw - Gender Emp'!$A:$Q,8,FALSE)</f>
        <v>-2.6000000000000085</v>
      </c>
      <c r="F7" s="217">
        <f>VLOOKUP($C7,'Raw - Gender Emp'!$A:$Q,12,FALSE)</f>
        <v>2</v>
      </c>
      <c r="G7" s="217">
        <f>VLOOKUP($C7,'Raw - Gender Emp'!$A:$Q,16,FALSE)</f>
        <v>-3.2999999999999972</v>
      </c>
      <c r="H7" s="219">
        <f>IFERROR(SUM(G7-D7),"-")</f>
        <v>-1.7000000000000028</v>
      </c>
    </row>
    <row r="8" spans="2:12" s="137" customFormat="1" ht="19.5" customHeight="1">
      <c r="B8" s="216" t="s">
        <v>153</v>
      </c>
      <c r="C8" s="216" t="str">
        <f>IF(C$6="LGBF Family Group 1",Lookups!I29,IF(C$6="LGBF Family Group 2",Lookups!J29,IF(C$6="LGBF Family Group 3",Lookups!K29,Lookups!L29)))</f>
        <v>Argyll and Bute</v>
      </c>
      <c r="D8" s="217">
        <f>VLOOKUP($C8,'Raw - Gender Emp'!$A:$Q,4,FALSE)</f>
        <v>5.2000000000000028</v>
      </c>
      <c r="E8" s="217">
        <f>VLOOKUP($C8,'Raw - Gender Emp'!$A:$Q,8,FALSE)</f>
        <v>3.9000000000000057</v>
      </c>
      <c r="F8" s="217">
        <f>VLOOKUP($C8,'Raw - Gender Emp'!$A:$Q,12,FALSE)</f>
        <v>-4.9000000000000057</v>
      </c>
      <c r="G8" s="217">
        <f>VLOOKUP($C8,'Raw - Gender Emp'!$A:$Q,16,FALSE)</f>
        <v>-1.4000000000000057</v>
      </c>
      <c r="H8" s="219">
        <f t="shared" ref="H8:H21" si="0">IFERROR(SUM(G8-D8),"-")</f>
        <v>-6.6000000000000085</v>
      </c>
    </row>
    <row r="9" spans="2:12" s="137" customFormat="1" ht="19.5" customHeight="1">
      <c r="B9" s="216" t="s">
        <v>153</v>
      </c>
      <c r="C9" s="216" t="str">
        <f>IF(C$6="LGBF Family Group 1",Lookups!I30,IF(C$6="LGBF Family Group 2",Lookups!J30,IF(C$6="LGBF Family Group 3",Lookups!K30,Lookups!L30)))</f>
        <v>Shetland Islands</v>
      </c>
      <c r="D9" s="217">
        <f>VLOOKUP($C9,'Raw - Gender Emp'!$A:$Q,4,FALSE)</f>
        <v>8.7000000000000028</v>
      </c>
      <c r="E9" s="217">
        <f>VLOOKUP($C9,'Raw - Gender Emp'!$A:$Q,8,FALSE)</f>
        <v>-3.2000000000000028</v>
      </c>
      <c r="F9" s="217">
        <f>VLOOKUP($C9,'Raw - Gender Emp'!$A:$Q,12,FALSE)</f>
        <v>-2.8999999999999915</v>
      </c>
      <c r="G9" s="217">
        <f>VLOOKUP($C9,'Raw - Gender Emp'!$A:$Q,16,FALSE)</f>
        <v>5.7000000000000028</v>
      </c>
      <c r="H9" s="219">
        <f t="shared" si="0"/>
        <v>-3</v>
      </c>
    </row>
    <row r="10" spans="2:12" s="137" customFormat="1" ht="19.5" customHeight="1">
      <c r="B10" s="216" t="s">
        <v>153</v>
      </c>
      <c r="C10" s="216" t="str">
        <f>IF(C$6="LGBF Family Group 1",Lookups!I31,IF(C$6="LGBF Family Group 2",Lookups!J31,IF(C$6="LGBF Family Group 3",Lookups!K31,Lookups!L31)))</f>
        <v>Highland</v>
      </c>
      <c r="D10" s="217">
        <f>VLOOKUP($C10,'Raw - Gender Emp'!$A:$Q,4,FALSE)</f>
        <v>4.7000000000000028</v>
      </c>
      <c r="E10" s="217">
        <f>VLOOKUP($C10,'Raw - Gender Emp'!$A:$Q,8,FALSE)</f>
        <v>5.7999999999999972</v>
      </c>
      <c r="F10" s="217">
        <f>VLOOKUP($C10,'Raw - Gender Emp'!$A:$Q,12,FALSE)</f>
        <v>6.1999999999999886</v>
      </c>
      <c r="G10" s="217">
        <f>VLOOKUP($C10,'Raw - Gender Emp'!$A:$Q,16,FALSE)</f>
        <v>-0.19999999999998863</v>
      </c>
      <c r="H10" s="219">
        <f t="shared" si="0"/>
        <v>-4.8999999999999915</v>
      </c>
    </row>
    <row r="11" spans="2:12" s="137" customFormat="1" ht="19.5" customHeight="1">
      <c r="B11" s="216" t="s">
        <v>153</v>
      </c>
      <c r="C11" s="216" t="str">
        <f>IF(C$6="LGBF Family Group 1",Lookups!I32,IF(C$6="LGBF Family Group 2",Lookups!J32,IF(C$6="LGBF Family Group 3",Lookups!K32,Lookups!L32)))</f>
        <v>Orkney Islands</v>
      </c>
      <c r="D11" s="217">
        <f>VLOOKUP($C11,'Raw - Gender Emp'!$A:$Q,4,FALSE)</f>
        <v>-2.0999999999999943</v>
      </c>
      <c r="E11" s="217">
        <f>VLOOKUP($C11,'Raw - Gender Emp'!$A:$Q,8,FALSE)</f>
        <v>-31.4</v>
      </c>
      <c r="F11" s="217">
        <f>VLOOKUP($C11,'Raw - Gender Emp'!$A:$Q,12,FALSE)</f>
        <v>-2.1999999999999886</v>
      </c>
      <c r="G11" s="217">
        <f>VLOOKUP($C11,'Raw - Gender Emp'!$A:$Q,16,FALSE)</f>
        <v>-5.7000000000000028</v>
      </c>
      <c r="H11" s="219">
        <f t="shared" si="0"/>
        <v>-3.6000000000000085</v>
      </c>
    </row>
    <row r="12" spans="2:12" s="137" customFormat="1" ht="19.5" customHeight="1">
      <c r="B12" s="216" t="s">
        <v>153</v>
      </c>
      <c r="C12" s="216" t="str">
        <f>IF(C$6="LGBF Family Group 1",Lookups!I33,IF(C$6="LGBF Family Group 2",Lookups!J33,IF(C$6="LGBF Family Group 3",Lookups!K33,Lookups!L33)))</f>
        <v>Scottish Borders</v>
      </c>
      <c r="D12" s="217">
        <f>VLOOKUP($C12,'Raw - Gender Emp'!$A:$Q,4,FALSE)</f>
        <v>6.7000000000000028</v>
      </c>
      <c r="E12" s="217">
        <f>VLOOKUP($C12,'Raw - Gender Emp'!$A:$Q,8,FALSE)</f>
        <v>-1.4000000000000057</v>
      </c>
      <c r="F12" s="217">
        <f>VLOOKUP($C12,'Raw - Gender Emp'!$A:$Q,12,FALSE)</f>
        <v>-1.2999999999999972</v>
      </c>
      <c r="G12" s="217">
        <f>VLOOKUP($C12,'Raw - Gender Emp'!$A:$Q,16,FALSE)</f>
        <v>3.5</v>
      </c>
      <c r="H12" s="219">
        <f t="shared" si="0"/>
        <v>-3.2000000000000028</v>
      </c>
    </row>
    <row r="13" spans="2:12" s="137" customFormat="1" ht="19.5" customHeight="1">
      <c r="B13" s="216" t="s">
        <v>153</v>
      </c>
      <c r="C13" s="216" t="str">
        <f>IF(C$6="LGBF Family Group 1",Lookups!I34,IF(C$6="LGBF Family Group 2",Lookups!J34,IF(C$6="LGBF Family Group 3",Lookups!K34,Lookups!L34)))</f>
        <v>Dumfries and Galloway</v>
      </c>
      <c r="D13" s="217">
        <f>VLOOKUP($C13,'Raw - Gender Emp'!$A:$Q,4,FALSE)</f>
        <v>8.2000000000000028</v>
      </c>
      <c r="E13" s="217">
        <f>VLOOKUP($C13,'Raw - Gender Emp'!$A:$Q,8,FALSE)</f>
        <v>3.0999999999999943</v>
      </c>
      <c r="F13" s="217">
        <f>VLOOKUP($C13,'Raw - Gender Emp'!$A:$Q,12,FALSE)</f>
        <v>5.1000000000000085</v>
      </c>
      <c r="G13" s="217">
        <f>VLOOKUP($C13,'Raw - Gender Emp'!$A:$Q,16,FALSE)</f>
        <v>-5.1000000000000085</v>
      </c>
      <c r="H13" s="219">
        <f t="shared" si="0"/>
        <v>-13.300000000000011</v>
      </c>
    </row>
    <row r="14" spans="2:12" s="137" customFormat="1" ht="19.5" customHeight="1">
      <c r="B14" s="216" t="s">
        <v>153</v>
      </c>
      <c r="C14" s="216" t="str">
        <f>IF(C$6="LGBF Family Group 1",Lookups!I35,IF(C$6="LGBF Family Group 2",Lookups!J35,IF(C$6="LGBF Family Group 3",Lookups!K35,Lookups!L35)))</f>
        <v>Aberdeenshire</v>
      </c>
      <c r="D14" s="217">
        <f>VLOOKUP($C14,'Raw - Gender Emp'!$A:$Q,4,FALSE)</f>
        <v>7.1000000000000085</v>
      </c>
      <c r="E14" s="217">
        <f>VLOOKUP($C14,'Raw - Gender Emp'!$A:$Q,8,FALSE)</f>
        <v>10.299999999999997</v>
      </c>
      <c r="F14" s="217">
        <f>VLOOKUP($C14,'Raw - Gender Emp'!$A:$Q,12,FALSE)</f>
        <v>7.6999999999999886</v>
      </c>
      <c r="G14" s="217">
        <f>VLOOKUP($C14,'Raw - Gender Emp'!$A:$Q,16,FALSE)</f>
        <v>0.79999999999999716</v>
      </c>
      <c r="H14" s="219">
        <f t="shared" si="0"/>
        <v>-6.3000000000000114</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5"/>
    </row>
    <row r="17" spans="2:8" s="137" customFormat="1" ht="19.5" customHeight="1">
      <c r="B17" s="226" t="s">
        <v>52</v>
      </c>
      <c r="C17" s="216" t="str">
        <f>INDEX('Raw - Gender Emp'!$A$9:$A$41,MATCH(MIN('Raw - Gender Emp'!P9:P41),'Raw - Gender Emp'!P9:P41,0))</f>
        <v>South Ayrshire</v>
      </c>
      <c r="D17" s="217">
        <f>VLOOKUP($C17,'Raw - Gender Emp'!$A:$Q,4,FALSE)</f>
        <v>-3.1000000000000085</v>
      </c>
      <c r="E17" s="217">
        <f>VLOOKUP($C17,'Raw - Gender Emp'!$A:$Q,8,FALSE)</f>
        <v>-3.1000000000000085</v>
      </c>
      <c r="F17" s="217">
        <f>VLOOKUP($C17,'Raw - Gender Emp'!$A:$Q,12,FALSE)</f>
        <v>-4.5999999999999943</v>
      </c>
      <c r="G17" s="217">
        <f>VLOOKUP($C17,'Raw - Gender Emp'!$A:$Q,16,FALSE)</f>
        <v>-7.7999999999999972</v>
      </c>
      <c r="H17" s="219">
        <f t="shared" si="0"/>
        <v>-4.6999999999999886</v>
      </c>
    </row>
    <row r="18" spans="2:8" s="137" customFormat="1" ht="19.5" customHeight="1">
      <c r="B18" s="226" t="s">
        <v>271</v>
      </c>
      <c r="C18" s="227" t="s">
        <v>246</v>
      </c>
      <c r="D18" s="217">
        <f>VLOOKUP($C18,'Raw - Gender Emp'!$A:$Q,4,FALSE)</f>
        <v>6.3821280848937221</v>
      </c>
      <c r="E18" s="217">
        <f>VLOOKUP($C18,'Raw - Gender Emp'!$A:$Q,8,FALSE)</f>
        <v>4.5433531534089724</v>
      </c>
      <c r="F18" s="217">
        <f>VLOOKUP($C18,'Raw - Gender Emp'!$A:$Q,12,FALSE)</f>
        <v>4.0508382995461716</v>
      </c>
      <c r="G18" s="217">
        <f>VLOOKUP($C18,'Raw - Gender Emp'!$A:$Q,16,FALSE)</f>
        <v>-0.12615304343896128</v>
      </c>
      <c r="H18" s="219">
        <f t="shared" si="0"/>
        <v>-6.5082811283326834</v>
      </c>
    </row>
    <row r="19" spans="2:8" s="137" customFormat="1" ht="19.5" customHeight="1">
      <c r="B19" s="226" t="s">
        <v>270</v>
      </c>
      <c r="C19" s="216" t="s">
        <v>156</v>
      </c>
      <c r="D19" s="217">
        <f>VLOOKUP($C19,'Raw - Gender Emp'!$A:$Q,4,FALSE)</f>
        <v>2.2431590786252826</v>
      </c>
      <c r="E19" s="217">
        <f>VLOOKUP($C19,'Raw - Gender Emp'!$A:$Q,8,FALSE)</f>
        <v>6.208902476211307</v>
      </c>
      <c r="F19" s="217">
        <f>VLOOKUP($C19,'Raw - Gender Emp'!$A:$Q,12,FALSE)</f>
        <v>4.3395917349124744</v>
      </c>
      <c r="G19" s="217">
        <f>VLOOKUP($C19,'Raw - Gender Emp'!$A:$Q,16,FALSE)</f>
        <v>2.4890314621702316</v>
      </c>
      <c r="H19" s="219">
        <f t="shared" si="0"/>
        <v>0.245872383544949</v>
      </c>
    </row>
    <row r="20" spans="2:8" s="137" customFormat="1" ht="19.5" customHeight="1">
      <c r="B20" s="226" t="s">
        <v>164</v>
      </c>
      <c r="C20" s="216" t="s">
        <v>46</v>
      </c>
      <c r="D20" s="217">
        <f>VLOOKUP($C20,'Raw - Gender Emp'!$A:$Q,4,FALSE)</f>
        <v>4.7000000000000028</v>
      </c>
      <c r="E20" s="217">
        <f>VLOOKUP($C20,'Raw - Gender Emp'!$A:$Q,8,FALSE)</f>
        <v>5.0999999999999943</v>
      </c>
      <c r="F20" s="217">
        <f>VLOOKUP($C20,'Raw - Gender Emp'!$A:$Q,12,FALSE)</f>
        <v>3.5</v>
      </c>
      <c r="G20" s="217">
        <f>VLOOKUP($C20,'Raw - Gender Emp'!$A:$Q,16,FALSE)</f>
        <v>4.2000000000000028</v>
      </c>
      <c r="H20" s="219">
        <f t="shared" si="0"/>
        <v>-0.5</v>
      </c>
    </row>
    <row r="21" spans="2:8" s="137" customFormat="1" ht="19.5" customHeight="1">
      <c r="B21" s="226" t="s">
        <v>164</v>
      </c>
      <c r="C21" s="216" t="s">
        <v>47</v>
      </c>
      <c r="D21" s="217">
        <f>VLOOKUP($C21,'Raw - Gender Emp'!$A:$Q,4,FALSE)</f>
        <v>6.7999999999999972</v>
      </c>
      <c r="E21" s="217">
        <f>VLOOKUP($C21,'Raw - Gender Emp'!$A:$Q,8,FALSE)</f>
        <v>6.5</v>
      </c>
      <c r="F21" s="217">
        <f>VLOOKUP($C21,'Raw - Gender Emp'!$A:$Q,12,FALSE)</f>
        <v>6.5999999999999943</v>
      </c>
      <c r="G21" s="217">
        <f>VLOOKUP($C21,'Raw - Gender Emp'!$A:$Q,16,FALSE)</f>
        <v>7.0999999999999943</v>
      </c>
      <c r="H21" s="219">
        <f t="shared" si="0"/>
        <v>0.29999999999999716</v>
      </c>
    </row>
    <row r="22" spans="2:8" ht="19.5" customHeight="1">
      <c r="C22" s="189"/>
      <c r="D22" s="190"/>
      <c r="E22" s="190"/>
      <c r="F22" s="190"/>
      <c r="G22" s="190"/>
      <c r="H22" s="190"/>
    </row>
    <row r="23" spans="2:8">
      <c r="D23" s="191"/>
      <c r="E23" s="191"/>
      <c r="F23" s="192" t="str">
        <f>CONCATENATE(G23,H23)</f>
        <v>Volume Change Required to match Geographic Area - 0</v>
      </c>
      <c r="G23" s="192" t="s">
        <v>225</v>
      </c>
      <c r="H23" s="192">
        <f>K5</f>
        <v>0</v>
      </c>
    </row>
    <row r="24" spans="2:8">
      <c r="B24" s="193"/>
    </row>
    <row r="25" spans="2:8">
      <c r="H25" s="195"/>
    </row>
  </sheetData>
  <sheetProtection algorithmName="SHA-512" hashValue="xX9X82ZMPvLRDBHYsqrcihqfbp4caCBxXnTnx4ne2ueRvcYigywt3WLUlKzTmwsFWAtXpathETshKdkq/CniYg==" saltValue="E51klZTqEGXeGxgC7Eo9Mg==" spinCount="100000" sheet="1" sort="0"/>
  <mergeCells count="1">
    <mergeCell ref="F2:G2"/>
  </mergeCells>
  <hyperlinks>
    <hyperlink ref="F2:G2" location="'Index RAG'!A1" display="Return to Index RAG" xr:uid="{00000000-0004-0000-1400-000001000000}"/>
    <hyperlink ref="C3" r:id="rId1" xr:uid="{CE1B08F3-A6EC-4BF7-B999-31EED7C3A6C9}"/>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9232606E-8353-4509-A8CD-9C18B64B4240}">
          <x14:formula1>
            <xm:f>Lookups!$B$27:$E$27</xm:f>
          </x14:formula1>
          <xm:sqref>C6</xm:sqref>
        </x14:dataValidation>
        <x14:dataValidation type="list" allowBlank="1" showInputMessage="1" showErrorMessage="1" xr:uid="{50406CAF-807B-46B9-B495-21E2AFB7C5C9}">
          <x14:formula1>
            <xm:f>Lookups!$B$36:$E$36</xm:f>
          </x14:formula1>
          <xm:sqref>C18</xm:sqref>
        </x14:dataValidation>
        <x14:dataValidation type="list" allowBlank="1" showInputMessage="1" showErrorMessage="1" xr:uid="{9E153282-774C-461A-826D-5928BEA62D7E}">
          <x14:formula1>
            <xm:f>Lookups!$Q$3:$Q$7</xm:f>
          </x14:formula1>
          <xm:sqref>C19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Median Weekly Earnings (Residence-based, full-time) - LGBF Family Group 4</v>
      </c>
      <c r="D1" s="170" t="s">
        <v>290</v>
      </c>
    </row>
    <row r="2" spans="2:12" ht="12.75">
      <c r="B2" s="171" t="s">
        <v>49</v>
      </c>
      <c r="C2" s="172" t="s">
        <v>66</v>
      </c>
      <c r="F2" s="467" t="s">
        <v>216</v>
      </c>
      <c r="G2" s="468"/>
    </row>
    <row r="3" spans="2:12" ht="12.75">
      <c r="B3" s="171" t="s">
        <v>50</v>
      </c>
      <c r="C3" s="309" t="s">
        <v>67</v>
      </c>
    </row>
    <row r="4" spans="2:12" ht="12.75">
      <c r="B4" s="172"/>
      <c r="C4" s="175" t="s">
        <v>208</v>
      </c>
      <c r="D4" s="176"/>
      <c r="J4" s="463" t="s">
        <v>53</v>
      </c>
      <c r="K4" s="463"/>
    </row>
    <row r="5" spans="2:12" ht="21.95" customHeight="1">
      <c r="C5" s="177"/>
      <c r="D5" s="178"/>
      <c r="E5" s="178"/>
      <c r="F5" s="178"/>
      <c r="G5" s="178"/>
      <c r="H5" s="469" t="s">
        <v>51</v>
      </c>
      <c r="I5" s="470"/>
      <c r="J5" s="466" t="s">
        <v>52</v>
      </c>
      <c r="K5" s="466"/>
    </row>
    <row r="6" spans="2:12" ht="26.1" customHeight="1">
      <c r="B6" s="179" t="s">
        <v>166</v>
      </c>
      <c r="C6" s="180" t="s">
        <v>245</v>
      </c>
      <c r="D6" s="181">
        <v>2021</v>
      </c>
      <c r="E6" s="181">
        <v>2022</v>
      </c>
      <c r="F6" s="181">
        <v>2023</v>
      </c>
      <c r="G6" s="181">
        <v>2024</v>
      </c>
      <c r="H6" s="182" t="s">
        <v>54</v>
      </c>
      <c r="I6" s="182" t="s">
        <v>55</v>
      </c>
      <c r="J6" s="182" t="s">
        <v>80</v>
      </c>
      <c r="K6" s="182" t="s">
        <v>58</v>
      </c>
    </row>
    <row r="7" spans="2:12" s="137" customFormat="1" ht="19.5" customHeight="1">
      <c r="B7" s="216" t="s">
        <v>153</v>
      </c>
      <c r="C7" s="216" t="str">
        <f>IF(C$6="LGBF Family Group 1",Lookups!I28,IF(C$6="LGBF Family Group 2",Lookups!J28,IF(C$6="LGBF Family Group 3",Lookups!K28,Lookups!L28)))</f>
        <v>North Lanarkshire</v>
      </c>
      <c r="D7" s="254">
        <f>VLOOKUP($C7,'Raw - Earnings'!$A:$Q,4,FALSE)</f>
        <v>592.70000000000005</v>
      </c>
      <c r="E7" s="254">
        <f>VLOOKUP($C7,'Raw - Earnings'!$A:$Q,8,FALSE)</f>
        <v>657.9</v>
      </c>
      <c r="F7" s="254">
        <f>VLOOKUP($C7,'Raw - Earnings'!$A:$Q,12,FALSE)</f>
        <v>711</v>
      </c>
      <c r="G7" s="254">
        <f>VLOOKUP($C7,'Raw - Earnings'!$A:$Q,16,FALSE)</f>
        <v>740.4</v>
      </c>
      <c r="H7" s="228">
        <f>IFERROR(SUM(G7-D7)/D7,"-")</f>
        <v>0.24919858275687518</v>
      </c>
      <c r="I7" s="255">
        <f>IFERROR(G7-D7,"-")</f>
        <v>147.69999999999993</v>
      </c>
      <c r="J7" s="230">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0.16423554835224208</v>
      </c>
      <c r="K7" s="256">
        <f t="shared" ref="K7:K14" si="1">IF(J7="","",IF($J$5="lgbf family Group Average",SUM(G$18-G7),IF($J$5="City Region Comparator",SUM(G$19-G7),IF($J$5="Scotland",SUM(G$20-G7),IF($J$5="United Kingdom",SUM(G$21-G7),SUM(G$17-G7))))))</f>
        <v>121.60000000000002</v>
      </c>
    </row>
    <row r="8" spans="2:12" s="137" customFormat="1" ht="19.5" customHeight="1">
      <c r="B8" s="216" t="s">
        <v>153</v>
      </c>
      <c r="C8" s="216" t="str">
        <f>IF(C$6="LGBF Family Group 1",Lookups!I29,IF(C$6="LGBF Family Group 2",Lookups!J29,IF(C$6="LGBF Family Group 3",Lookups!K29,Lookups!L29)))</f>
        <v>Falkirk</v>
      </c>
      <c r="D8" s="254">
        <f>VLOOKUP($C8,'Raw - Earnings'!$A:$Q,4,FALSE)</f>
        <v>593.20000000000005</v>
      </c>
      <c r="E8" s="254">
        <f>VLOOKUP($C8,'Raw - Earnings'!$A:$Q,8,FALSE)</f>
        <v>619.1</v>
      </c>
      <c r="F8" s="254">
        <f>VLOOKUP($C8,'Raw - Earnings'!$A:$Q,12,FALSE)</f>
        <v>683.7</v>
      </c>
      <c r="G8" s="254">
        <f>VLOOKUP($C8,'Raw - Earnings'!$A:$Q,16,FALSE)</f>
        <v>724.6</v>
      </c>
      <c r="H8" s="228">
        <f t="shared" ref="H8:H14" si="2">IFERROR(SUM(G8-D8)/D8,"-")</f>
        <v>0.22151045178691836</v>
      </c>
      <c r="I8" s="255">
        <f t="shared" ref="I8:I14" si="3">IFERROR(G8-D8,"-")</f>
        <v>131.39999999999998</v>
      </c>
      <c r="J8" s="230">
        <f t="shared" si="0"/>
        <v>0.18962186033673747</v>
      </c>
      <c r="K8" s="256">
        <f t="shared" si="1"/>
        <v>137.39999999999998</v>
      </c>
    </row>
    <row r="9" spans="2:12" s="137" customFormat="1" ht="19.5" customHeight="1">
      <c r="B9" s="216" t="s">
        <v>153</v>
      </c>
      <c r="C9" s="216" t="str">
        <f>IF(C$6="LGBF Family Group 1",Lookups!I30,IF(C$6="LGBF Family Group 2",Lookups!J30,IF(C$6="LGBF Family Group 3",Lookups!K30,Lookups!L30)))</f>
        <v>East Dunbartonshire</v>
      </c>
      <c r="D9" s="254">
        <f>VLOOKUP($C9,'Raw - Earnings'!$A:$Q,4,FALSE)</f>
        <v>754.1</v>
      </c>
      <c r="E9" s="254">
        <f>VLOOKUP($C9,'Raw - Earnings'!$A:$Q,8,FALSE)</f>
        <v>744.1</v>
      </c>
      <c r="F9" s="254">
        <f>VLOOKUP($C9,'Raw - Earnings'!$A:$Q,12,FALSE)</f>
        <v>829.8</v>
      </c>
      <c r="G9" s="254">
        <f>VLOOKUP($C9,'Raw - Earnings'!$A:$Q,16,FALSE)</f>
        <v>859.5</v>
      </c>
      <c r="H9" s="228">
        <f t="shared" si="2"/>
        <v>0.13976926137117091</v>
      </c>
      <c r="I9" s="255">
        <f t="shared" si="3"/>
        <v>105.39999999999998</v>
      </c>
      <c r="J9" s="230">
        <f t="shared" si="0"/>
        <v>2.9086678301337987E-3</v>
      </c>
      <c r="K9" s="256">
        <f t="shared" si="1"/>
        <v>2.5</v>
      </c>
    </row>
    <row r="10" spans="2:12" s="137" customFormat="1" ht="19.5" customHeight="1">
      <c r="B10" s="216" t="s">
        <v>153</v>
      </c>
      <c r="C10" s="216" t="str">
        <f>IF(C$6="LGBF Family Group 1",Lookups!I31,IF(C$6="LGBF Family Group 2",Lookups!J31,IF(C$6="LGBF Family Group 3",Lookups!K31,Lookups!L31)))</f>
        <v>Aberdeen City</v>
      </c>
      <c r="D10" s="254">
        <f>VLOOKUP($C10,'Raw - Earnings'!$A:$Q,4,FALSE)</f>
        <v>587.79999999999995</v>
      </c>
      <c r="E10" s="254">
        <f>VLOOKUP($C10,'Raw - Earnings'!$A:$Q,8,FALSE)</f>
        <v>637.4</v>
      </c>
      <c r="F10" s="254">
        <f>VLOOKUP($C10,'Raw - Earnings'!$A:$Q,12,FALSE)</f>
        <v>728.3</v>
      </c>
      <c r="G10" s="254">
        <f>VLOOKUP($C10,'Raw - Earnings'!$A:$Q,16,FALSE)</f>
        <v>721.7</v>
      </c>
      <c r="H10" s="228">
        <f t="shared" si="2"/>
        <v>0.22779857094249761</v>
      </c>
      <c r="I10" s="255">
        <f t="shared" si="3"/>
        <v>133.90000000000009</v>
      </c>
      <c r="J10" s="230">
        <f t="shared" si="0"/>
        <v>0.19440210613828454</v>
      </c>
      <c r="K10" s="256">
        <f t="shared" si="1"/>
        <v>140.29999999999995</v>
      </c>
    </row>
    <row r="11" spans="2:12" s="137" customFormat="1" ht="19.5" customHeight="1">
      <c r="B11" s="216" t="s">
        <v>153</v>
      </c>
      <c r="C11" s="216" t="str">
        <f>IF(C$6="LGBF Family Group 1",Lookups!I32,IF(C$6="LGBF Family Group 2",Lookups!J32,IF(C$6="LGBF Family Group 3",Lookups!K32,Lookups!L32)))</f>
        <v>Edinburgh, City of</v>
      </c>
      <c r="D11" s="254">
        <f>VLOOKUP($C11,'Raw - Earnings'!$A:$Q,4,FALSE)</f>
        <v>635.4</v>
      </c>
      <c r="E11" s="254">
        <f>VLOOKUP($C11,'Raw - Earnings'!$A:$Q,8,FALSE)</f>
        <v>658</v>
      </c>
      <c r="F11" s="254">
        <f>VLOOKUP($C11,'Raw - Earnings'!$A:$Q,12,FALSE)</f>
        <v>737.7</v>
      </c>
      <c r="G11" s="254">
        <f>VLOOKUP($C11,'Raw - Earnings'!$A:$Q,16,FALSE)</f>
        <v>778.5</v>
      </c>
      <c r="H11" s="228">
        <f t="shared" si="2"/>
        <v>0.22521246458923516</v>
      </c>
      <c r="I11" s="255">
        <f t="shared" si="3"/>
        <v>143.10000000000002</v>
      </c>
      <c r="J11" s="230">
        <f t="shared" si="0"/>
        <v>0.10725754656390495</v>
      </c>
      <c r="K11" s="256">
        <f t="shared" si="1"/>
        <v>83.5</v>
      </c>
    </row>
    <row r="12" spans="2:12" s="137" customFormat="1" ht="19.5" customHeight="1">
      <c r="B12" s="216" t="s">
        <v>153</v>
      </c>
      <c r="C12" s="216" t="str">
        <f>IF(C$6="LGBF Family Group 1",Lookups!I33,IF(C$6="LGBF Family Group 2",Lookups!J33,IF(C$6="LGBF Family Group 3",Lookups!K33,Lookups!L33)))</f>
        <v>West Dunbartonshire</v>
      </c>
      <c r="D12" s="254">
        <f>VLOOKUP($C12,'Raw - Earnings'!$A:$Q,4,FALSE)</f>
        <v>650.9</v>
      </c>
      <c r="E12" s="254">
        <f>VLOOKUP($C12,'Raw - Earnings'!$A:$Q,8,FALSE)</f>
        <v>610.79999999999995</v>
      </c>
      <c r="F12" s="254">
        <f>VLOOKUP($C12,'Raw - Earnings'!$A:$Q,12,FALSE)</f>
        <v>696.9</v>
      </c>
      <c r="G12" s="254">
        <f>VLOOKUP($C12,'Raw - Earnings'!$A:$Q,16,FALSE)</f>
        <v>723.6</v>
      </c>
      <c r="H12" s="228">
        <f t="shared" si="2"/>
        <v>0.11169150407128599</v>
      </c>
      <c r="I12" s="255">
        <f t="shared" si="3"/>
        <v>72.700000000000045</v>
      </c>
      <c r="J12" s="230">
        <f t="shared" si="0"/>
        <v>0.19126589275843003</v>
      </c>
      <c r="K12" s="256">
        <f t="shared" si="1"/>
        <v>138.39999999999998</v>
      </c>
    </row>
    <row r="13" spans="2:12" s="137" customFormat="1" ht="19.5" customHeight="1">
      <c r="B13" s="216" t="s">
        <v>153</v>
      </c>
      <c r="C13" s="216" t="str">
        <f>IF(C$6="LGBF Family Group 1",Lookups!I34,IF(C$6="LGBF Family Group 2",Lookups!J34,IF(C$6="LGBF Family Group 3",Lookups!K34,Lookups!L34)))</f>
        <v>Dundee City</v>
      </c>
      <c r="D13" s="254">
        <f>VLOOKUP($C13,'Raw - Earnings'!$A:$Q,4,FALSE)</f>
        <v>566.6</v>
      </c>
      <c r="E13" s="254">
        <f>VLOOKUP($C13,'Raw - Earnings'!$A:$Q,8,FALSE)</f>
        <v>586.70000000000005</v>
      </c>
      <c r="F13" s="254">
        <f>VLOOKUP($C13,'Raw - Earnings'!$A:$Q,12,FALSE)</f>
        <v>624.79999999999995</v>
      </c>
      <c r="G13" s="254">
        <f>VLOOKUP($C13,'Raw - Earnings'!$A:$Q,16,FALSE)</f>
        <v>673.3</v>
      </c>
      <c r="H13" s="228">
        <f t="shared" si="2"/>
        <v>0.18831627250264724</v>
      </c>
      <c r="I13" s="255">
        <f t="shared" si="3"/>
        <v>106.69999999999993</v>
      </c>
      <c r="J13" s="230">
        <f t="shared" si="0"/>
        <v>0.28026139907916242</v>
      </c>
      <c r="K13" s="256">
        <f t="shared" si="1"/>
        <v>188.70000000000005</v>
      </c>
    </row>
    <row r="14" spans="2:12" s="137" customFormat="1" ht="19.5" customHeight="1">
      <c r="B14" s="216" t="s">
        <v>153</v>
      </c>
      <c r="C14" s="216" t="str">
        <f>IF(C$6="LGBF Family Group 1",Lookups!I35,IF(C$6="LGBF Family Group 2",Lookups!J35,IF(C$6="LGBF Family Group 3",Lookups!K35,Lookups!L35)))</f>
        <v>Glasgow City</v>
      </c>
      <c r="D14" s="254">
        <f>VLOOKUP($C14,'Raw - Earnings'!$A:$Q,4,FALSE)</f>
        <v>620.4</v>
      </c>
      <c r="E14" s="254">
        <f>VLOOKUP($C14,'Raw - Earnings'!$A:$Q,8,FALSE)</f>
        <v>635.70000000000005</v>
      </c>
      <c r="F14" s="254">
        <f>VLOOKUP($C14,'Raw - Earnings'!$A:$Q,12,FALSE)</f>
        <v>689</v>
      </c>
      <c r="G14" s="254">
        <f>VLOOKUP($C14,'Raw - Earnings'!$A:$Q,16,FALSE)</f>
        <v>721</v>
      </c>
      <c r="H14" s="228">
        <f t="shared" si="2"/>
        <v>0.16215344938749199</v>
      </c>
      <c r="I14" s="255">
        <f t="shared" si="3"/>
        <v>100.60000000000002</v>
      </c>
      <c r="J14" s="230">
        <f t="shared" si="0"/>
        <v>0.19556171983356449</v>
      </c>
      <c r="K14" s="256">
        <f t="shared" si="1"/>
        <v>141</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5"/>
      <c r="I16" s="225"/>
      <c r="J16" s="225"/>
      <c r="K16" s="225"/>
      <c r="L16" s="225"/>
    </row>
    <row r="17" spans="2:12" s="137" customFormat="1" ht="19.5" customHeight="1">
      <c r="B17" s="226" t="s">
        <v>52</v>
      </c>
      <c r="C17" s="216" t="str">
        <f>INDEX('Raw - Earnings'!$A$9:$A$40,MATCH(MAX('Raw - Earnings'!P9:P40),'Raw - Earnings'!P9:P40,0))</f>
        <v>East Renfrewshire</v>
      </c>
      <c r="D17" s="254">
        <f>VLOOKUP($C17,'Raw - Earnings'!$A:$Q,4,FALSE)</f>
        <v>809.4</v>
      </c>
      <c r="E17" s="254">
        <f>VLOOKUP($C17,'Raw - Earnings'!$A:$Q,8,FALSE)</f>
        <v>811.4</v>
      </c>
      <c r="F17" s="254">
        <f>VLOOKUP($C17,'Raw - Earnings'!$A:$Q,12,FALSE)</f>
        <v>864</v>
      </c>
      <c r="G17" s="254">
        <f>VLOOKUP($C17,'Raw - Earnings'!$A:$Q,16,FALSE)</f>
        <v>862</v>
      </c>
      <c r="H17" s="228">
        <f t="shared" ref="H17" si="4">IFERROR(SUM(G17-D17)/D17,"-")</f>
        <v>6.4986409686187324E-2</v>
      </c>
      <c r="I17" s="255">
        <f t="shared" ref="I17" si="5">IFERROR(G17-D17,"-")</f>
        <v>52.600000000000023</v>
      </c>
      <c r="J17" s="231"/>
    </row>
    <row r="18" spans="2:12" s="137" customFormat="1" ht="19.5" customHeight="1">
      <c r="B18" s="226" t="s">
        <v>271</v>
      </c>
      <c r="C18" s="227" t="s">
        <v>246</v>
      </c>
      <c r="D18" s="254">
        <f>VLOOKUP($C18,'Raw - Earnings'!$A:$Q,4,FALSE)</f>
        <v>607.5</v>
      </c>
      <c r="E18" s="254">
        <f>VLOOKUP($C18,'Raw - Earnings'!$A:$Q,8,FALSE)</f>
        <v>629.64285714285711</v>
      </c>
      <c r="F18" s="254">
        <f>VLOOKUP($C18,'Raw - Earnings'!$A:$Q,12,FALSE)</f>
        <v>728</v>
      </c>
      <c r="G18" s="254">
        <f>VLOOKUP($C18,'Raw - Earnings'!$A:$Q,16,FALSE)</f>
        <v>727.17142857142858</v>
      </c>
      <c r="H18" s="228">
        <f t="shared" ref="H18:H21" si="6">IFERROR(SUM(G18-D18)/D18,"-")</f>
        <v>0.19699000587889479</v>
      </c>
      <c r="I18" s="255">
        <f t="shared" ref="I18:I21" si="7">IFERROR(G18-D18,"-")</f>
        <v>119.67142857142858</v>
      </c>
      <c r="J18" s="231"/>
    </row>
    <row r="19" spans="2:12" s="137" customFormat="1" ht="19.5" customHeight="1">
      <c r="B19" s="226" t="s">
        <v>270</v>
      </c>
      <c r="C19" s="216" t="s">
        <v>157</v>
      </c>
      <c r="D19" s="254">
        <f>VLOOKUP($C19,'Raw - Earnings'!$A:$Q,4,FALSE)</f>
        <v>598.04999999999995</v>
      </c>
      <c r="E19" s="254">
        <f>VLOOKUP($C19,'Raw - Earnings'!$A:$Q,8,FALSE)</f>
        <v>632.86666666666656</v>
      </c>
      <c r="F19" s="254">
        <f>VLOOKUP($C19,'Raw - Earnings'!$A:$Q,12,FALSE)</f>
        <v>695.55000000000007</v>
      </c>
      <c r="G19" s="254">
        <f>VLOOKUP($C19,'Raw - Earnings'!$A:$Q,16,FALSE)</f>
        <v>729.41666666666663</v>
      </c>
      <c r="H19" s="228">
        <f t="shared" si="6"/>
        <v>0.21965833403004212</v>
      </c>
      <c r="I19" s="255">
        <f t="shared" si="7"/>
        <v>131.36666666666667</v>
      </c>
      <c r="J19" s="231"/>
    </row>
    <row r="20" spans="2:12" s="137" customFormat="1" ht="19.5" customHeight="1">
      <c r="B20" s="226" t="s">
        <v>164</v>
      </c>
      <c r="C20" s="216" t="s">
        <v>46</v>
      </c>
      <c r="D20" s="254">
        <f>VLOOKUP($C20,'Raw - Earnings'!$A:$Q,4,FALSE)</f>
        <v>619.9</v>
      </c>
      <c r="E20" s="254">
        <f>VLOOKUP($C20,'Raw - Earnings'!$A:$Q,8,FALSE)</f>
        <v>641.29999999999995</v>
      </c>
      <c r="F20" s="254">
        <f>VLOOKUP($C20,'Raw - Earnings'!$A:$Q,12,FALSE)</f>
        <v>709.4</v>
      </c>
      <c r="G20" s="254">
        <f>VLOOKUP($C20,'Raw - Earnings'!$A:$Q,16,FALSE)</f>
        <v>740</v>
      </c>
      <c r="H20" s="228">
        <f t="shared" si="6"/>
        <v>0.19374092595579936</v>
      </c>
      <c r="I20" s="255">
        <f t="shared" si="7"/>
        <v>120.10000000000002</v>
      </c>
      <c r="J20" s="231"/>
    </row>
    <row r="21" spans="2:12" s="137" customFormat="1" ht="19.5" customHeight="1">
      <c r="B21" s="226" t="s">
        <v>164</v>
      </c>
      <c r="C21" s="216" t="s">
        <v>47</v>
      </c>
      <c r="D21" s="254">
        <f>VLOOKUP($C21,'Raw - Earnings'!$A:$Q,4,FALSE)</f>
        <v>609.79999999999995</v>
      </c>
      <c r="E21" s="254">
        <f>VLOOKUP($C21,'Raw - Earnings'!$A:$Q,8,FALSE)</f>
        <v>641.79999999999995</v>
      </c>
      <c r="F21" s="254">
        <f>VLOOKUP($C21,'Raw - Earnings'!$A:$Q,12,FALSE)</f>
        <v>687</v>
      </c>
      <c r="G21" s="254">
        <f>VLOOKUP($C21,'Raw - Earnings'!$A:$Q,16,FALSE)</f>
        <v>728.3</v>
      </c>
      <c r="H21" s="228">
        <f t="shared" si="6"/>
        <v>0.19432600852738605</v>
      </c>
      <c r="I21" s="255">
        <f t="shared" si="7"/>
        <v>118.5</v>
      </c>
      <c r="J21" s="231"/>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J5</f>
        <v>Top Performing Scottish Local Authority</v>
      </c>
    </row>
    <row r="24" spans="2:12">
      <c r="B24" s="193" t="s">
        <v>207</v>
      </c>
    </row>
    <row r="25" spans="2:12">
      <c r="H25" s="195"/>
      <c r="I25" s="195"/>
      <c r="J25" s="195"/>
      <c r="K25" s="195"/>
      <c r="L25" s="191"/>
    </row>
  </sheetData>
  <sheetProtection algorithmName="SHA-512" hashValue="pSKwBKpD814BImPfCqeXHOLgQ7RG6sYeDL8H+Yff5/laFMHQePfduhvG5JxD62UnYR4467E13ryPsO2r0DJDFA==" saltValue="SyNjHK4VnK2yj6HrzqkNCA==" spinCount="100000" sheet="1" sort="0"/>
  <mergeCells count="4">
    <mergeCell ref="J4:K4"/>
    <mergeCell ref="H5:I5"/>
    <mergeCell ref="J5:K5"/>
    <mergeCell ref="F2:G2"/>
  </mergeCells>
  <hyperlinks>
    <hyperlink ref="C3" r:id="rId1" xr:uid="{00000000-0004-0000-1500-000000000000}"/>
    <hyperlink ref="F2:G2" location="'Index RAG'!A1" display="Return to Index RAG" xr:uid="{00000000-0004-0000-15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7C90592-EC49-46C9-B297-73361EC2047E}">
          <x14:formula1>
            <xm:f>Lookups!$B$27:$E$27</xm:f>
          </x14:formula1>
          <xm:sqref>C6</xm:sqref>
        </x14:dataValidation>
        <x14:dataValidation type="list" allowBlank="1" showInputMessage="1" showErrorMessage="1" xr:uid="{3042E232-4FF9-4BD5-916D-A53A5166FF53}">
          <x14:formula1>
            <xm:f>Lookups!$B$36:$E$36</xm:f>
          </x14:formula1>
          <xm:sqref>C18</xm:sqref>
        </x14:dataValidation>
        <x14:dataValidation type="list" allowBlank="1" showInputMessage="1" showErrorMessage="1" xr:uid="{859AF195-CA57-4812-B33D-2980AFFE2EF9}">
          <x14:formula1>
            <xm:f>Lookups!$B$9:$B$13</xm:f>
          </x14:formula1>
          <xm:sqref>J5:K5</xm:sqref>
        </x14:dataValidation>
        <x14:dataValidation type="list" allowBlank="1" showInputMessage="1" showErrorMessage="1" xr:uid="{03E6F7AA-AD4B-4DF0-8A1A-E8008A964A11}">
          <x14:formula1>
            <xm:f>Lookups!$Q$3:$Q$7</xm:f>
          </x14:formula1>
          <xm:sqref>C19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sheetPr>
  <dimension ref="B1:L25"/>
  <sheetViews>
    <sheetView zoomScale="90" zoomScaleNormal="90" workbookViewId="0">
      <selection activeCell="D6" sqref="D6:G6"/>
    </sheetView>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20th Percentile Weekly Earnings (Residence-based, full-time) - LGBF Family Group 4</v>
      </c>
      <c r="D1" s="170" t="s">
        <v>290</v>
      </c>
    </row>
    <row r="2" spans="2:12" ht="12.75">
      <c r="B2" s="171" t="s">
        <v>49</v>
      </c>
      <c r="C2" s="172" t="s">
        <v>203</v>
      </c>
      <c r="G2" s="467" t="s">
        <v>216</v>
      </c>
      <c r="H2" s="468"/>
    </row>
    <row r="3" spans="2:12" ht="12.75">
      <c r="B3" s="171" t="s">
        <v>50</v>
      </c>
      <c r="C3" s="309" t="s">
        <v>67</v>
      </c>
    </row>
    <row r="4" spans="2:12" ht="12.75">
      <c r="B4" s="172"/>
      <c r="C4" s="175" t="s">
        <v>208</v>
      </c>
      <c r="D4" s="176"/>
      <c r="J4" s="463" t="s">
        <v>53</v>
      </c>
      <c r="K4" s="463"/>
    </row>
    <row r="5" spans="2:12" ht="21.95" customHeight="1">
      <c r="C5" s="177"/>
      <c r="D5" s="178"/>
      <c r="E5" s="178"/>
      <c r="F5" s="178"/>
      <c r="G5" s="178"/>
      <c r="H5" s="469" t="s">
        <v>51</v>
      </c>
      <c r="I5" s="470"/>
      <c r="J5" s="466" t="s">
        <v>52</v>
      </c>
      <c r="K5" s="466"/>
    </row>
    <row r="6" spans="2:12" ht="26.1" customHeight="1">
      <c r="B6" s="179" t="s">
        <v>166</v>
      </c>
      <c r="C6" s="180" t="s">
        <v>245</v>
      </c>
      <c r="D6" s="181">
        <v>2021</v>
      </c>
      <c r="E6" s="181">
        <v>2022</v>
      </c>
      <c r="F6" s="181">
        <v>2023</v>
      </c>
      <c r="G6" s="181">
        <v>2024</v>
      </c>
      <c r="H6" s="182" t="s">
        <v>54</v>
      </c>
      <c r="I6" s="182" t="s">
        <v>55</v>
      </c>
      <c r="J6" s="182" t="s">
        <v>80</v>
      </c>
      <c r="K6" s="182" t="s">
        <v>58</v>
      </c>
    </row>
    <row r="7" spans="2:12" s="137" customFormat="1" ht="19.5" customHeight="1">
      <c r="B7" s="216" t="s">
        <v>153</v>
      </c>
      <c r="C7" s="216" t="str">
        <f>IF(C$6="LGBF Family Group 1",Lookups!I28,IF(C$6="LGBF Family Group 2",Lookups!J28,IF(C$6="LGBF Family Group 3",Lookups!K28,Lookups!L28)))</f>
        <v>North Lanarkshire</v>
      </c>
      <c r="D7" s="254">
        <f>IF(VLOOKUP($C7,'Raw - 20th Percentile Earnings'!$A:$Q,4,FALSE)="","-",(VLOOKUP($C7,'Raw - 20th Percentile Earnings'!$A:$Q,4,FALSE)))</f>
        <v>431.9</v>
      </c>
      <c r="E7" s="254">
        <f>IF(VLOOKUP($C7,'Raw - 20th Percentile Earnings'!$A:$Q,8,FALSE)="","-",(VLOOKUP($C7,'Raw - 20th Percentile Earnings'!$A:$Q,8,FALSE)))</f>
        <v>458.9</v>
      </c>
      <c r="F7" s="254">
        <f>IF(VLOOKUP($C7,'Raw - 20th Percentile Earnings'!$A:$Q,12,FALSE)="","-",(VLOOKUP($C7,'Raw - 20th Percentile Earnings'!$A:$Q,12,FALSE)))</f>
        <v>509.6</v>
      </c>
      <c r="G7" s="254">
        <f>IF(VLOOKUP($C7,'Raw - 20th Percentile Earnings'!$A:$Q,16,FALSE)="","-",(VLOOKUP($C7,'Raw - 20th Percentile Earnings'!$A:$Q,16,FALSE)))</f>
        <v>533.20000000000005</v>
      </c>
      <c r="H7" s="228">
        <f>IFERROR(IF(OR(D7="-",G7="-"),"-",SUM(G7-D7)/D7),"-")</f>
        <v>0.23454503357258641</v>
      </c>
      <c r="I7" s="255">
        <f>IFERROR(IF(H7="-","-",G7-D7),"-")</f>
        <v>101.30000000000007</v>
      </c>
      <c r="J7" s="230">
        <f t="shared" ref="J7:J8" si="0">IF(G7="-","-",IF(IF($J$5="lgbf family Group average",SUM(G$18-G7)/G7,IF($J$5="city region comparator",SUM(G$19-G7)/G7,IF($J$5="Scotland",SUM(G$20-G7)/G7,IF($J$5="United Kingdom",SUM(G$21-G7)/G7,SUM(G$17-G7)/G7))))&lt;0,"",IF($J$5="lgbf family Group average",SUM(G$18-G7)/G7,IF($J$5="city region comparator",SUM(G$19-G7)/G7,IF($J$5="Scotland",SUM(G$20-G7)/G7,IF($J$5="United Kingdom",SUM(G$21-G7)/G7,SUM(G$17-G7)/G7))))))</f>
        <v>0.15303825956489103</v>
      </c>
      <c r="K7" s="256">
        <f t="shared" ref="K7:K8" si="1">IF(J7="-","-",IF(J7="","",IF($J$5="lgbf family Group average",SUM(G$18-G7),IF($J$5="city region comparator",SUM(G$19-G7),IF($J$5="Scotland",SUM(G$20-G7),IF($J$5="United Kingdom",SUM(G$21-G7),SUM(G$17-G7)))))))</f>
        <v>81.599999999999909</v>
      </c>
    </row>
    <row r="8" spans="2:12" s="137" customFormat="1" ht="19.5" customHeight="1">
      <c r="B8" s="216" t="s">
        <v>153</v>
      </c>
      <c r="C8" s="216" t="str">
        <f>IF(C$6="LGBF Family Group 1",Lookups!I29,IF(C$6="LGBF Family Group 2",Lookups!J29,IF(C$6="LGBF Family Group 3",Lookups!K29,Lookups!L29)))</f>
        <v>Falkirk</v>
      </c>
      <c r="D8" s="254">
        <f>IF(VLOOKUP($C8,'Raw - 20th Percentile Earnings'!$A:$Q,4,FALSE)="","-",(VLOOKUP($C8,'Raw - 20th Percentile Earnings'!$A:$Q,4,FALSE)))</f>
        <v>436.8</v>
      </c>
      <c r="E8" s="254">
        <f>IF(VLOOKUP($C8,'Raw - 20th Percentile Earnings'!$A:$Q,8,FALSE)="","-",(VLOOKUP($C8,'Raw - 20th Percentile Earnings'!$A:$Q,8,FALSE)))</f>
        <v>462.8</v>
      </c>
      <c r="F8" s="254">
        <f>IF(VLOOKUP($C8,'Raw - 20th Percentile Earnings'!$A:$Q,12,FALSE)="","-",(VLOOKUP($C8,'Raw - 20th Percentile Earnings'!$A:$Q,12,FALSE)))</f>
        <v>518.5</v>
      </c>
      <c r="G8" s="254">
        <f>IF(VLOOKUP($C8,'Raw - 20th Percentile Earnings'!$A:$Q,16,FALSE)="","-",(VLOOKUP($C8,'Raw - 20th Percentile Earnings'!$A:$Q,16,FALSE)))</f>
        <v>528.4</v>
      </c>
      <c r="H8" s="228">
        <f t="shared" ref="H8:H14" si="2">IFERROR(IF(OR(D8="-",G8="-"),"-",SUM(G8-D8)/D8),"-")</f>
        <v>0.20970695970695963</v>
      </c>
      <c r="I8" s="255">
        <f t="shared" ref="I8:I14" si="3">IFERROR(IF(H8="-","-",G8-D8),"-")</f>
        <v>91.599999999999966</v>
      </c>
      <c r="J8" s="230">
        <f t="shared" si="0"/>
        <v>0.16351249053747158</v>
      </c>
      <c r="K8" s="256">
        <f t="shared" si="1"/>
        <v>86.399999999999977</v>
      </c>
    </row>
    <row r="9" spans="2:12" s="137" customFormat="1" ht="19.5" customHeight="1">
      <c r="B9" s="216" t="s">
        <v>153</v>
      </c>
      <c r="C9" s="216" t="str">
        <f>IF(C$6="LGBF Family Group 1",Lookups!I30,IF(C$6="LGBF Family Group 2",Lookups!J30,IF(C$6="LGBF Family Group 3",Lookups!K30,Lookups!L30)))</f>
        <v>East Dunbartonshire</v>
      </c>
      <c r="D9" s="254">
        <f>IF(VLOOKUP($C9,'Raw - 20th Percentile Earnings'!$A:$Q,4,FALSE)="","-",(VLOOKUP($C9,'Raw - 20th Percentile Earnings'!$A:$Q,4,FALSE)))</f>
        <v>487</v>
      </c>
      <c r="E9" s="254">
        <f>IF(VLOOKUP($C9,'Raw - 20th Percentile Earnings'!$A:$Q,8,FALSE)="","-",(VLOOKUP($C9,'Raw - 20th Percentile Earnings'!$A:$Q,8,FALSE)))</f>
        <v>514.6</v>
      </c>
      <c r="F9" s="254">
        <f>IF(VLOOKUP($C9,'Raw - 20th Percentile Earnings'!$A:$Q,12,FALSE)="","-",(VLOOKUP($C9,'Raw - 20th Percentile Earnings'!$A:$Q,12,FALSE)))</f>
        <v>569.6</v>
      </c>
      <c r="G9" s="254">
        <f>IF(VLOOKUP($C9,'Raw - 20th Percentile Earnings'!$A:$Q,16,FALSE)="","-",(VLOOKUP($C9,'Raw - 20th Percentile Earnings'!$A:$Q,16,FALSE)))</f>
        <v>610.9</v>
      </c>
      <c r="H9" s="228">
        <f t="shared" si="2"/>
        <v>0.25441478439425047</v>
      </c>
      <c r="I9" s="255">
        <f t="shared" si="3"/>
        <v>123.89999999999998</v>
      </c>
      <c r="J9" s="230">
        <f>IF(G9="-","-",IF(IF($J$5="lgbf family Group average",SUM(G$18-G9)/G9,IF($J$5="city region comparator",SUM(G$19-G9)/G9,IF($J$5="Scotland",SUM(G$20-G9)/G9,IF($J$5="United Kingdom",SUM(G$21-G9)/G9,SUM(G$17-G9)/G9))))&lt;0,"",IF($J$5="lgbf family Group average",SUM(G$18-G9)/G9,IF($J$5="city region comparator",SUM(G$19-G9)/G9,IF($J$5="Scotland",SUM(G$20-G9)/G9,IF($J$5="United Kingdom",SUM(G$21-G9)/G9,SUM(G$17-G9)/G9))))))</f>
        <v>6.3840235717793053E-3</v>
      </c>
      <c r="K9" s="256">
        <f>IF(J9="-","-",IF(J9="","",IF($J$5="lgbf family Group average",SUM(G$18-G9),IF($J$5="city region comparator",SUM(G$19-G9),IF($J$5="Scotland",SUM(G$20-G9),IF($J$5="United Kingdom",SUM(G$21-G9),SUM(G$17-G9)))))))</f>
        <v>3.8999999999999773</v>
      </c>
    </row>
    <row r="10" spans="2:12" s="137" customFormat="1" ht="19.5" customHeight="1">
      <c r="B10" s="216" t="s">
        <v>153</v>
      </c>
      <c r="C10" s="216" t="str">
        <f>IF(C$6="LGBF Family Group 1",Lookups!I31,IF(C$6="LGBF Family Group 2",Lookups!J31,IF(C$6="LGBF Family Group 3",Lookups!K31,Lookups!L31)))</f>
        <v>Aberdeen City</v>
      </c>
      <c r="D10" s="254">
        <f>IF(VLOOKUP($C10,'Raw - 20th Percentile Earnings'!$A:$Q,4,FALSE)="","-",(VLOOKUP($C10,'Raw - 20th Percentile Earnings'!$A:$Q,4,FALSE)))</f>
        <v>421.1</v>
      </c>
      <c r="E10" s="254">
        <f>IF(VLOOKUP($C10,'Raw - 20th Percentile Earnings'!$A:$Q,8,FALSE)="","-",(VLOOKUP($C10,'Raw - 20th Percentile Earnings'!$A:$Q,8,FALSE)))</f>
        <v>458.1</v>
      </c>
      <c r="F10" s="254">
        <f>IF(VLOOKUP($C10,'Raw - 20th Percentile Earnings'!$A:$Q,12,FALSE)="","-",(VLOOKUP($C10,'Raw - 20th Percentile Earnings'!$A:$Q,12,FALSE)))</f>
        <v>515.5</v>
      </c>
      <c r="G10" s="254">
        <f>IF(VLOOKUP($C10,'Raw - 20th Percentile Earnings'!$A:$Q,16,FALSE)="","-",(VLOOKUP($C10,'Raw - 20th Percentile Earnings'!$A:$Q,16,FALSE)))</f>
        <v>538.20000000000005</v>
      </c>
      <c r="H10" s="228">
        <f t="shared" si="2"/>
        <v>0.27808121586321544</v>
      </c>
      <c r="I10" s="255">
        <f t="shared" si="3"/>
        <v>117.10000000000002</v>
      </c>
      <c r="J10" s="230">
        <f t="shared" ref="J10:J14" si="4">IF(G10="-","-",IF(IF($J$5="lgbf family Group average",SUM(G$18-G10)/G10,IF($J$5="city region comparator",SUM(G$19-G10)/G10,IF($J$5="Scotland",SUM(G$20-G10)/G10,IF($J$5="United Kingdom",SUM(G$21-G10)/G10,SUM(G$17-G10)/G10))))&lt;0,"",IF($J$5="lgbf family Group average",SUM(G$18-G10)/G10,IF($J$5="city region comparator",SUM(G$19-G10)/G10,IF($J$5="Scotland",SUM(G$20-G10)/G10,IF($J$5="United Kingdom",SUM(G$21-G10)/G10,SUM(G$17-G10)/G10))))))</f>
        <v>0.14232627276105519</v>
      </c>
      <c r="K10" s="256">
        <f t="shared" ref="K10:K14" si="5">IF(J10="-","-",IF(J10="","",IF($J$5="lgbf family Group average",SUM(G$18-G10),IF($J$5="city region comparator",SUM(G$19-G10),IF($J$5="Scotland",SUM(G$20-G10),IF($J$5="United Kingdom",SUM(G$21-G10),SUM(G$17-G10)))))))</f>
        <v>76.599999999999909</v>
      </c>
    </row>
    <row r="11" spans="2:12" s="137" customFormat="1" ht="19.5" customHeight="1">
      <c r="B11" s="216" t="s">
        <v>153</v>
      </c>
      <c r="C11" s="216" t="str">
        <f>IF(C$6="LGBF Family Group 1",Lookups!I32,IF(C$6="LGBF Family Group 2",Lookups!J32,IF(C$6="LGBF Family Group 3",Lookups!K32,Lookups!L32)))</f>
        <v>Edinburgh, City of</v>
      </c>
      <c r="D11" s="254">
        <f>IF(VLOOKUP($C11,'Raw - 20th Percentile Earnings'!$A:$Q,4,FALSE)="","-",(VLOOKUP($C11,'Raw - 20th Percentile Earnings'!$A:$Q,4,FALSE)))</f>
        <v>445.6</v>
      </c>
      <c r="E11" s="254">
        <f>IF(VLOOKUP($C11,'Raw - 20th Percentile Earnings'!$A:$Q,8,FALSE)="","-",(VLOOKUP($C11,'Raw - 20th Percentile Earnings'!$A:$Q,8,FALSE)))</f>
        <v>466.5</v>
      </c>
      <c r="F11" s="254">
        <f>IF(VLOOKUP($C11,'Raw - 20th Percentile Earnings'!$A:$Q,12,FALSE)="","-",(VLOOKUP($C11,'Raw - 20th Percentile Earnings'!$A:$Q,12,FALSE)))</f>
        <v>506.4</v>
      </c>
      <c r="G11" s="254">
        <f>IF(VLOOKUP($C11,'Raw - 20th Percentile Earnings'!$A:$Q,16,FALSE)="","-",(VLOOKUP($C11,'Raw - 20th Percentile Earnings'!$A:$Q,16,FALSE)))</f>
        <v>552.5</v>
      </c>
      <c r="H11" s="228">
        <f t="shared" si="2"/>
        <v>0.23990125673249546</v>
      </c>
      <c r="I11" s="255">
        <f t="shared" si="3"/>
        <v>106.89999999999998</v>
      </c>
      <c r="J11" s="230">
        <f t="shared" si="4"/>
        <v>0.11276018099547504</v>
      </c>
      <c r="K11" s="256">
        <f t="shared" si="5"/>
        <v>62.299999999999955</v>
      </c>
    </row>
    <row r="12" spans="2:12" s="137" customFormat="1" ht="19.5" customHeight="1">
      <c r="B12" s="216" t="s">
        <v>153</v>
      </c>
      <c r="C12" s="216" t="str">
        <f>IF(C$6="LGBF Family Group 1",Lookups!I33,IF(C$6="LGBF Family Group 2",Lookups!J33,IF(C$6="LGBF Family Group 3",Lookups!K33,Lookups!L33)))</f>
        <v>West Dunbartonshire</v>
      </c>
      <c r="D12" s="254">
        <f>IF(VLOOKUP($C12,'Raw - 20th Percentile Earnings'!$A:$Q,4,FALSE)="","-",(VLOOKUP($C12,'Raw - 20th Percentile Earnings'!$A:$Q,4,FALSE)))</f>
        <v>435.6</v>
      </c>
      <c r="E12" s="254">
        <f>IF(VLOOKUP($C12,'Raw - 20th Percentile Earnings'!$A:$Q,8,FALSE)="","-",(VLOOKUP($C12,'Raw - 20th Percentile Earnings'!$A:$Q,8,FALSE)))</f>
        <v>451.2</v>
      </c>
      <c r="F12" s="254">
        <f>IF(VLOOKUP($C12,'Raw - 20th Percentile Earnings'!$A:$Q,12,FALSE)="","-",(VLOOKUP($C12,'Raw - 20th Percentile Earnings'!$A:$Q,12,FALSE)))</f>
        <v>503.5</v>
      </c>
      <c r="G12" s="254">
        <f>IF(VLOOKUP($C12,'Raw - 20th Percentile Earnings'!$A:$Q,16,FALSE)="","-",(VLOOKUP($C12,'Raw - 20th Percentile Earnings'!$A:$Q,16,FALSE)))</f>
        <v>502.8</v>
      </c>
      <c r="H12" s="228">
        <f t="shared" si="2"/>
        <v>0.15426997245179061</v>
      </c>
      <c r="I12" s="255">
        <f t="shared" si="3"/>
        <v>67.199999999999989</v>
      </c>
      <c r="J12" s="230">
        <f t="shared" si="4"/>
        <v>0.22275258552108182</v>
      </c>
      <c r="K12" s="256">
        <f t="shared" si="5"/>
        <v>111.99999999999994</v>
      </c>
    </row>
    <row r="13" spans="2:12" s="137" customFormat="1" ht="19.5" customHeight="1">
      <c r="B13" s="216" t="s">
        <v>153</v>
      </c>
      <c r="C13" s="216" t="str">
        <f>IF(C$6="LGBF Family Group 1",Lookups!I34,IF(C$6="LGBF Family Group 2",Lookups!J34,IF(C$6="LGBF Family Group 3",Lookups!K34,Lookups!L34)))</f>
        <v>Dundee City</v>
      </c>
      <c r="D13" s="254">
        <f>IF(VLOOKUP($C13,'Raw - 20th Percentile Earnings'!$A:$Q,4,FALSE)="","-",(VLOOKUP($C13,'Raw - 20th Percentile Earnings'!$A:$Q,4,FALSE)))</f>
        <v>408.2</v>
      </c>
      <c r="E13" s="254">
        <f>IF(VLOOKUP($C13,'Raw - 20th Percentile Earnings'!$A:$Q,8,FALSE)="","-",(VLOOKUP($C13,'Raw - 20th Percentile Earnings'!$A:$Q,8,FALSE)))</f>
        <v>428.5</v>
      </c>
      <c r="F13" s="254">
        <f>IF(VLOOKUP($C13,'Raw - 20th Percentile Earnings'!$A:$Q,12,FALSE)="","-",(VLOOKUP($C13,'Raw - 20th Percentile Earnings'!$A:$Q,12,FALSE)))</f>
        <v>469.2</v>
      </c>
      <c r="G13" s="254">
        <f>IF(VLOOKUP($C13,'Raw - 20th Percentile Earnings'!$A:$Q,16,FALSE)="","-",(VLOOKUP($C13,'Raw - 20th Percentile Earnings'!$A:$Q,16,FALSE)))</f>
        <v>513.70000000000005</v>
      </c>
      <c r="H13" s="228">
        <f t="shared" si="2"/>
        <v>0.25845173934345922</v>
      </c>
      <c r="I13" s="255">
        <f t="shared" si="3"/>
        <v>105.50000000000006</v>
      </c>
      <c r="J13" s="230">
        <f t="shared" si="4"/>
        <v>0.196807475180066</v>
      </c>
      <c r="K13" s="256">
        <f t="shared" si="5"/>
        <v>101.09999999999991</v>
      </c>
    </row>
    <row r="14" spans="2:12" s="137" customFormat="1" ht="19.5" customHeight="1">
      <c r="B14" s="216" t="s">
        <v>153</v>
      </c>
      <c r="C14" s="216" t="str">
        <f>IF(C$6="LGBF Family Group 1",Lookups!I35,IF(C$6="LGBF Family Group 2",Lookups!J35,IF(C$6="LGBF Family Group 3",Lookups!K35,Lookups!L35)))</f>
        <v>Glasgow City</v>
      </c>
      <c r="D14" s="254">
        <f>IF(VLOOKUP($C14,'Raw - 20th Percentile Earnings'!$A:$Q,4,FALSE)="","-",(VLOOKUP($C14,'Raw - 20th Percentile Earnings'!$A:$Q,4,FALSE)))</f>
        <v>419.8</v>
      </c>
      <c r="E14" s="254">
        <f>IF(VLOOKUP($C14,'Raw - 20th Percentile Earnings'!$A:$Q,8,FALSE)="","-",(VLOOKUP($C14,'Raw - 20th Percentile Earnings'!$A:$Q,8,FALSE)))</f>
        <v>452.4</v>
      </c>
      <c r="F14" s="254">
        <f>IF(VLOOKUP($C14,'Raw - 20th Percentile Earnings'!$A:$Q,12,FALSE)="","-",(VLOOKUP($C14,'Raw - 20th Percentile Earnings'!$A:$Q,12,FALSE)))</f>
        <v>497.5</v>
      </c>
      <c r="G14" s="254">
        <f>IF(VLOOKUP($C14,'Raw - 20th Percentile Earnings'!$A:$Q,16,FALSE)="","-",(VLOOKUP($C14,'Raw - 20th Percentile Earnings'!$A:$Q,16,FALSE)))</f>
        <v>526.79999999999995</v>
      </c>
      <c r="H14" s="228">
        <f t="shared" si="2"/>
        <v>0.25488327775130998</v>
      </c>
      <c r="I14" s="255">
        <f t="shared" si="3"/>
        <v>106.99999999999994</v>
      </c>
      <c r="J14" s="230">
        <f t="shared" si="4"/>
        <v>0.16704631738800305</v>
      </c>
      <c r="K14" s="256">
        <f t="shared" si="5"/>
        <v>88</v>
      </c>
    </row>
    <row r="15" spans="2:12" s="137" customFormat="1" ht="19.5" customHeight="1">
      <c r="B15" s="223"/>
      <c r="C15" s="232" t="s">
        <v>511</v>
      </c>
      <c r="D15" s="233"/>
      <c r="E15" s="233"/>
      <c r="F15" s="233"/>
      <c r="G15" s="233"/>
      <c r="H15" s="225"/>
      <c r="I15" s="231"/>
      <c r="J15" s="225"/>
      <c r="K15" s="233"/>
    </row>
    <row r="16" spans="2:12" s="137" customFormat="1" ht="19.5" customHeight="1">
      <c r="B16" s="223"/>
      <c r="C16" s="223"/>
      <c r="D16" s="224"/>
      <c r="E16" s="224"/>
      <c r="F16" s="224"/>
      <c r="G16" s="224"/>
      <c r="H16" s="225"/>
      <c r="I16" s="225"/>
      <c r="J16" s="225"/>
      <c r="K16" s="225"/>
      <c r="L16" s="225"/>
    </row>
    <row r="17" spans="2:12" s="137" customFormat="1" ht="19.5" customHeight="1">
      <c r="B17" s="226" t="s">
        <v>52</v>
      </c>
      <c r="C17" s="216" t="str">
        <f>INDEX('Raw - 20th Percentile Earnings'!$A$9:$A$40,MATCH(MAX('Raw - 20th Percentile Earnings'!P9:P40),'Raw - 20th Percentile Earnings'!P9:P40,0))</f>
        <v>East Renfrewshire</v>
      </c>
      <c r="D17" s="254">
        <f>VLOOKUP($C17,'Raw - 20th Percentile Earnings'!$A:$Q,4,FALSE)</f>
        <v>536.70000000000005</v>
      </c>
      <c r="E17" s="254">
        <f>VLOOKUP($C17,'Raw - 20th Percentile Earnings'!$A:$Q,8,FALSE)</f>
        <v>535.5</v>
      </c>
      <c r="F17" s="254">
        <f>VLOOKUP($C17,'Raw - 20th Percentile Earnings'!$A:$Q,12,FALSE)</f>
        <v>578.70000000000005</v>
      </c>
      <c r="G17" s="254">
        <f>VLOOKUP($C17,'Raw - 20th Percentile Earnings'!$A:$Q,16,FALSE)</f>
        <v>614.79999999999995</v>
      </c>
      <c r="H17" s="228">
        <f t="shared" ref="H17" si="6">IFERROR(IF(OR(D17="-",G17="-"),"-",SUM(G17-D17)/D17),"-")</f>
        <v>0.14551891186882784</v>
      </c>
      <c r="I17" s="255">
        <f t="shared" ref="I17" si="7">IFERROR(IF(H17="-","-",G17-D17),"-")</f>
        <v>78.099999999999909</v>
      </c>
      <c r="J17" s="231"/>
    </row>
    <row r="18" spans="2:12" s="137" customFormat="1" ht="19.5" customHeight="1">
      <c r="B18" s="226" t="s">
        <v>271</v>
      </c>
      <c r="C18" s="227" t="s">
        <v>246</v>
      </c>
      <c r="D18" s="254">
        <f>VLOOKUP($C18,'Raw - 20th Percentile Earnings'!$A:$Q,4,FALSE)</f>
        <v>440.62857142857138</v>
      </c>
      <c r="E18" s="254">
        <f>VLOOKUP($C18,'Raw - 20th Percentile Earnings'!$A:$Q,8,FALSE)</f>
        <v>462.7</v>
      </c>
      <c r="F18" s="254">
        <f>VLOOKUP($C18,'Raw - 20th Percentile Earnings'!$A:$Q,12,FALSE)</f>
        <v>518.87142857142862</v>
      </c>
      <c r="G18" s="254">
        <f>VLOOKUP($C18,'Raw - 20th Percentile Earnings'!$A:$Q,16,FALSE)</f>
        <v>537.75714285714287</v>
      </c>
      <c r="H18" s="228">
        <f t="shared" ref="H18:H21" si="8">IFERROR(IF(OR(D18="-",G18="-"),"-",SUM(G18-D18)/D18),"-")</f>
        <v>0.2204318506030348</v>
      </c>
      <c r="I18" s="255">
        <f t="shared" ref="I18:I21" si="9">IFERROR(IF(H18="-","-",G18-D18),"-")</f>
        <v>97.12857142857149</v>
      </c>
      <c r="J18" s="231"/>
    </row>
    <row r="19" spans="2:12" s="137" customFormat="1" ht="19.5" customHeight="1">
      <c r="B19" s="226" t="s">
        <v>270</v>
      </c>
      <c r="C19" s="216" t="s">
        <v>157</v>
      </c>
      <c r="D19" s="254">
        <f>VLOOKUP($C19,'Raw - 20th Percentile Earnings'!$A:$Q,4,FALSE)</f>
        <v>425.64999999999992</v>
      </c>
      <c r="E19" s="254">
        <f>VLOOKUP($C19,'Raw - 20th Percentile Earnings'!$A:$Q,8,FALSE)</f>
        <v>448.2166666666667</v>
      </c>
      <c r="F19" s="254">
        <f>VLOOKUP($C19,'Raw - 20th Percentile Earnings'!$A:$Q,12,FALSE)</f>
        <v>500.2833333333333</v>
      </c>
      <c r="G19" s="254">
        <f>VLOOKUP($C19,'Raw - 20th Percentile Earnings'!$A:$Q,16,FALSE)</f>
        <v>532.76666666666665</v>
      </c>
      <c r="H19" s="228">
        <f t="shared" si="8"/>
        <v>0.25165433258937331</v>
      </c>
      <c r="I19" s="255">
        <f t="shared" si="9"/>
        <v>107.11666666666673</v>
      </c>
      <c r="J19" s="231"/>
    </row>
    <row r="20" spans="2:12" s="137" customFormat="1" ht="19.5" customHeight="1">
      <c r="B20" s="226" t="s">
        <v>164</v>
      </c>
      <c r="C20" s="216" t="s">
        <v>46</v>
      </c>
      <c r="D20" s="254">
        <f>VLOOKUP($C20,'Raw - 20th Percentile Earnings'!$A:$Q,4,FALSE)</f>
        <v>429.6</v>
      </c>
      <c r="E20" s="254">
        <f>VLOOKUP($C20,'Raw - 20th Percentile Earnings'!$A:$Q,8,FALSE)</f>
        <v>455.7</v>
      </c>
      <c r="F20" s="254">
        <f>VLOOKUP($C20,'Raw - 20th Percentile Earnings'!$A:$Q,12,FALSE)</f>
        <v>502.2</v>
      </c>
      <c r="G20" s="254">
        <f>VLOOKUP($C20,'Raw - 20th Percentile Earnings'!$A:$Q,16,FALSE)</f>
        <v>536.6</v>
      </c>
      <c r="H20" s="228">
        <f t="shared" si="8"/>
        <v>0.24906890130353815</v>
      </c>
      <c r="I20" s="255">
        <f t="shared" si="9"/>
        <v>107</v>
      </c>
      <c r="J20" s="231"/>
    </row>
    <row r="21" spans="2:12" ht="19.5" customHeight="1">
      <c r="B21" s="188" t="s">
        <v>164</v>
      </c>
      <c r="C21" s="183" t="s">
        <v>47</v>
      </c>
      <c r="D21" s="257">
        <f>VLOOKUP($C21,'Raw - 20th Percentile Earnings'!$A:$Q,4,FALSE)</f>
        <v>423.7</v>
      </c>
      <c r="E21" s="257">
        <f>VLOOKUP($C21,'Raw - 20th Percentile Earnings'!$A:$Q,8,FALSE)</f>
        <v>454.9</v>
      </c>
      <c r="F21" s="257">
        <f>VLOOKUP($C21,'Raw - 20th Percentile Earnings'!$A:$Q,12,FALSE)</f>
        <v>491.3</v>
      </c>
      <c r="G21" s="257">
        <f>VLOOKUP($C21,'Raw - 20th Percentile Earnings'!$A:$Q,16,FALSE)</f>
        <v>527</v>
      </c>
      <c r="H21" s="228">
        <f t="shared" si="8"/>
        <v>0.24380457871135242</v>
      </c>
      <c r="I21" s="255">
        <f t="shared" si="9"/>
        <v>103.30000000000001</v>
      </c>
      <c r="J21" s="194"/>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J5</f>
        <v>Top Performing Scottish Local Authority</v>
      </c>
    </row>
    <row r="24" spans="2:12">
      <c r="B24" s="193" t="s">
        <v>207</v>
      </c>
    </row>
    <row r="25" spans="2:12">
      <c r="H25" s="195"/>
      <c r="I25" s="195"/>
      <c r="J25" s="195"/>
      <c r="K25" s="195"/>
      <c r="L25" s="191"/>
    </row>
  </sheetData>
  <sheetProtection algorithmName="SHA-512" hashValue="E/QK/1/kJjmliqrcGOSmBGKRUo6sllWi/oSnHULzOA92zwUbhrtCtCV5QyeEI9keZeqPxfvIbjP0wuCDYTU3nw==" saltValue="YgLXzmsJb0gb+417+h26oQ==" spinCount="100000" sheet="1" sort="0"/>
  <mergeCells count="4">
    <mergeCell ref="J4:K4"/>
    <mergeCell ref="H5:I5"/>
    <mergeCell ref="J5:K5"/>
    <mergeCell ref="G2:H2"/>
  </mergeCells>
  <hyperlinks>
    <hyperlink ref="C3" r:id="rId1" xr:uid="{00000000-0004-0000-1600-000000000000}"/>
    <hyperlink ref="G2:H2" location="'Index RAG'!A1" display="Return to Index RAG" xr:uid="{43885C66-0887-4A7F-8838-A57FCF5B2466}"/>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9EC6BA9-82C3-4372-9182-F066925100C9}">
          <x14:formula1>
            <xm:f>Lookups!$B$27:$E$27</xm:f>
          </x14:formula1>
          <xm:sqref>C6</xm:sqref>
        </x14:dataValidation>
        <x14:dataValidation type="list" allowBlank="1" showInputMessage="1" showErrorMessage="1" xr:uid="{B1B48D3F-2820-4D4A-901E-97FE41C4AAEE}">
          <x14:formula1>
            <xm:f>Lookups!$B$36:$E$36</xm:f>
          </x14:formula1>
          <xm:sqref>C18</xm:sqref>
        </x14:dataValidation>
        <x14:dataValidation type="list" allowBlank="1" showInputMessage="1" showErrorMessage="1" xr:uid="{ABEC0EF0-E995-4292-8232-CB81A37065D6}">
          <x14:formula1>
            <xm:f>Lookups!$B$9:$B$13</xm:f>
          </x14:formula1>
          <xm:sqref>J5:K5</xm:sqref>
        </x14:dataValidation>
        <x14:dataValidation type="list" allowBlank="1" showInputMessage="1" showErrorMessage="1" xr:uid="{284B8A70-2813-4AAA-9B7E-779191E4701A}">
          <x14:formula1>
            <xm:f>Lookups!$Q$3:$Q$7</xm:f>
          </x14:formula1>
          <xm:sqref>C19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Underemployment Rate (%) - LGBF Family Group 4</v>
      </c>
      <c r="D1" s="170" t="s">
        <v>290</v>
      </c>
    </row>
    <row r="2" spans="2:12" ht="12.75">
      <c r="B2" s="171" t="s">
        <v>49</v>
      </c>
      <c r="C2" s="172" t="s">
        <v>334</v>
      </c>
      <c r="F2" s="467" t="s">
        <v>216</v>
      </c>
      <c r="G2" s="468"/>
    </row>
    <row r="3" spans="2:12" ht="12.75">
      <c r="B3" s="171" t="s">
        <v>50</v>
      </c>
      <c r="C3" s="309" t="s">
        <v>267</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245</v>
      </c>
      <c r="D6" s="181">
        <v>2017</v>
      </c>
      <c r="E6" s="181">
        <v>2018</v>
      </c>
      <c r="F6" s="181">
        <v>2019</v>
      </c>
      <c r="G6" s="181">
        <v>2020</v>
      </c>
      <c r="H6" s="181" t="s">
        <v>134</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North Lanarkshire</v>
      </c>
      <c r="D7" s="217">
        <f>VLOOKUP($C7,'Raw - Underemployment'!$A:$Q,4,FALSE)</f>
        <v>5.4</v>
      </c>
      <c r="E7" s="217">
        <f>VLOOKUP($C7,'Raw - Underemployment'!$A:$Q,8,FALSE)</f>
        <v>5.6</v>
      </c>
      <c r="F7" s="217">
        <f>VLOOKUP($C7,'Raw - Underemployment'!$A:$Q,12,FALSE)</f>
        <v>4.4000000000000004</v>
      </c>
      <c r="G7" s="217">
        <f>VLOOKUP($C7,'Raw - Underemployment'!$A:$Q,16,FALSE)</f>
        <v>9.1</v>
      </c>
      <c r="H7" s="218">
        <f>VLOOKUP(C7,'Raw - Underemployment'!A:Q,14,FALSE)</f>
        <v>13900</v>
      </c>
      <c r="I7" s="219">
        <f>IFERROR(SUM(G7-D7),"-")</f>
        <v>3.6999999999999993</v>
      </c>
      <c r="J7" s="220">
        <f>IFERROR(SUM(VLOOKUP(C7,'Raw - Underemployment'!A:Q,14,FALSE)-VLOOKUP(C7,'Raw - Underemployment'!A:Q,2,FALSE)),"-")</f>
        <v>5200</v>
      </c>
      <c r="K7" s="221">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-5.6999999999999993</v>
      </c>
      <c r="L7" s="222">
        <f>IF(K7="-","-",IF(K7=""," ",IF($K$5="LGBF Family Group Average",SUM(MROUND(SUM(SUM(VLOOKUP(C$18,'Raw - Underemployment'!A:Q,16,FALSE)*VLOOKUP(C7,'Raw - Underemployment'!A:Q,15,FALSE))/100),100)-MROUND(SUM(SUM(VLOOKUP(C7,'Raw - Underemployment'!A:Q,16,FALSE)*VLOOKUP(C7,'Raw - Underemployment'!A:Q,15,FALSE))/100),100)),IF($K$5="City Region Comparator",SUM(MROUND(SUM(SUM(VLOOKUP(C$19,'Raw - Underemployment'!A:Q,16,FALSE)*VLOOKUP(C7,'Raw - Underemployment'!A:Q,15,FALSE))/100),100)-MROUND(SUM(SUM(VLOOKUP(C7,'Raw - Underemployment'!A:Q,16,FALSE)*VLOOKUP(C7,'Raw - Underemployment'!A:Q,15,FALSE))/100),100)),IF($K$5="Scotland",SUM(MROUND(SUM(SUM(VLOOKUP(C$20,'Raw - Underemployment'!A:Q,16,FALSE)*VLOOKUP(C7,'Raw - Underemployment'!A:Q,15,FALSE))/100),100)-MROUND(SUM(SUM(VLOOKUP(C7,'Raw - Underemployment'!A:Q,16,FALSE)*VLOOKUP(C7,'Raw - Underemployment'!A:Q,15,FALSE))/100),100)),IF($K$5="United Kingdom",SUM(MROUND(SUM(SUM(VLOOKUP(C$21,'Raw - Underemployment'!A:Q,16,FALSE)*VLOOKUP(C7,'Raw - Underemployment'!A:Q,15,FALSE))/100),100)-MROUND(SUM(SUM(VLOOKUP(C7,'Raw - Underemployment'!A:Q,16,FALSE)*VLOOKUP(C7,'Raw - Underemployment'!A:Q,15,FALSE))/100),100)),SUM(MROUND(SUM(SUM(VLOOKUP(C$17,'Raw - Underemployment'!A:Q,16,FALSE)*VLOOKUP(C7,'Raw - Underemployment'!A:Q,15,FALSE))/100),100)-MROUND(SUM(SUM(VLOOKUP(C7,'Raw - Underemployment'!A:Q,16,FALSE)*VLOOKUP(C7,'Raw - Underemployment'!A:Q,15,FALSE))/100),100))))))))</f>
        <v>-8700</v>
      </c>
    </row>
    <row r="8" spans="2:12" s="137" customFormat="1" ht="19.5" customHeight="1">
      <c r="B8" s="216" t="s">
        <v>153</v>
      </c>
      <c r="C8" s="216" t="str">
        <f>IF(C$6="LGBF Family Group 1",Lookups!I29,IF(C$6="LGBF Family Group 2",Lookups!J29,IF(C$6="LGBF Family Group 3",Lookups!K29,Lookups!L29)))</f>
        <v>Falkirk</v>
      </c>
      <c r="D8" s="217">
        <f>VLOOKUP($C8,'Raw - Underemployment'!$A:$Q,4,FALSE)</f>
        <v>6.4</v>
      </c>
      <c r="E8" s="217">
        <f>VLOOKUP($C8,'Raw - Underemployment'!$A:$Q,8,FALSE)</f>
        <v>6.7</v>
      </c>
      <c r="F8" s="217">
        <f>VLOOKUP($C8,'Raw - Underemployment'!$A:$Q,12,FALSE)</f>
        <v>6.7</v>
      </c>
      <c r="G8" s="217">
        <f>VLOOKUP($C8,'Raw - Underemployment'!$A:$Q,16,FALSE)</f>
        <v>3.4</v>
      </c>
      <c r="H8" s="218">
        <f>VLOOKUP(C8,'Raw - Underemployment'!A:Q,14,FALSE)</f>
        <v>2700</v>
      </c>
      <c r="I8" s="219">
        <f t="shared" ref="I8:I14" si="1">IFERROR(SUM(G8-D8),"-")</f>
        <v>-3.0000000000000004</v>
      </c>
      <c r="J8" s="220">
        <f>IFERROR(SUM(VLOOKUP(C8,'Raw - Underemployment'!A:Q,14,FALSE)-VLOOKUP(C8,'Raw - Underemployment'!A:Q,2,FALSE)),"-")</f>
        <v>-2200</v>
      </c>
      <c r="K8" s="221" t="str">
        <f t="shared" si="0"/>
        <v/>
      </c>
      <c r="L8" s="222" t="str">
        <f>IF(K8="-","-",IF(K8=""," ",IF($K$5="LGBF Family Group Average",SUM(MROUND(SUM(SUM(VLOOKUP(C$18,'Raw - Underemployment'!A:Q,16,FALSE)*VLOOKUP(C8,'Raw - Underemployment'!A:Q,15,FALSE))/100),100)-MROUND(SUM(SUM(VLOOKUP(C8,'Raw - Underemployment'!A:Q,16,FALSE)*VLOOKUP(C8,'Raw - Underemployment'!A:Q,15,FALSE))/100),100)),IF($K$5="City Region Comparator",SUM(MROUND(SUM(SUM(VLOOKUP(C$19,'Raw - Underemployment'!A:Q,16,FALSE)*VLOOKUP(C8,'Raw - Underemployment'!A:Q,15,FALSE))/100),100)-MROUND(SUM(SUM(VLOOKUP(C8,'Raw - Underemployment'!A:Q,16,FALSE)*VLOOKUP(C8,'Raw - Underemployment'!A:Q,15,FALSE))/100),100)),IF($K$5="Scotland",SUM(MROUND(SUM(SUM(VLOOKUP(C$20,'Raw - Underemployment'!A:Q,16,FALSE)*VLOOKUP(C8,'Raw - Underemployment'!A:Q,15,FALSE))/100),100)-MROUND(SUM(SUM(VLOOKUP(C8,'Raw - Underemployment'!A:Q,16,FALSE)*VLOOKUP(C8,'Raw - Underemployment'!A:Q,15,FALSE))/100),100)),IF($K$5="United Kingdom",SUM(MROUND(SUM(SUM(VLOOKUP(C$21,'Raw - Underemployment'!A:Q,16,FALSE)*VLOOKUP(C8,'Raw - Underemployment'!A:Q,15,FALSE))/100),100)-MROUND(SUM(SUM(VLOOKUP(C8,'Raw - Underemployment'!A:Q,16,FALSE)*VLOOKUP(C8,'Raw - Underemployment'!A:Q,15,FALSE))/100),100)),SUM(MROUND(SUM(SUM(VLOOKUP(C$17,'Raw - Underemployment'!A:Q,16,FALSE)*VLOOKUP(C8,'Raw - Underemployment'!A:Q,15,FALSE))/100),100)-MROUND(SUM(SUM(VLOOKUP(C8,'Raw - Underemployment'!A:Q,16,FALSE)*VLOOKUP(C8,'Raw - Underemployment'!A:Q,15,FALSE))/100),100))))))))</f>
        <v xml:space="preserve"> </v>
      </c>
    </row>
    <row r="9" spans="2:12" s="137" customFormat="1" ht="19.5" customHeight="1">
      <c r="B9" s="216" t="s">
        <v>153</v>
      </c>
      <c r="C9" s="216" t="str">
        <f>IF(C$6="LGBF Family Group 1",Lookups!I30,IF(C$6="LGBF Family Group 2",Lookups!J30,IF(C$6="LGBF Family Group 3",Lookups!K30,Lookups!L30)))</f>
        <v>East Dunbartonshire</v>
      </c>
      <c r="D9" s="217">
        <f>VLOOKUP($C9,'Raw - Underemployment'!$A:$Q,4,FALSE)</f>
        <v>7.7</v>
      </c>
      <c r="E9" s="217">
        <f>VLOOKUP($C9,'Raw - Underemployment'!$A:$Q,8,FALSE)</f>
        <v>5.0999999999999996</v>
      </c>
      <c r="F9" s="217">
        <f>VLOOKUP($C9,'Raw - Underemployment'!$A:$Q,12,FALSE)</f>
        <v>4.5999999999999996</v>
      </c>
      <c r="G9" s="217">
        <f>VLOOKUP($C9,'Raw - Underemployment'!$A:$Q,16,FALSE)</f>
        <v>5.9</v>
      </c>
      <c r="H9" s="218">
        <f>VLOOKUP(C9,'Raw - Underemployment'!A:Q,14,FALSE)</f>
        <v>3000</v>
      </c>
      <c r="I9" s="219">
        <f t="shared" si="1"/>
        <v>-1.7999999999999998</v>
      </c>
      <c r="J9" s="220">
        <f>IFERROR(SUM(VLOOKUP(C9,'Raw - Underemployment'!A:Q,14,FALSE)-VLOOKUP(C9,'Raw - Underemployment'!A:Q,2,FALSE)),"-")</f>
        <v>-900</v>
      </c>
      <c r="K9" s="221">
        <f t="shared" si="0"/>
        <v>-2.5000000000000004</v>
      </c>
      <c r="L9" s="222">
        <f>IF(K9="-","-",IF(K9=""," ",IF($K$5="LGBF Family Group Average",SUM(MROUND(SUM(SUM(VLOOKUP(C$18,'Raw - Underemployment'!A:Q,16,FALSE)*VLOOKUP(C9,'Raw - Underemployment'!A:Q,15,FALSE))/100),100)-MROUND(SUM(SUM(VLOOKUP(C9,'Raw - Underemployment'!A:Q,16,FALSE)*VLOOKUP(C9,'Raw - Underemployment'!A:Q,15,FALSE))/100),100)),IF($K$5="City Region Comparator",SUM(MROUND(SUM(SUM(VLOOKUP(C$19,'Raw - Underemployment'!A:Q,16,FALSE)*VLOOKUP(C9,'Raw - Underemployment'!A:Q,15,FALSE))/100),100)-MROUND(SUM(SUM(VLOOKUP(C9,'Raw - Underemployment'!A:Q,16,FALSE)*VLOOKUP(C9,'Raw - Underemployment'!A:Q,15,FALSE))/100),100)),IF($K$5="Scotland",SUM(MROUND(SUM(SUM(VLOOKUP(C$20,'Raw - Underemployment'!A:Q,16,FALSE)*VLOOKUP(C9,'Raw - Underemployment'!A:Q,15,FALSE))/100),100)-MROUND(SUM(SUM(VLOOKUP(C9,'Raw - Underemployment'!A:Q,16,FALSE)*VLOOKUP(C9,'Raw - Underemployment'!A:Q,15,FALSE))/100),100)),IF($K$5="United Kingdom",SUM(MROUND(SUM(SUM(VLOOKUP(C$21,'Raw - Underemployment'!A:Q,16,FALSE)*VLOOKUP(C9,'Raw - Underemployment'!A:Q,15,FALSE))/100),100)-MROUND(SUM(SUM(VLOOKUP(C9,'Raw - Underemployment'!A:Q,16,FALSE)*VLOOKUP(C9,'Raw - Underemployment'!A:Q,15,FALSE))/100),100)),SUM(MROUND(SUM(SUM(VLOOKUP(C$17,'Raw - Underemployment'!A:Q,16,FALSE)*VLOOKUP(C9,'Raw - Underemployment'!A:Q,15,FALSE))/100),100)-MROUND(SUM(SUM(VLOOKUP(C9,'Raw - Underemployment'!A:Q,16,FALSE)*VLOOKUP(C9,'Raw - Underemployment'!A:Q,15,FALSE))/100),100))))))))</f>
        <v>-1300</v>
      </c>
    </row>
    <row r="10" spans="2:12" s="137" customFormat="1" ht="19.5" customHeight="1">
      <c r="B10" s="216" t="s">
        <v>153</v>
      </c>
      <c r="C10" s="216" t="str">
        <f>IF(C$6="LGBF Family Group 1",Lookups!I31,IF(C$6="LGBF Family Group 2",Lookups!J31,IF(C$6="LGBF Family Group 3",Lookups!K31,Lookups!L31)))</f>
        <v>Aberdeen City</v>
      </c>
      <c r="D10" s="217">
        <f>VLOOKUP($C10,'Raw - Underemployment'!$A:$Q,4,FALSE)</f>
        <v>9.5</v>
      </c>
      <c r="E10" s="217">
        <f>VLOOKUP($C10,'Raw - Underemployment'!$A:$Q,8,FALSE)</f>
        <v>9.6</v>
      </c>
      <c r="F10" s="217">
        <f>VLOOKUP($C10,'Raw - Underemployment'!$A:$Q,12,FALSE)</f>
        <v>9</v>
      </c>
      <c r="G10" s="217">
        <f>VLOOKUP($C10,'Raw - Underemployment'!$A:$Q,16,FALSE)</f>
        <v>7</v>
      </c>
      <c r="H10" s="218">
        <f>VLOOKUP(C10,'Raw - Underemployment'!A:Q,14,FALSE)</f>
        <v>8100</v>
      </c>
      <c r="I10" s="219">
        <f t="shared" si="1"/>
        <v>-2.5</v>
      </c>
      <c r="J10" s="220">
        <f>IFERROR(SUM(VLOOKUP(C10,'Raw - Underemployment'!A:Q,14,FALSE)-VLOOKUP(C10,'Raw - Underemployment'!A:Q,2,FALSE)),"-")</f>
        <v>-3100</v>
      </c>
      <c r="K10" s="221">
        <f t="shared" si="0"/>
        <v>-3.6</v>
      </c>
      <c r="L10" s="222">
        <f>IF(K10="-","-",IF(K10=""," ",IF($K$5="LGBF Family Group Average",SUM(MROUND(SUM(SUM(VLOOKUP(C$18,'Raw - Underemployment'!A:Q,16,FALSE)*VLOOKUP(C10,'Raw - Underemployment'!A:Q,15,FALSE))/100),100)-MROUND(SUM(SUM(VLOOKUP(C10,'Raw - Underemployment'!A:Q,16,FALSE)*VLOOKUP(C10,'Raw - Underemployment'!A:Q,15,FALSE))/100),100)),IF($K$5="City Region Comparator",SUM(MROUND(SUM(SUM(VLOOKUP(C$19,'Raw - Underemployment'!A:Q,16,FALSE)*VLOOKUP(C10,'Raw - Underemployment'!A:Q,15,FALSE))/100),100)-MROUND(SUM(SUM(VLOOKUP(C10,'Raw - Underemployment'!A:Q,16,FALSE)*VLOOKUP(C10,'Raw - Underemployment'!A:Q,15,FALSE))/100),100)),IF($K$5="Scotland",SUM(MROUND(SUM(SUM(VLOOKUP(C$20,'Raw - Underemployment'!A:Q,16,FALSE)*VLOOKUP(C10,'Raw - Underemployment'!A:Q,15,FALSE))/100),100)-MROUND(SUM(SUM(VLOOKUP(C10,'Raw - Underemployment'!A:Q,16,FALSE)*VLOOKUP(C10,'Raw - Underemployment'!A:Q,15,FALSE))/100),100)),IF($K$5="United Kingdom",SUM(MROUND(SUM(SUM(VLOOKUP(C$21,'Raw - Underemployment'!A:Q,16,FALSE)*VLOOKUP(C10,'Raw - Underemployment'!A:Q,15,FALSE))/100),100)-MROUND(SUM(SUM(VLOOKUP(C10,'Raw - Underemployment'!A:Q,16,FALSE)*VLOOKUP(C10,'Raw - Underemployment'!A:Q,15,FALSE))/100),100)),SUM(MROUND(SUM(SUM(VLOOKUP(C$17,'Raw - Underemployment'!A:Q,16,FALSE)*VLOOKUP(C10,'Raw - Underemployment'!A:Q,15,FALSE))/100),100)-MROUND(SUM(SUM(VLOOKUP(C10,'Raw - Underemployment'!A:Q,16,FALSE)*VLOOKUP(C10,'Raw - Underemployment'!A:Q,15,FALSE))/100),100))))))))</f>
        <v>-4200</v>
      </c>
    </row>
    <row r="11" spans="2:12" s="137" customFormat="1" ht="19.5" customHeight="1">
      <c r="B11" s="216" t="s">
        <v>153</v>
      </c>
      <c r="C11" s="216" t="str">
        <f>IF(C$6="LGBF Family Group 1",Lookups!I32,IF(C$6="LGBF Family Group 2",Lookups!J32,IF(C$6="LGBF Family Group 3",Lookups!K32,Lookups!L32)))</f>
        <v>Edinburgh, City of</v>
      </c>
      <c r="D11" s="217">
        <f>VLOOKUP($C11,'Raw - Underemployment'!$A:$Q,4,FALSE)</f>
        <v>6.4</v>
      </c>
      <c r="E11" s="217">
        <f>VLOOKUP($C11,'Raw - Underemployment'!$A:$Q,8,FALSE)</f>
        <v>7.5</v>
      </c>
      <c r="F11" s="217">
        <f>VLOOKUP($C11,'Raw - Underemployment'!$A:$Q,12,FALSE)</f>
        <v>7.6</v>
      </c>
      <c r="G11" s="217">
        <f>VLOOKUP($C11,'Raw - Underemployment'!$A:$Q,16,FALSE)</f>
        <v>9.8000000000000007</v>
      </c>
      <c r="H11" s="218">
        <f>VLOOKUP(C11,'Raw - Underemployment'!A:Q,14,FALSE)</f>
        <v>26700</v>
      </c>
      <c r="I11" s="219">
        <f t="shared" si="1"/>
        <v>3.4000000000000004</v>
      </c>
      <c r="J11" s="220">
        <f>IFERROR(SUM(VLOOKUP(C11,'Raw - Underemployment'!A:Q,14,FALSE)-VLOOKUP(C11,'Raw - Underemployment'!A:Q,2,FALSE)),"-")</f>
        <v>9500</v>
      </c>
      <c r="K11" s="221">
        <f t="shared" si="0"/>
        <v>-6.4</v>
      </c>
      <c r="L11" s="222">
        <f>IF(K11="-","-",IF(K11=""," ",IF($K$5="LGBF Family Group Average",SUM(MROUND(SUM(SUM(VLOOKUP(C$18,'Raw - Underemployment'!A:Q,16,FALSE)*VLOOKUP(C11,'Raw - Underemployment'!A:Q,15,FALSE))/100),100)-MROUND(SUM(SUM(VLOOKUP(C11,'Raw - Underemployment'!A:Q,16,FALSE)*VLOOKUP(C11,'Raw - Underemployment'!A:Q,15,FALSE))/100),100)),IF($K$5="City Region Comparator",SUM(MROUND(SUM(SUM(VLOOKUP(C$19,'Raw - Underemployment'!A:Q,16,FALSE)*VLOOKUP(C11,'Raw - Underemployment'!A:Q,15,FALSE))/100),100)-MROUND(SUM(SUM(VLOOKUP(C11,'Raw - Underemployment'!A:Q,16,FALSE)*VLOOKUP(C11,'Raw - Underemployment'!A:Q,15,FALSE))/100),100)),IF($K$5="Scotland",SUM(MROUND(SUM(SUM(VLOOKUP(C$20,'Raw - Underemployment'!A:Q,16,FALSE)*VLOOKUP(C11,'Raw - Underemployment'!A:Q,15,FALSE))/100),100)-MROUND(SUM(SUM(VLOOKUP(C11,'Raw - Underemployment'!A:Q,16,FALSE)*VLOOKUP(C11,'Raw - Underemployment'!A:Q,15,FALSE))/100),100)),IF($K$5="United Kingdom",SUM(MROUND(SUM(SUM(VLOOKUP(C$21,'Raw - Underemployment'!A:Q,16,FALSE)*VLOOKUP(C11,'Raw - Underemployment'!A:Q,15,FALSE))/100),100)-MROUND(SUM(SUM(VLOOKUP(C11,'Raw - Underemployment'!A:Q,16,FALSE)*VLOOKUP(C11,'Raw - Underemployment'!A:Q,15,FALSE))/100),100)),SUM(MROUND(SUM(SUM(VLOOKUP(C$17,'Raw - Underemployment'!A:Q,16,FALSE)*VLOOKUP(C11,'Raw - Underemployment'!A:Q,15,FALSE))/100),100)-MROUND(SUM(SUM(VLOOKUP(C11,'Raw - Underemployment'!A:Q,16,FALSE)*VLOOKUP(C11,'Raw - Underemployment'!A:Q,15,FALSE))/100),100))))))))</f>
        <v>-17400</v>
      </c>
    </row>
    <row r="12" spans="2:12" s="137" customFormat="1" ht="19.5" customHeight="1">
      <c r="B12" s="216" t="s">
        <v>153</v>
      </c>
      <c r="C12" s="216" t="str">
        <f>IF(C$6="LGBF Family Group 1",Lookups!I33,IF(C$6="LGBF Family Group 2",Lookups!J33,IF(C$6="LGBF Family Group 3",Lookups!K33,Lookups!L33)))</f>
        <v>West Dunbartonshire</v>
      </c>
      <c r="D12" s="217">
        <f>VLOOKUP($C12,'Raw - Underemployment'!$A:$Q,4,FALSE)</f>
        <v>7.8</v>
      </c>
      <c r="E12" s="217">
        <f>VLOOKUP($C12,'Raw - Underemployment'!$A:$Q,8,FALSE)</f>
        <v>7.1</v>
      </c>
      <c r="F12" s="217">
        <f>VLOOKUP($C12,'Raw - Underemployment'!$A:$Q,12,FALSE)</f>
        <v>8.1</v>
      </c>
      <c r="G12" s="217">
        <f>VLOOKUP($C12,'Raw - Underemployment'!$A:$Q,16,FALSE)</f>
        <v>6</v>
      </c>
      <c r="H12" s="218">
        <f>VLOOKUP(C12,'Raw - Underemployment'!A:Q,14,FALSE)</f>
        <v>2500</v>
      </c>
      <c r="I12" s="219">
        <f t="shared" si="1"/>
        <v>-1.7999999999999998</v>
      </c>
      <c r="J12" s="220">
        <f>IFERROR(SUM(VLOOKUP(C12,'Raw - Underemployment'!A:Q,14,FALSE)-VLOOKUP(C12,'Raw - Underemployment'!A:Q,2,FALSE)),"-")</f>
        <v>-700</v>
      </c>
      <c r="K12" s="221">
        <f t="shared" si="0"/>
        <v>-2.6</v>
      </c>
      <c r="L12" s="222">
        <f>IF(K12="-","-",IF(K12=""," ",IF($K$5="LGBF Family Group Average",SUM(MROUND(SUM(SUM(VLOOKUP(C$18,'Raw - Underemployment'!A:Q,16,FALSE)*VLOOKUP(C12,'Raw - Underemployment'!A:Q,15,FALSE))/100),100)-MROUND(SUM(SUM(VLOOKUP(C12,'Raw - Underemployment'!A:Q,16,FALSE)*VLOOKUP(C12,'Raw - Underemployment'!A:Q,15,FALSE))/100),100)),IF($K$5="City Region Comparator",SUM(MROUND(SUM(SUM(VLOOKUP(C$19,'Raw - Underemployment'!A:Q,16,FALSE)*VLOOKUP(C12,'Raw - Underemployment'!A:Q,15,FALSE))/100),100)-MROUND(SUM(SUM(VLOOKUP(C12,'Raw - Underemployment'!A:Q,16,FALSE)*VLOOKUP(C12,'Raw - Underemployment'!A:Q,15,FALSE))/100),100)),IF($K$5="Scotland",SUM(MROUND(SUM(SUM(VLOOKUP(C$20,'Raw - Underemployment'!A:Q,16,FALSE)*VLOOKUP(C12,'Raw - Underemployment'!A:Q,15,FALSE))/100),100)-MROUND(SUM(SUM(VLOOKUP(C12,'Raw - Underemployment'!A:Q,16,FALSE)*VLOOKUP(C12,'Raw - Underemployment'!A:Q,15,FALSE))/100),100)),IF($K$5="United Kingdom",SUM(MROUND(SUM(SUM(VLOOKUP(C$21,'Raw - Underemployment'!A:Q,16,FALSE)*VLOOKUP(C12,'Raw - Underemployment'!A:Q,15,FALSE))/100),100)-MROUND(SUM(SUM(VLOOKUP(C12,'Raw - Underemployment'!A:Q,16,FALSE)*VLOOKUP(C12,'Raw - Underemployment'!A:Q,15,FALSE))/100),100)),SUM(MROUND(SUM(SUM(VLOOKUP(C$17,'Raw - Underemployment'!A:Q,16,FALSE)*VLOOKUP(C12,'Raw - Underemployment'!A:Q,15,FALSE))/100),100)-MROUND(SUM(SUM(VLOOKUP(C12,'Raw - Underemployment'!A:Q,16,FALSE)*VLOOKUP(C12,'Raw - Underemployment'!A:Q,15,FALSE))/100),100))))))))</f>
        <v>-1100</v>
      </c>
    </row>
    <row r="13" spans="2:12" s="137" customFormat="1" ht="19.5" customHeight="1">
      <c r="B13" s="216" t="s">
        <v>153</v>
      </c>
      <c r="C13" s="216" t="str">
        <f>IF(C$6="LGBF Family Group 1",Lookups!I34,IF(C$6="LGBF Family Group 2",Lookups!J34,IF(C$6="LGBF Family Group 3",Lookups!K34,Lookups!L34)))</f>
        <v>Dundee City</v>
      </c>
      <c r="D13" s="217">
        <f>VLOOKUP($C13,'Raw - Underemployment'!$A:$Q,4,FALSE)</f>
        <v>5.5</v>
      </c>
      <c r="E13" s="217">
        <f>VLOOKUP($C13,'Raw - Underemployment'!$A:$Q,8,FALSE)</f>
        <v>8.6999999999999993</v>
      </c>
      <c r="F13" s="217">
        <f>VLOOKUP($C13,'Raw - Underemployment'!$A:$Q,12,FALSE)</f>
        <v>9.5</v>
      </c>
      <c r="G13" s="217">
        <f>VLOOKUP($C13,'Raw - Underemployment'!$A:$Q,16,FALSE)</f>
        <v>11</v>
      </c>
      <c r="H13" s="218">
        <f>VLOOKUP(C13,'Raw - Underemployment'!A:Q,14,FALSE)</f>
        <v>7500</v>
      </c>
      <c r="I13" s="219">
        <f t="shared" si="1"/>
        <v>5.5</v>
      </c>
      <c r="J13" s="220">
        <f>IFERROR(SUM(VLOOKUP(C13,'Raw - Underemployment'!A:Q,14,FALSE)-VLOOKUP(C13,'Raw - Underemployment'!A:Q,2,FALSE)),"-")</f>
        <v>3900</v>
      </c>
      <c r="K13" s="221">
        <f t="shared" si="0"/>
        <v>-7.6</v>
      </c>
      <c r="L13" s="222">
        <f>IF(K13="-","-",IF(K13=""," ",IF($K$5="LGBF Family Group Average",SUM(MROUND(SUM(SUM(VLOOKUP(C$18,'Raw - Underemployment'!A:Q,16,FALSE)*VLOOKUP(C13,'Raw - Underemployment'!A:Q,15,FALSE))/100),100)-MROUND(SUM(SUM(VLOOKUP(C13,'Raw - Underemployment'!A:Q,16,FALSE)*VLOOKUP(C13,'Raw - Underemployment'!A:Q,15,FALSE))/100),100)),IF($K$5="City Region Comparator",SUM(MROUND(SUM(SUM(VLOOKUP(C$19,'Raw - Underemployment'!A:Q,16,FALSE)*VLOOKUP(C13,'Raw - Underemployment'!A:Q,15,FALSE))/100),100)-MROUND(SUM(SUM(VLOOKUP(C13,'Raw - Underemployment'!A:Q,16,FALSE)*VLOOKUP(C13,'Raw - Underemployment'!A:Q,15,FALSE))/100),100)),IF($K$5="Scotland",SUM(MROUND(SUM(SUM(VLOOKUP(C$20,'Raw - Underemployment'!A:Q,16,FALSE)*VLOOKUP(C13,'Raw - Underemployment'!A:Q,15,FALSE))/100),100)-MROUND(SUM(SUM(VLOOKUP(C13,'Raw - Underemployment'!A:Q,16,FALSE)*VLOOKUP(C13,'Raw - Underemployment'!A:Q,15,FALSE))/100),100)),IF($K$5="United Kingdom",SUM(MROUND(SUM(SUM(VLOOKUP(C$21,'Raw - Underemployment'!A:Q,16,FALSE)*VLOOKUP(C13,'Raw - Underemployment'!A:Q,15,FALSE))/100),100)-MROUND(SUM(SUM(VLOOKUP(C13,'Raw - Underemployment'!A:Q,16,FALSE)*VLOOKUP(C13,'Raw - Underemployment'!A:Q,15,FALSE))/100),100)),SUM(MROUND(SUM(SUM(VLOOKUP(C$17,'Raw - Underemployment'!A:Q,16,FALSE)*VLOOKUP(C13,'Raw - Underemployment'!A:Q,15,FALSE))/100),100)-MROUND(SUM(SUM(VLOOKUP(C13,'Raw - Underemployment'!A:Q,16,FALSE)*VLOOKUP(C13,'Raw - Underemployment'!A:Q,15,FALSE))/100),100))))))))</f>
        <v>-5200</v>
      </c>
    </row>
    <row r="14" spans="2:12" s="137" customFormat="1" ht="19.5" customHeight="1">
      <c r="B14" s="216" t="s">
        <v>153</v>
      </c>
      <c r="C14" s="216" t="str">
        <f>IF(C$6="LGBF Family Group 1",Lookups!I35,IF(C$6="LGBF Family Group 2",Lookups!J35,IF(C$6="LGBF Family Group 3",Lookups!K35,Lookups!L35)))</f>
        <v>Glasgow City</v>
      </c>
      <c r="D14" s="217">
        <f>VLOOKUP($C14,'Raw - Underemployment'!$A:$Q,4,FALSE)</f>
        <v>7.6</v>
      </c>
      <c r="E14" s="217">
        <f>VLOOKUP($C14,'Raw - Underemployment'!$A:$Q,8,FALSE)</f>
        <v>8.6</v>
      </c>
      <c r="F14" s="217">
        <f>VLOOKUP($C14,'Raw - Underemployment'!$A:$Q,12,FALSE)</f>
        <v>8.6</v>
      </c>
      <c r="G14" s="217">
        <f>VLOOKUP($C14,'Raw - Underemployment'!$A:$Q,16,FALSE)</f>
        <v>6.3</v>
      </c>
      <c r="H14" s="218">
        <f>VLOOKUP(C14,'Raw - Underemployment'!A:Q,14,FALSE)</f>
        <v>19300</v>
      </c>
      <c r="I14" s="219">
        <f t="shared" si="1"/>
        <v>-1.2999999999999998</v>
      </c>
      <c r="J14" s="220">
        <f>IFERROR(SUM(VLOOKUP(C14,'Raw - Underemployment'!A:Q,14,FALSE)-VLOOKUP(C14,'Raw - Underemployment'!A:Q,2,FALSE)),"-")</f>
        <v>-2500</v>
      </c>
      <c r="K14" s="221">
        <f t="shared" si="0"/>
        <v>-2.9</v>
      </c>
      <c r="L14" s="222">
        <f>IF(K14="-","-",IF(K14=""," ",IF($K$5="LGBF Family Group Average",SUM(MROUND(SUM(SUM(VLOOKUP(C$18,'Raw - Underemployment'!A:Q,16,FALSE)*VLOOKUP(C14,'Raw - Underemployment'!A:Q,15,FALSE))/100),100)-MROUND(SUM(SUM(VLOOKUP(C14,'Raw - Underemployment'!A:Q,16,FALSE)*VLOOKUP(C14,'Raw - Underemployment'!A:Q,15,FALSE))/100),100)),IF($K$5="City Region Comparator",SUM(MROUND(SUM(SUM(VLOOKUP(C$19,'Raw - Underemployment'!A:Q,16,FALSE)*VLOOKUP(C14,'Raw - Underemployment'!A:Q,15,FALSE))/100),100)-MROUND(SUM(SUM(VLOOKUP(C14,'Raw - Underemployment'!A:Q,16,FALSE)*VLOOKUP(C14,'Raw - Underemployment'!A:Q,15,FALSE))/100),100)),IF($K$5="Scotland",SUM(MROUND(SUM(SUM(VLOOKUP(C$20,'Raw - Underemployment'!A:Q,16,FALSE)*VLOOKUP(C14,'Raw - Underemployment'!A:Q,15,FALSE))/100),100)-MROUND(SUM(SUM(VLOOKUP(C14,'Raw - Underemployment'!A:Q,16,FALSE)*VLOOKUP(C14,'Raw - Underemployment'!A:Q,15,FALSE))/100),100)),IF($K$5="United Kingdom",SUM(MROUND(SUM(SUM(VLOOKUP(C$21,'Raw - Underemployment'!A:Q,16,FALSE)*VLOOKUP(C14,'Raw - Underemployment'!A:Q,15,FALSE))/100),100)-MROUND(SUM(SUM(VLOOKUP(C14,'Raw - Underemployment'!A:Q,16,FALSE)*VLOOKUP(C14,'Raw - Underemployment'!A:Q,15,FALSE))/100),100)),SUM(MROUND(SUM(SUM(VLOOKUP(C$17,'Raw - Underemployment'!A:Q,16,FALSE)*VLOOKUP(C14,'Raw - Underemployment'!A:Q,15,FALSE))/100),100)-MROUND(SUM(SUM(VLOOKUP(C14,'Raw - Underemployment'!A:Q,16,FALSE)*VLOOKUP(C14,'Raw - Underemployment'!A:Q,15,FALSE))/100),100))))))))</f>
        <v>-8900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Underemployment'!$A$9:$A$40,MATCH(MIN('Raw - Underemployment'!P9:P40),'Raw - Underemployment'!P9:P40,0))</f>
        <v>Falkirk</v>
      </c>
      <c r="D17" s="217">
        <f>VLOOKUP($C17,'Raw - Underemployment'!$A:$Q,4,FALSE)</f>
        <v>6.4</v>
      </c>
      <c r="E17" s="217">
        <f>VLOOKUP($C17,'Raw - Underemployment'!$A:$Q,8,FALSE)</f>
        <v>6.7</v>
      </c>
      <c r="F17" s="217">
        <f>VLOOKUP($C17,'Raw - Underemployment'!$A:$Q,12,FALSE)</f>
        <v>6.7</v>
      </c>
      <c r="G17" s="217">
        <f>VLOOKUP($C17,'Raw - Underemployment'!$A:$Q,16,FALSE)</f>
        <v>3.4</v>
      </c>
      <c r="H17" s="218">
        <f>VLOOKUP(C17,'Raw - Underemployment'!A:Q,14,FALSE)</f>
        <v>2700</v>
      </c>
      <c r="I17" s="219">
        <f t="shared" ref="I17" si="2">IFERROR(SUM(G17-D17),"-")</f>
        <v>-3.0000000000000004</v>
      </c>
      <c r="J17" s="220">
        <f>IFERROR(SUM(VLOOKUP(C17,'Raw - Underemployment'!A:Q,14,FALSE)-VLOOKUP(C17,'Raw - Underemployment'!A:Q,2,FALSE)),"-")</f>
        <v>-2200</v>
      </c>
    </row>
    <row r="18" spans="2:12" s="137" customFormat="1" ht="19.5" customHeight="1">
      <c r="B18" s="226" t="s">
        <v>271</v>
      </c>
      <c r="C18" s="227" t="s">
        <v>246</v>
      </c>
      <c r="D18" s="217">
        <f>VLOOKUP($C18,'Raw - Underemployment'!$A:$Q,4,FALSE)</f>
        <v>9.1606279428901196</v>
      </c>
      <c r="E18" s="217">
        <f>VLOOKUP($C18,'Raw - Underemployment'!$A:$Q,8,FALSE)</f>
        <v>7.4058483844960774</v>
      </c>
      <c r="F18" s="217">
        <f>VLOOKUP($C18,'Raw - Underemployment'!$A:$Q,12,FALSE)</f>
        <v>7.292840114556018</v>
      </c>
      <c r="G18" s="217">
        <f>VLOOKUP($C18,'Raw - Underemployment'!$A:$Q,16,FALSE)</f>
        <v>7.4584811402809024</v>
      </c>
      <c r="H18" s="218">
        <f>VLOOKUP(C18,'Raw - Underemployment'!A:Q,14,FALSE)</f>
        <v>32900</v>
      </c>
      <c r="I18" s="219">
        <f t="shared" ref="I18:I20" si="3">IFERROR(SUM(G18-D18),"-")</f>
        <v>-1.7021468026092172</v>
      </c>
      <c r="J18" s="220">
        <f>IFERROR(SUM(VLOOKUP(C18,'Raw - Underemployment'!A:Q,14,FALSE)-VLOOKUP(C18,'Raw - Underemployment'!A:Q,2,FALSE)),"-")</f>
        <v>-8800</v>
      </c>
    </row>
    <row r="19" spans="2:12" s="137" customFormat="1" ht="19.5" customHeight="1">
      <c r="B19" s="226" t="s">
        <v>270</v>
      </c>
      <c r="C19" s="216" t="s">
        <v>156</v>
      </c>
      <c r="D19" s="217">
        <f>VLOOKUP($C19,'Raw - Underemployment'!$A:$Q,4,FALSE)</f>
        <v>8.7999999999999989</v>
      </c>
      <c r="E19" s="217">
        <f>VLOOKUP($C19,'Raw - Underemployment'!$A:$Q,8,FALSE)</f>
        <v>5.7000000000000011</v>
      </c>
      <c r="F19" s="217">
        <f>VLOOKUP($C19,'Raw - Underemployment'!$A:$Q,12,FALSE)</f>
        <v>5.8</v>
      </c>
      <c r="G19" s="217">
        <f>VLOOKUP($C19,'Raw - Underemployment'!$A:$Q,16,FALSE)</f>
        <v>7.0000000000000009</v>
      </c>
      <c r="H19" s="218">
        <f>VLOOKUP(C19,'Raw - Underemployment'!A:Q,14,FALSE)</f>
        <v>9600</v>
      </c>
      <c r="I19" s="219">
        <f t="shared" si="3"/>
        <v>-1.799999999999998</v>
      </c>
      <c r="J19" s="220">
        <f>IFERROR(SUM(VLOOKUP(C19,'Raw - Underemployment'!A:Q,14,FALSE)-VLOOKUP(C19,'Raw - Underemployment'!A:Q,2,FALSE)),"-")</f>
        <v>-2500</v>
      </c>
    </row>
    <row r="20" spans="2:12" s="137" customFormat="1" ht="19.5" customHeight="1">
      <c r="B20" s="226" t="s">
        <v>164</v>
      </c>
      <c r="C20" s="216" t="s">
        <v>46</v>
      </c>
      <c r="D20" s="217">
        <f>VLOOKUP($C20,'Raw - Underemployment'!$A:$Q,4,FALSE)</f>
        <v>8</v>
      </c>
      <c r="E20" s="217">
        <f>VLOOKUP($C20,'Raw - Underemployment'!$A:$Q,8,FALSE)</f>
        <v>7.4</v>
      </c>
      <c r="F20" s="217">
        <f>VLOOKUP($C20,'Raw - Underemployment'!$A:$Q,12,FALSE)</f>
        <v>7.1</v>
      </c>
      <c r="G20" s="217">
        <f>VLOOKUP($C20,'Raw - Underemployment'!$A:$Q,16,FALSE)</f>
        <v>8.1</v>
      </c>
      <c r="H20" s="218">
        <f>VLOOKUP(C20,'Raw - Underemployment'!A:Q,14,FALSE)</f>
        <v>210200</v>
      </c>
      <c r="I20" s="219">
        <f t="shared" si="3"/>
        <v>9.9999999999999645E-2</v>
      </c>
      <c r="J20" s="220">
        <f>IFERROR(SUM(VLOOKUP(C20,'Raw - Underemployment'!A:Q,14,FALSE)-VLOOKUP(C20,'Raw - Underemployment'!A:Q,2,FALSE)),"-")</f>
        <v>1600</v>
      </c>
    </row>
    <row r="21" spans="2:12" s="137" customFormat="1" ht="19.5" customHeight="1">
      <c r="B21" s="226" t="s">
        <v>164</v>
      </c>
      <c r="C21" s="216" t="s">
        <v>47</v>
      </c>
      <c r="D21" s="217" t="s">
        <v>71</v>
      </c>
      <c r="E21" s="217" t="s">
        <v>71</v>
      </c>
      <c r="F21" s="217" t="s">
        <v>71</v>
      </c>
      <c r="G21" s="217" t="s">
        <v>71</v>
      </c>
      <c r="H21" s="217" t="s">
        <v>71</v>
      </c>
      <c r="I21" s="219" t="s">
        <v>71</v>
      </c>
      <c r="J21" s="220"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b6tlpVTtuq2xwwbV+NOMbTtSOABd38u/LAwPnPsprdRrDHBWghcbb2z2HiTS0AT7S+Akw3mMd7JipldVEd7u0Q==" saltValue="4LOaki8mcrbV1fH5s295Lw==" spinCount="100000" sheet="1" sort="0"/>
  <mergeCells count="4">
    <mergeCell ref="K4:L4"/>
    <mergeCell ref="I5:J5"/>
    <mergeCell ref="K5:L5"/>
    <mergeCell ref="F2:G2"/>
  </mergeCells>
  <hyperlinks>
    <hyperlink ref="C3" r:id="rId1" xr:uid="{00000000-0004-0000-1700-000000000000}"/>
    <hyperlink ref="F2:G2" location="'Index RAG'!A1" display="Return to Index RAG" xr:uid="{00000000-0004-0000-17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8747172-8B25-48A1-AAF1-8345F63B3C5A}">
          <x14:formula1>
            <xm:f>Lookups!$B$27:$E$27</xm:f>
          </x14:formula1>
          <xm:sqref>C6</xm:sqref>
        </x14:dataValidation>
        <x14:dataValidation type="list" allowBlank="1" showInputMessage="1" showErrorMessage="1" xr:uid="{5BABE3DB-DDD2-49C0-8258-0B2BB6A01180}">
          <x14:formula1>
            <xm:f>Lookups!$B$36:$E$36</xm:f>
          </x14:formula1>
          <xm:sqref>C18</xm:sqref>
        </x14:dataValidation>
        <x14:dataValidation type="list" allowBlank="1" showInputMessage="1" showErrorMessage="1" xr:uid="{B2AC5DD3-130A-4BA5-98E6-BC4FA0555DF6}">
          <x14:formula1>
            <xm:f>Lookups!$B$9:$B$12</xm:f>
          </x14:formula1>
          <xm:sqref>K5:L5</xm:sqref>
        </x14:dataValidation>
        <x14:dataValidation type="list" allowBlank="1" showInputMessage="1" showErrorMessage="1" xr:uid="{590F98D9-92A1-4545-ACA8-578D9E7FEA4B}">
          <x14:formula1>
            <xm:f>Lookups!$Q$3:$Q$7</xm:f>
          </x14:formula1>
          <xm:sqref>C19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B1:L25"/>
  <sheetViews>
    <sheetView zoomScale="90" zoomScaleNormal="90" workbookViewId="0">
      <selection activeCell="E7" sqref="E7"/>
    </sheetView>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 Employed in SOC1 Occupations - LGBF Family Group 1</v>
      </c>
      <c r="D1" s="170" t="s">
        <v>290</v>
      </c>
    </row>
    <row r="2" spans="2:12" ht="12.75">
      <c r="B2" s="171" t="s">
        <v>49</v>
      </c>
      <c r="C2" s="172" t="s">
        <v>111</v>
      </c>
      <c r="F2" s="467" t="s">
        <v>216</v>
      </c>
      <c r="G2" s="468"/>
    </row>
    <row r="3" spans="2:12" ht="12.75">
      <c r="B3" s="171" t="s">
        <v>50</v>
      </c>
      <c r="C3" s="174" t="s">
        <v>512</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1",Lookups!I28,IF(C$6="LGBF Family Group 2",Lookups!J28,IF(C$6="LGBF Family Group 3",Lookups!K28,Lookups!L28)))</f>
        <v>Na h-Eileanan Siar</v>
      </c>
      <c r="D7" s="217" t="str">
        <f>VLOOKUP($C7,'Raw - SOC1 Occupations'!$A:$Q,4,FALSE)</f>
        <v>-</v>
      </c>
      <c r="E7" s="217">
        <f>VLOOKUP($C7,'Raw - SOC1 Occupations'!$A:$Q,8,FALSE)</f>
        <v>6.9</v>
      </c>
      <c r="F7" s="217">
        <f>VLOOKUP($C7,'Raw - SOC1 Occupations'!$A:$Q,12,FALSE)</f>
        <v>6.3</v>
      </c>
      <c r="G7" s="217" t="str">
        <f>VLOOKUP($C7,'Raw - SOC1 Occupations'!$A:$Q,16,FALSE)</f>
        <v>-</v>
      </c>
      <c r="H7" s="218" t="str">
        <f>VLOOKUP(C7,'Raw - SOC1 Occupations'!A:Q,14,FALSE)</f>
        <v>-</v>
      </c>
      <c r="I7" s="219" t="str">
        <f>IFERROR(SUM(G7-E7),"-")</f>
        <v>-</v>
      </c>
      <c r="J7" s="220" t="str">
        <f>IFERROR(MROUND(SUM(VLOOKUP($C7,'Raw - SOC1 Occupations'!A:Q,14,FALSE)-VLOOKUP(C7,'Raw - SOC1 Occupations'!A:Q,8,FALSE)),100),"-")</f>
        <v>-</v>
      </c>
      <c r="K7" s="221" t="str">
        <f>IFERROR(IF(IF($K$5="City Region Comparator",SUM(G$19-G7),IF($K$5="LGBF Family Group Average",SUM(G$18-G7),IF($K$5="Scotland",SUM(G$20-G7),IF($K$5="United Kingdom",SUM(G$21-G7),SUM(G$17-G7)))))&lt;=0,"",IF($K$5="City Region Comparator",SUM(G$19-G7),IF($K$5="LGBF Family Group Average",SUM(G$18-G7),IF($K$5="Scotland",SUM(G$20-G7),IF($K$5="United Kingdom",SUM(G$21-G7),SUM(G$17-G7)))))),"-")</f>
        <v>-</v>
      </c>
      <c r="L7" s="222" t="str">
        <f>IFERROR(IF(K7=""," ",IF($K$5="LGBF Family Group Average",SUM(MROUND(SUM(SUM(VLOOKUP(C$18,'Raw - SOC1 Occupations'!A:Q,16,FALSE)*VLOOKUP(C7,'Raw - SOC1 Occupations'!A:Q,15,FALSE))/100),100)-MROUND(SUM(SUM(VLOOKUP(C7,'Raw - SOC1 Occupations'!A:Q,16,FALSE)*VLOOKUP(C7,'Raw - SOC1 Occupations'!A:Q,15,FALSE))/100),100)),IF($K$5="City Region Comparator",SUM(MROUND(SUM(SUM(VLOOKUP(C$19,'Raw - SOC1 Occupations'!A:Q,16,FALSE)*VLOOKUP(C7,'Raw - SOC1 Occupations'!A:Q,15,FALSE))/100),100)-MROUND(SUM(SUM(VLOOKUP(C7,'Raw - SOC1 Occupations'!A:Q,16,FALSE)*VLOOKUP(C7,'Raw - SOC1 Occupations'!A:Q,15,FALSE))/100),100)),IF($K$5="Scotland",SUM(MROUND(SUM(SUM(VLOOKUP(C$20,'Raw - SOC1 Occupations'!A:Q,16,FALSE)*VLOOKUP(C7,'Raw - SOC1 Occupations'!A:Q,15,FALSE))/100),100)-MROUND(SUM(SUM(VLOOKUP(C7,'Raw - SOC1 Occupations'!A:Q,16,FALSE)*VLOOKUP(C7,'Raw - SOC1 Occupations'!A:Q,15,FALSE))/100),100)),IF($K$5="United Kingdom",SUM(MROUND(SUM(SUM(VLOOKUP(C$21,'Raw - SOC1 Occupations'!A:Q,16,FALSE)*VLOOKUP(C7,'Raw - SOC1 Occupations'!A:Q,15,FALSE))/100),100)-MROUND(SUM(SUM(VLOOKUP(C7,'Raw - SOC1 Occupations'!A:Q,16,FALSE)*VLOOKUP(C7,'Raw - SOC1 Occupations'!A:Q,15,FALSE))/100),100)),SUM(MROUND(SUM(SUM(VLOOKUP(C$17,'Raw - SOC1 Occupations'!A:Q,16,FALSE)*VLOOKUP(C7,'Raw - SOC1 Occupations'!A:Q,15,FALSE))/100),100)-MROUND(SUM(SUM(VLOOKUP(C7,'Raw - SOC1 Occupations'!A:Q,16,FALSE)*VLOOKUP(C7,'Raw - SOC1 Occupations'!A:Q,15,FALSE))/100),100))))))),"-")</f>
        <v>-</v>
      </c>
    </row>
    <row r="8" spans="2:12" s="137" customFormat="1" ht="19.5" customHeight="1">
      <c r="B8" s="216" t="s">
        <v>153</v>
      </c>
      <c r="C8" s="216" t="str">
        <f>IF(C$6="LGBF Family Group 1",Lookups!I29,IF(C$6="LGBF Family Group 2",Lookups!J29,IF(C$6="LGBF Family Group 3",Lookups!K29,Lookups!L29)))</f>
        <v>Argyll and Bute</v>
      </c>
      <c r="D8" s="217" t="str">
        <f>VLOOKUP($C8,'Raw - SOC1 Occupations'!$A:$Q,4,FALSE)</f>
        <v>-</v>
      </c>
      <c r="E8" s="217">
        <f>VLOOKUP($C8,'Raw - SOC1 Occupations'!$A:$Q,8,FALSE)</f>
        <v>12.9</v>
      </c>
      <c r="F8" s="217">
        <f>VLOOKUP($C8,'Raw - SOC1 Occupations'!$A:$Q,12,FALSE)</f>
        <v>12.4</v>
      </c>
      <c r="G8" s="217">
        <f>VLOOKUP($C8,'Raw - SOC1 Occupations'!$A:$Q,16,FALSE)</f>
        <v>6.2</v>
      </c>
      <c r="H8" s="218">
        <f>VLOOKUP(C8,'Raw - SOC1 Occupations'!A:Q,14,FALSE)</f>
        <v>2200</v>
      </c>
      <c r="I8" s="219">
        <f t="shared" ref="I8:I14" si="0">IFERROR(SUM(G8-E8),"-")</f>
        <v>-6.7</v>
      </c>
      <c r="J8" s="220">
        <f>IFERROR(MROUND(SUM(VLOOKUP($C8,'Raw - SOC1 Occupations'!A:Q,14,FALSE)-VLOOKUP(C8,'Raw - SOC1 Occupations'!A:Q,8,FALSE)),100),"-")</f>
        <v>2200</v>
      </c>
      <c r="K8" s="221">
        <f t="shared" ref="K8:K14" si="1">IFERROR(IF(IF($K$5="City Region Comparator",SUM(G$19-G8),IF($K$5="LGBF Family Group Average",SUM(G$18-G8),IF($K$5="Scotland",SUM(G$20-G8),IF($K$5="United Kingdom",SUM(G$21-G8),SUM(G$17-G8)))))&lt;=0,"",IF($K$5="City Region Comparator",SUM(G$19-G8),IF($K$5="LGBF Family Group Average",SUM(G$18-G8),IF($K$5="Scotland",SUM(G$20-G8),IF($K$5="United Kingdom",SUM(G$21-G8),SUM(G$17-G8)))))),"-")</f>
        <v>6.6000000000000005</v>
      </c>
      <c r="L8" s="222">
        <f>IFERROR(IF(K8=""," ",IF($K$5="LGBF Family Group Average",SUM(MROUND(SUM(SUM(VLOOKUP(C$18,'Raw - SOC1 Occupations'!A:Q,16,FALSE)*VLOOKUP(C8,'Raw - SOC1 Occupations'!A:Q,15,FALSE))/100),100)-MROUND(SUM(SUM(VLOOKUP(C8,'Raw - SOC1 Occupations'!A:Q,16,FALSE)*VLOOKUP(C8,'Raw - SOC1 Occupations'!A:Q,15,FALSE))/100),100)),IF($K$5="City Region Comparator",SUM(MROUND(SUM(SUM(VLOOKUP(C$19,'Raw - SOC1 Occupations'!A:Q,16,FALSE)*VLOOKUP(C8,'Raw - SOC1 Occupations'!A:Q,15,FALSE))/100),100)-MROUND(SUM(SUM(VLOOKUP(C8,'Raw - SOC1 Occupations'!A:Q,16,FALSE)*VLOOKUP(C8,'Raw - SOC1 Occupations'!A:Q,15,FALSE))/100),100)),IF($K$5="Scotland",SUM(MROUND(SUM(SUM(VLOOKUP(C$20,'Raw - SOC1 Occupations'!A:Q,16,FALSE)*VLOOKUP(C8,'Raw - SOC1 Occupations'!A:Q,15,FALSE))/100),100)-MROUND(SUM(SUM(VLOOKUP(C8,'Raw - SOC1 Occupations'!A:Q,16,FALSE)*VLOOKUP(C8,'Raw - SOC1 Occupations'!A:Q,15,FALSE))/100),100)),IF($K$5="United Kingdom",SUM(MROUND(SUM(SUM(VLOOKUP(C$21,'Raw - SOC1 Occupations'!A:Q,16,FALSE)*VLOOKUP(C8,'Raw - SOC1 Occupations'!A:Q,15,FALSE))/100),100)-MROUND(SUM(SUM(VLOOKUP(C8,'Raw - SOC1 Occupations'!A:Q,16,FALSE)*VLOOKUP(C8,'Raw - SOC1 Occupations'!A:Q,15,FALSE))/100),100)),SUM(MROUND(SUM(SUM(VLOOKUP(C$17,'Raw - SOC1 Occupations'!A:Q,16,FALSE)*VLOOKUP(C8,'Raw - SOC1 Occupations'!A:Q,15,FALSE))/100),100)-MROUND(SUM(SUM(VLOOKUP(C8,'Raw - SOC1 Occupations'!A:Q,16,FALSE)*VLOOKUP(C8,'Raw - SOC1 Occupations'!A:Q,15,FALSE))/100),100))))))),"-")</f>
        <v>2300</v>
      </c>
    </row>
    <row r="9" spans="2:12" s="137" customFormat="1" ht="19.5" customHeight="1">
      <c r="B9" s="216" t="s">
        <v>153</v>
      </c>
      <c r="C9" s="216" t="str">
        <f>IF(C$6="LGBF Family Group 1",Lookups!I30,IF(C$6="LGBF Family Group 2",Lookups!J30,IF(C$6="LGBF Family Group 3",Lookups!K30,Lookups!L30)))</f>
        <v>Shetland Islands</v>
      </c>
      <c r="D9" s="217" t="str">
        <f>VLOOKUP($C9,'Raw - SOC1 Occupations'!$A:$Q,4,FALSE)</f>
        <v>-</v>
      </c>
      <c r="E9" s="217">
        <f>VLOOKUP($C9,'Raw - SOC1 Occupations'!$A:$Q,8,FALSE)</f>
        <v>18.2</v>
      </c>
      <c r="F9" s="217">
        <f>VLOOKUP($C9,'Raw - SOC1 Occupations'!$A:$Q,12,FALSE)</f>
        <v>9.3000000000000007</v>
      </c>
      <c r="G9" s="217" t="str">
        <f>VLOOKUP($C9,'Raw - SOC1 Occupations'!$A:$Q,16,FALSE)</f>
        <v>-</v>
      </c>
      <c r="H9" s="218" t="str">
        <f>VLOOKUP(C9,'Raw - SOC1 Occupations'!A:Q,14,FALSE)</f>
        <v>-</v>
      </c>
      <c r="I9" s="219" t="str">
        <f t="shared" si="0"/>
        <v>-</v>
      </c>
      <c r="J9" s="220" t="str">
        <f>IFERROR(MROUND(SUM(VLOOKUP($C9,'Raw - SOC1 Occupations'!A:Q,14,FALSE)-VLOOKUP(C9,'Raw - SOC1 Occupations'!A:Q,8,FALSE)),100),"-")</f>
        <v>-</v>
      </c>
      <c r="K9" s="221" t="str">
        <f t="shared" si="1"/>
        <v>-</v>
      </c>
      <c r="L9" s="222" t="str">
        <f>IFERROR(IF(K9=""," ",IF($K$5="LGBF Family Group Average",SUM(MROUND(SUM(SUM(VLOOKUP(C$18,'Raw - SOC1 Occupations'!A:Q,16,FALSE)*VLOOKUP(C9,'Raw - SOC1 Occupations'!A:Q,15,FALSE))/100),100)-MROUND(SUM(SUM(VLOOKUP(C9,'Raw - SOC1 Occupations'!A:Q,16,FALSE)*VLOOKUP(C9,'Raw - SOC1 Occupations'!A:Q,15,FALSE))/100),100)),IF($K$5="City Region Comparator",SUM(MROUND(SUM(SUM(VLOOKUP(C$19,'Raw - SOC1 Occupations'!A:Q,16,FALSE)*VLOOKUP(C9,'Raw - SOC1 Occupations'!A:Q,15,FALSE))/100),100)-MROUND(SUM(SUM(VLOOKUP(C9,'Raw - SOC1 Occupations'!A:Q,16,FALSE)*VLOOKUP(C9,'Raw - SOC1 Occupations'!A:Q,15,FALSE))/100),100)),IF($K$5="Scotland",SUM(MROUND(SUM(SUM(VLOOKUP(C$20,'Raw - SOC1 Occupations'!A:Q,16,FALSE)*VLOOKUP(C9,'Raw - SOC1 Occupations'!A:Q,15,FALSE))/100),100)-MROUND(SUM(SUM(VLOOKUP(C9,'Raw - SOC1 Occupations'!A:Q,16,FALSE)*VLOOKUP(C9,'Raw - SOC1 Occupations'!A:Q,15,FALSE))/100),100)),IF($K$5="United Kingdom",SUM(MROUND(SUM(SUM(VLOOKUP(C$21,'Raw - SOC1 Occupations'!A:Q,16,FALSE)*VLOOKUP(C9,'Raw - SOC1 Occupations'!A:Q,15,FALSE))/100),100)-MROUND(SUM(SUM(VLOOKUP(C9,'Raw - SOC1 Occupations'!A:Q,16,FALSE)*VLOOKUP(C9,'Raw - SOC1 Occupations'!A:Q,15,FALSE))/100),100)),SUM(MROUND(SUM(SUM(VLOOKUP(C$17,'Raw - SOC1 Occupations'!A:Q,16,FALSE)*VLOOKUP(C9,'Raw - SOC1 Occupations'!A:Q,15,FALSE))/100),100)-MROUND(SUM(SUM(VLOOKUP(C9,'Raw - SOC1 Occupations'!A:Q,16,FALSE)*VLOOKUP(C9,'Raw - SOC1 Occupations'!A:Q,15,FALSE))/100),100))))))),"-")</f>
        <v>-</v>
      </c>
    </row>
    <row r="10" spans="2:12" s="137" customFormat="1" ht="19.5" customHeight="1">
      <c r="B10" s="216" t="s">
        <v>153</v>
      </c>
      <c r="C10" s="216" t="str">
        <f>IF(C$6="LGBF Family Group 1",Lookups!I31,IF(C$6="LGBF Family Group 2",Lookups!J31,IF(C$6="LGBF Family Group 3",Lookups!K31,Lookups!L31)))</f>
        <v>Highland</v>
      </c>
      <c r="D10" s="217" t="str">
        <f>VLOOKUP($C10,'Raw - SOC1 Occupations'!$A:$Q,4,FALSE)</f>
        <v>-</v>
      </c>
      <c r="E10" s="217">
        <f>VLOOKUP($C10,'Raw - SOC1 Occupations'!$A:$Q,8,FALSE)</f>
        <v>9.6</v>
      </c>
      <c r="F10" s="217">
        <f>VLOOKUP($C10,'Raw - SOC1 Occupations'!$A:$Q,12,FALSE)</f>
        <v>10.3</v>
      </c>
      <c r="G10" s="217">
        <f>VLOOKUP($C10,'Raw - SOC1 Occupations'!$A:$Q,16,FALSE)</f>
        <v>9.6</v>
      </c>
      <c r="H10" s="218">
        <f>VLOOKUP(C10,'Raw - SOC1 Occupations'!A:Q,14,FALSE)</f>
        <v>11600</v>
      </c>
      <c r="I10" s="219">
        <f t="shared" si="0"/>
        <v>0</v>
      </c>
      <c r="J10" s="220">
        <f>IFERROR(MROUND(SUM(VLOOKUP($C10,'Raw - SOC1 Occupations'!A:Q,14,FALSE)-VLOOKUP(C10,'Raw - SOC1 Occupations'!A:Q,8,FALSE)),100),"-")</f>
        <v>11600</v>
      </c>
      <c r="K10" s="221">
        <f t="shared" si="1"/>
        <v>3.2000000000000011</v>
      </c>
      <c r="L10" s="222">
        <f>IFERROR(IF(K10=""," ",IF($K$5="LGBF Family Group Average",SUM(MROUND(SUM(SUM(VLOOKUP(C$18,'Raw - SOC1 Occupations'!A:Q,16,FALSE)*VLOOKUP(C10,'Raw - SOC1 Occupations'!A:Q,15,FALSE))/100),100)-MROUND(SUM(SUM(VLOOKUP(C10,'Raw - SOC1 Occupations'!A:Q,16,FALSE)*VLOOKUP(C10,'Raw - SOC1 Occupations'!A:Q,15,FALSE))/100),100)),IF($K$5="City Region Comparator",SUM(MROUND(SUM(SUM(VLOOKUP(C$19,'Raw - SOC1 Occupations'!A:Q,16,FALSE)*VLOOKUP(C10,'Raw - SOC1 Occupations'!A:Q,15,FALSE))/100),100)-MROUND(SUM(SUM(VLOOKUP(C10,'Raw - SOC1 Occupations'!A:Q,16,FALSE)*VLOOKUP(C10,'Raw - SOC1 Occupations'!A:Q,15,FALSE))/100),100)),IF($K$5="Scotland",SUM(MROUND(SUM(SUM(VLOOKUP(C$20,'Raw - SOC1 Occupations'!A:Q,16,FALSE)*VLOOKUP(C10,'Raw - SOC1 Occupations'!A:Q,15,FALSE))/100),100)-MROUND(SUM(SUM(VLOOKUP(C10,'Raw - SOC1 Occupations'!A:Q,16,FALSE)*VLOOKUP(C10,'Raw - SOC1 Occupations'!A:Q,15,FALSE))/100),100)),IF($K$5="United Kingdom",SUM(MROUND(SUM(SUM(VLOOKUP(C$21,'Raw - SOC1 Occupations'!A:Q,16,FALSE)*VLOOKUP(C10,'Raw - SOC1 Occupations'!A:Q,15,FALSE))/100),100)-MROUND(SUM(SUM(VLOOKUP(C10,'Raw - SOC1 Occupations'!A:Q,16,FALSE)*VLOOKUP(C10,'Raw - SOC1 Occupations'!A:Q,15,FALSE))/100),100)),SUM(MROUND(SUM(SUM(VLOOKUP(C$17,'Raw - SOC1 Occupations'!A:Q,16,FALSE)*VLOOKUP(C10,'Raw - SOC1 Occupations'!A:Q,15,FALSE))/100),100)-MROUND(SUM(SUM(VLOOKUP(C10,'Raw - SOC1 Occupations'!A:Q,16,FALSE)*VLOOKUP(C10,'Raw - SOC1 Occupations'!A:Q,15,FALSE))/100),100))))))),"-")</f>
        <v>3900</v>
      </c>
    </row>
    <row r="11" spans="2:12" s="137" customFormat="1" ht="19.5" customHeight="1">
      <c r="B11" s="216" t="s">
        <v>153</v>
      </c>
      <c r="C11" s="216" t="str">
        <f>IF(C$6="LGBF Family Group 1",Lookups!I32,IF(C$6="LGBF Family Group 2",Lookups!J32,IF(C$6="LGBF Family Group 3",Lookups!K32,Lookups!L32)))</f>
        <v>Orkney Islands</v>
      </c>
      <c r="D11" s="217" t="str">
        <f>VLOOKUP($C11,'Raw - SOC1 Occupations'!$A:$Q,4,FALSE)</f>
        <v>-</v>
      </c>
      <c r="E11" s="217" t="str">
        <f>VLOOKUP($C11,'Raw - SOC1 Occupations'!$A:$Q,8,FALSE)</f>
        <v>-</v>
      </c>
      <c r="F11" s="217" t="str">
        <f>VLOOKUP($C11,'Raw - SOC1 Occupations'!$A:$Q,12,FALSE)</f>
        <v>-</v>
      </c>
      <c r="G11" s="217" t="str">
        <f>VLOOKUP($C11,'Raw - SOC1 Occupations'!$A:$Q,16,FALSE)</f>
        <v>-</v>
      </c>
      <c r="H11" s="218" t="str">
        <f>VLOOKUP(C11,'Raw - SOC1 Occupations'!A:Q,14,FALSE)</f>
        <v>-</v>
      </c>
      <c r="I11" s="219" t="str">
        <f t="shared" si="0"/>
        <v>-</v>
      </c>
      <c r="J11" s="220" t="str">
        <f>IFERROR(MROUND(SUM(VLOOKUP($C11,'Raw - SOC1 Occupations'!A:Q,14,FALSE)-VLOOKUP(C11,'Raw - SOC1 Occupations'!A:Q,8,FALSE)),100),"-")</f>
        <v>-</v>
      </c>
      <c r="K11" s="221" t="str">
        <f t="shared" si="1"/>
        <v>-</v>
      </c>
      <c r="L11" s="222" t="str">
        <f>IFERROR(IF(K11=""," ",IF($K$5="LGBF Family Group Average",SUM(MROUND(SUM(SUM(VLOOKUP(C$18,'Raw - SOC1 Occupations'!A:Q,16,FALSE)*VLOOKUP(C11,'Raw - SOC1 Occupations'!A:Q,15,FALSE))/100),100)-MROUND(SUM(SUM(VLOOKUP(C11,'Raw - SOC1 Occupations'!A:Q,16,FALSE)*VLOOKUP(C11,'Raw - SOC1 Occupations'!A:Q,15,FALSE))/100),100)),IF($K$5="City Region Comparator",SUM(MROUND(SUM(SUM(VLOOKUP(C$19,'Raw - SOC1 Occupations'!A:Q,16,FALSE)*VLOOKUP(C11,'Raw - SOC1 Occupations'!A:Q,15,FALSE))/100),100)-MROUND(SUM(SUM(VLOOKUP(C11,'Raw - SOC1 Occupations'!A:Q,16,FALSE)*VLOOKUP(C11,'Raw - SOC1 Occupations'!A:Q,15,FALSE))/100),100)),IF($K$5="Scotland",SUM(MROUND(SUM(SUM(VLOOKUP(C$20,'Raw - SOC1 Occupations'!A:Q,16,FALSE)*VLOOKUP(C11,'Raw - SOC1 Occupations'!A:Q,15,FALSE))/100),100)-MROUND(SUM(SUM(VLOOKUP(C11,'Raw - SOC1 Occupations'!A:Q,16,FALSE)*VLOOKUP(C11,'Raw - SOC1 Occupations'!A:Q,15,FALSE))/100),100)),IF($K$5="United Kingdom",SUM(MROUND(SUM(SUM(VLOOKUP(C$21,'Raw - SOC1 Occupations'!A:Q,16,FALSE)*VLOOKUP(C11,'Raw - SOC1 Occupations'!A:Q,15,FALSE))/100),100)-MROUND(SUM(SUM(VLOOKUP(C11,'Raw - SOC1 Occupations'!A:Q,16,FALSE)*VLOOKUP(C11,'Raw - SOC1 Occupations'!A:Q,15,FALSE))/100),100)),SUM(MROUND(SUM(SUM(VLOOKUP(C$17,'Raw - SOC1 Occupations'!A:Q,16,FALSE)*VLOOKUP(C11,'Raw - SOC1 Occupations'!A:Q,15,FALSE))/100),100)-MROUND(SUM(SUM(VLOOKUP(C11,'Raw - SOC1 Occupations'!A:Q,16,FALSE)*VLOOKUP(C11,'Raw - SOC1 Occupations'!A:Q,15,FALSE))/100),100))))))),"-")</f>
        <v>-</v>
      </c>
    </row>
    <row r="12" spans="2:12" s="137" customFormat="1" ht="19.5" customHeight="1">
      <c r="B12" s="216" t="s">
        <v>153</v>
      </c>
      <c r="C12" s="216" t="str">
        <f>IF(C$6="LGBF Family Group 1",Lookups!I33,IF(C$6="LGBF Family Group 2",Lookups!J33,IF(C$6="LGBF Family Group 3",Lookups!K33,Lookups!L33)))</f>
        <v>Scottish Borders</v>
      </c>
      <c r="D12" s="217" t="str">
        <f>VLOOKUP($C12,'Raw - SOC1 Occupations'!$A:$Q,4,FALSE)</f>
        <v>-</v>
      </c>
      <c r="E12" s="217">
        <f>VLOOKUP($C12,'Raw - SOC1 Occupations'!$A:$Q,8,FALSE)</f>
        <v>11.7</v>
      </c>
      <c r="F12" s="217">
        <f>VLOOKUP($C12,'Raw - SOC1 Occupations'!$A:$Q,12,FALSE)</f>
        <v>11.3</v>
      </c>
      <c r="G12" s="217">
        <f>VLOOKUP($C12,'Raw - SOC1 Occupations'!$A:$Q,16,FALSE)</f>
        <v>9.1</v>
      </c>
      <c r="H12" s="218">
        <f>VLOOKUP(C12,'Raw - SOC1 Occupations'!A:Q,14,FALSE)</f>
        <v>4700</v>
      </c>
      <c r="I12" s="219">
        <f t="shared" si="0"/>
        <v>-2.5999999999999996</v>
      </c>
      <c r="J12" s="220">
        <f>IFERROR(MROUND(SUM(VLOOKUP($C12,'Raw - SOC1 Occupations'!A:Q,14,FALSE)-VLOOKUP(C12,'Raw - SOC1 Occupations'!A:Q,8,FALSE)),100),"-")</f>
        <v>4700</v>
      </c>
      <c r="K12" s="221">
        <f t="shared" si="1"/>
        <v>3.7000000000000011</v>
      </c>
      <c r="L12" s="222">
        <f>IFERROR(IF(K12=""," ",IF($K$5="LGBF Family Group Average",SUM(MROUND(SUM(SUM(VLOOKUP(C$18,'Raw - SOC1 Occupations'!A:Q,16,FALSE)*VLOOKUP(C12,'Raw - SOC1 Occupations'!A:Q,15,FALSE))/100),100)-MROUND(SUM(SUM(VLOOKUP(C12,'Raw - SOC1 Occupations'!A:Q,16,FALSE)*VLOOKUP(C12,'Raw - SOC1 Occupations'!A:Q,15,FALSE))/100),100)),IF($K$5="City Region Comparator",SUM(MROUND(SUM(SUM(VLOOKUP(C$19,'Raw - SOC1 Occupations'!A:Q,16,FALSE)*VLOOKUP(C12,'Raw - SOC1 Occupations'!A:Q,15,FALSE))/100),100)-MROUND(SUM(SUM(VLOOKUP(C12,'Raw - SOC1 Occupations'!A:Q,16,FALSE)*VLOOKUP(C12,'Raw - SOC1 Occupations'!A:Q,15,FALSE))/100),100)),IF($K$5="Scotland",SUM(MROUND(SUM(SUM(VLOOKUP(C$20,'Raw - SOC1 Occupations'!A:Q,16,FALSE)*VLOOKUP(C12,'Raw - SOC1 Occupations'!A:Q,15,FALSE))/100),100)-MROUND(SUM(SUM(VLOOKUP(C12,'Raw - SOC1 Occupations'!A:Q,16,FALSE)*VLOOKUP(C12,'Raw - SOC1 Occupations'!A:Q,15,FALSE))/100),100)),IF($K$5="United Kingdom",SUM(MROUND(SUM(SUM(VLOOKUP(C$21,'Raw - SOC1 Occupations'!A:Q,16,FALSE)*VLOOKUP(C12,'Raw - SOC1 Occupations'!A:Q,15,FALSE))/100),100)-MROUND(SUM(SUM(VLOOKUP(C12,'Raw - SOC1 Occupations'!A:Q,16,FALSE)*VLOOKUP(C12,'Raw - SOC1 Occupations'!A:Q,15,FALSE))/100),100)),SUM(MROUND(SUM(SUM(VLOOKUP(C$17,'Raw - SOC1 Occupations'!A:Q,16,FALSE)*VLOOKUP(C12,'Raw - SOC1 Occupations'!A:Q,15,FALSE))/100),100)-MROUND(SUM(SUM(VLOOKUP(C12,'Raw - SOC1 Occupations'!A:Q,16,FALSE)*VLOOKUP(C12,'Raw - SOC1 Occupations'!A:Q,15,FALSE))/100),100))))))),"-")</f>
        <v>1900</v>
      </c>
    </row>
    <row r="13" spans="2:12" s="137" customFormat="1" ht="19.5" customHeight="1">
      <c r="B13" s="216" t="s">
        <v>153</v>
      </c>
      <c r="C13" s="216" t="str">
        <f>IF(C$6="LGBF Family Group 1",Lookups!I34,IF(C$6="LGBF Family Group 2",Lookups!J34,IF(C$6="LGBF Family Group 3",Lookups!K34,Lookups!L34)))</f>
        <v>Dumfries and Galloway</v>
      </c>
      <c r="D13" s="217" t="str">
        <f>VLOOKUP($C13,'Raw - SOC1 Occupations'!$A:$Q,4,FALSE)</f>
        <v>-</v>
      </c>
      <c r="E13" s="217">
        <f>VLOOKUP($C13,'Raw - SOC1 Occupations'!$A:$Q,8,FALSE)</f>
        <v>9.1999999999999993</v>
      </c>
      <c r="F13" s="217">
        <f>VLOOKUP($C13,'Raw - SOC1 Occupations'!$A:$Q,12,FALSE)</f>
        <v>9</v>
      </c>
      <c r="G13" s="217">
        <f>VLOOKUP($C13,'Raw - SOC1 Occupations'!$A:$Q,16,FALSE)</f>
        <v>10.7</v>
      </c>
      <c r="H13" s="218">
        <f>VLOOKUP(C13,'Raw - SOC1 Occupations'!A:Q,14,FALSE)</f>
        <v>6600</v>
      </c>
      <c r="I13" s="219">
        <f t="shared" si="0"/>
        <v>1.5</v>
      </c>
      <c r="J13" s="220">
        <f>IFERROR(MROUND(SUM(VLOOKUP($C13,'Raw - SOC1 Occupations'!A:Q,14,FALSE)-VLOOKUP(C13,'Raw - SOC1 Occupations'!A:Q,8,FALSE)),100),"-")</f>
        <v>6600</v>
      </c>
      <c r="K13" s="221">
        <f t="shared" si="1"/>
        <v>2.1000000000000014</v>
      </c>
      <c r="L13" s="222">
        <f>IFERROR(IF(K13=""," ",IF($K$5="LGBF Family Group Average",SUM(MROUND(SUM(SUM(VLOOKUP(C$18,'Raw - SOC1 Occupations'!A:Q,16,FALSE)*VLOOKUP(C13,'Raw - SOC1 Occupations'!A:Q,15,FALSE))/100),100)-MROUND(SUM(SUM(VLOOKUP(C13,'Raw - SOC1 Occupations'!A:Q,16,FALSE)*VLOOKUP(C13,'Raw - SOC1 Occupations'!A:Q,15,FALSE))/100),100)),IF($K$5="City Region Comparator",SUM(MROUND(SUM(SUM(VLOOKUP(C$19,'Raw - SOC1 Occupations'!A:Q,16,FALSE)*VLOOKUP(C13,'Raw - SOC1 Occupations'!A:Q,15,FALSE))/100),100)-MROUND(SUM(SUM(VLOOKUP(C13,'Raw - SOC1 Occupations'!A:Q,16,FALSE)*VLOOKUP(C13,'Raw - SOC1 Occupations'!A:Q,15,FALSE))/100),100)),IF($K$5="Scotland",SUM(MROUND(SUM(SUM(VLOOKUP(C$20,'Raw - SOC1 Occupations'!A:Q,16,FALSE)*VLOOKUP(C13,'Raw - SOC1 Occupations'!A:Q,15,FALSE))/100),100)-MROUND(SUM(SUM(VLOOKUP(C13,'Raw - SOC1 Occupations'!A:Q,16,FALSE)*VLOOKUP(C13,'Raw - SOC1 Occupations'!A:Q,15,FALSE))/100),100)),IF($K$5="United Kingdom",SUM(MROUND(SUM(SUM(VLOOKUP(C$21,'Raw - SOC1 Occupations'!A:Q,16,FALSE)*VLOOKUP(C13,'Raw - SOC1 Occupations'!A:Q,15,FALSE))/100),100)-MROUND(SUM(SUM(VLOOKUP(C13,'Raw - SOC1 Occupations'!A:Q,16,FALSE)*VLOOKUP(C13,'Raw - SOC1 Occupations'!A:Q,15,FALSE))/100),100)),SUM(MROUND(SUM(SUM(VLOOKUP(C$17,'Raw - SOC1 Occupations'!A:Q,16,FALSE)*VLOOKUP(C13,'Raw - SOC1 Occupations'!A:Q,15,FALSE))/100),100)-MROUND(SUM(SUM(VLOOKUP(C13,'Raw - SOC1 Occupations'!A:Q,16,FALSE)*VLOOKUP(C13,'Raw - SOC1 Occupations'!A:Q,15,FALSE))/100),100))))))),"-")</f>
        <v>1300</v>
      </c>
    </row>
    <row r="14" spans="2:12" s="137" customFormat="1" ht="19.5" customHeight="1">
      <c r="B14" s="216" t="s">
        <v>153</v>
      </c>
      <c r="C14" s="216" t="str">
        <f>IF(C$6="LGBF Family Group 1",Lookups!I35,IF(C$6="LGBF Family Group 2",Lookups!J35,IF(C$6="LGBF Family Group 3",Lookups!K35,Lookups!L35)))</f>
        <v>Aberdeenshire</v>
      </c>
      <c r="D14" s="217" t="str">
        <f>VLOOKUP($C14,'Raw - SOC1 Occupations'!$A:$Q,4,FALSE)</f>
        <v>-</v>
      </c>
      <c r="E14" s="217">
        <f>VLOOKUP($C14,'Raw - SOC1 Occupations'!$A:$Q,8,FALSE)</f>
        <v>7.8</v>
      </c>
      <c r="F14" s="217">
        <f>VLOOKUP($C14,'Raw - SOC1 Occupations'!$A:$Q,12,FALSE)</f>
        <v>9.1999999999999993</v>
      </c>
      <c r="G14" s="217">
        <f>VLOOKUP($C14,'Raw - SOC1 Occupations'!$A:$Q,16,FALSE)</f>
        <v>9.6</v>
      </c>
      <c r="H14" s="218">
        <f>VLOOKUP(C14,'Raw - SOC1 Occupations'!A:Q,14,FALSE)</f>
        <v>14500</v>
      </c>
      <c r="I14" s="219">
        <f t="shared" si="0"/>
        <v>1.7999999999999998</v>
      </c>
      <c r="J14" s="220">
        <f>IFERROR(MROUND(SUM(VLOOKUP($C14,'Raw - SOC1 Occupations'!A:Q,14,FALSE)-VLOOKUP(C14,'Raw - SOC1 Occupations'!A:Q,8,FALSE)),100),"-")</f>
        <v>14500</v>
      </c>
      <c r="K14" s="221">
        <f t="shared" si="1"/>
        <v>3.2000000000000011</v>
      </c>
      <c r="L14" s="222">
        <f>IFERROR(IF(K14=""," ",IF($K$5="LGBF Family Group Average",SUM(MROUND(SUM(SUM(VLOOKUP(C$18,'Raw - SOC1 Occupations'!A:Q,16,FALSE)*VLOOKUP(C14,'Raw - SOC1 Occupations'!A:Q,15,FALSE))/100),100)-MROUND(SUM(SUM(VLOOKUP(C14,'Raw - SOC1 Occupations'!A:Q,16,FALSE)*VLOOKUP(C14,'Raw - SOC1 Occupations'!A:Q,15,FALSE))/100),100)),IF($K$5="City Region Comparator",SUM(MROUND(SUM(SUM(VLOOKUP(C$19,'Raw - SOC1 Occupations'!A:Q,16,FALSE)*VLOOKUP(C14,'Raw - SOC1 Occupations'!A:Q,15,FALSE))/100),100)-MROUND(SUM(SUM(VLOOKUP(C14,'Raw - SOC1 Occupations'!A:Q,16,FALSE)*VLOOKUP(C14,'Raw - SOC1 Occupations'!A:Q,15,FALSE))/100),100)),IF($K$5="Scotland",SUM(MROUND(SUM(SUM(VLOOKUP(C$20,'Raw - SOC1 Occupations'!A:Q,16,FALSE)*VLOOKUP(C14,'Raw - SOC1 Occupations'!A:Q,15,FALSE))/100),100)-MROUND(SUM(SUM(VLOOKUP(C14,'Raw - SOC1 Occupations'!A:Q,16,FALSE)*VLOOKUP(C14,'Raw - SOC1 Occupations'!A:Q,15,FALSE))/100),100)),IF($K$5="United Kingdom",SUM(MROUND(SUM(SUM(VLOOKUP(C$21,'Raw - SOC1 Occupations'!A:Q,16,FALSE)*VLOOKUP(C14,'Raw - SOC1 Occupations'!A:Q,15,FALSE))/100),100)-MROUND(SUM(SUM(VLOOKUP(C14,'Raw - SOC1 Occupations'!A:Q,16,FALSE)*VLOOKUP(C14,'Raw - SOC1 Occupations'!A:Q,15,FALSE))/100),100)),SUM(MROUND(SUM(SUM(VLOOKUP(C$17,'Raw - SOC1 Occupations'!A:Q,16,FALSE)*VLOOKUP(C14,'Raw - SOC1 Occupations'!A:Q,15,FALSE))/100),100)-MROUND(SUM(SUM(VLOOKUP(C14,'Raw - SOC1 Occupations'!A:Q,16,FALSE)*VLOOKUP(C14,'Raw - SOC1 Occupations'!A:Q,15,FALSE))/100),100))))))),"-")</f>
        <v>4800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SOC1 Occupations'!$A$9:$A$41,MATCH(MAX('Raw - SOC1 Occupations'!P9:P41),'Raw - SOC1 Occupations'!P9:P41,0))</f>
        <v>East Renfrewshire</v>
      </c>
      <c r="D17" s="217" t="str">
        <f>VLOOKUP($C17,'Raw - SOC1 Occupations'!$A:$Q,4,FALSE)</f>
        <v>-</v>
      </c>
      <c r="E17" s="217">
        <f>VLOOKUP($C17,'Raw - SOC1 Occupations'!$A:$Q,8,FALSE)</f>
        <v>14.9</v>
      </c>
      <c r="F17" s="217">
        <f>VLOOKUP($C17,'Raw - SOC1 Occupations'!$A:$Q,12,FALSE)</f>
        <v>15.5</v>
      </c>
      <c r="G17" s="217">
        <f>MAX('Raw - SOC1 Occupations'!P9:P41)</f>
        <v>12.8</v>
      </c>
      <c r="H17" s="218">
        <f>VLOOKUP(C17,'Raw - SOC1 Occupations'!A:Q,14,FALSE)</f>
        <v>5600</v>
      </c>
      <c r="I17" s="219">
        <f t="shared" ref="I17:I21" si="2">IFERROR(SUM(G17-E17),"-")</f>
        <v>-2.0999999999999996</v>
      </c>
      <c r="J17" s="220">
        <f>MROUND(SUM(VLOOKUP($C17,'Raw - SOC1 Occupations'!A:Q,14,FALSE)-VLOOKUP(C17,'Raw - SOC1 Occupations'!A:Q,8,FALSE)),100)</f>
        <v>5600</v>
      </c>
    </row>
    <row r="18" spans="2:12" s="137" customFormat="1" ht="19.5" customHeight="1">
      <c r="B18" s="226" t="s">
        <v>271</v>
      </c>
      <c r="C18" s="227" t="s">
        <v>246</v>
      </c>
      <c r="D18" s="217" t="str">
        <f>VLOOKUP($C18,'Raw - SOC1 Occupations'!$A:$Q,4,FALSE)</f>
        <v>-</v>
      </c>
      <c r="E18" s="217">
        <f>VLOOKUP($C18,'Raw - SOC1 Occupations'!$A:$Q,8,FALSE)</f>
        <v>9.4437869822485219</v>
      </c>
      <c r="F18" s="217">
        <f>VLOOKUP($C18,'Raw - SOC1 Occupations'!$A:$Q,12,FALSE)</f>
        <v>9.6575342465753433</v>
      </c>
      <c r="G18" s="217">
        <f>VLOOKUP($C18,'Raw - SOC1 Occupations'!$A:$Q,16,FALSE)</f>
        <v>8.604954367666231</v>
      </c>
      <c r="H18" s="218">
        <f>VLOOKUP(C18,'Raw - SOC1 Occupations'!A:Q,14,FALSE)</f>
        <v>39600</v>
      </c>
      <c r="I18" s="219">
        <f t="shared" si="2"/>
        <v>-0.83883261458229086</v>
      </c>
      <c r="J18" s="220">
        <f>MROUND(SUM(VLOOKUP($C18,'Raw - SOC1 Occupations'!A:Q,14,FALSE)-VLOOKUP(C18,'Raw - SOC1 Occupations'!A:Q,8,FALSE)),100)</f>
        <v>39600</v>
      </c>
    </row>
    <row r="19" spans="2:12" s="137" customFormat="1" ht="19.5" customHeight="1">
      <c r="B19" s="226" t="s">
        <v>270</v>
      </c>
      <c r="C19" s="216" t="s">
        <v>156</v>
      </c>
      <c r="D19" s="217" t="str">
        <f>VLOOKUP($C19,'Raw - SOC1 Occupations'!$A:$Q,4,FALSE)</f>
        <v>-</v>
      </c>
      <c r="E19" s="217">
        <f>VLOOKUP($C19,'Raw - SOC1 Occupations'!$A:$Q,8,FALSE)</f>
        <v>8.0491673275178428</v>
      </c>
      <c r="F19" s="217">
        <f>VLOOKUP($C19,'Raw - SOC1 Occupations'!$A:$Q,12,FALSE)</f>
        <v>8.1091772151898738</v>
      </c>
      <c r="G19" s="217">
        <f>VLOOKUP($C19,'Raw - SOC1 Occupations'!$A:$Q,16,FALSE)</f>
        <v>8.5279940674823873</v>
      </c>
      <c r="H19" s="218">
        <f>VLOOKUP(C19,'Raw - SOC1 Occupations'!A:Q,14,FALSE)</f>
        <v>23000</v>
      </c>
      <c r="I19" s="219">
        <f t="shared" si="2"/>
        <v>0.4788267399645445</v>
      </c>
      <c r="J19" s="220">
        <f>MROUND(SUM(VLOOKUP($C19,'Raw - SOC1 Occupations'!A:Q,14,FALSE)-VLOOKUP(C19,'Raw - SOC1 Occupations'!A:Q,8,FALSE)),100)</f>
        <v>23000</v>
      </c>
    </row>
    <row r="20" spans="2:12" s="137" customFormat="1" ht="19.5" customHeight="1">
      <c r="B20" s="226" t="s">
        <v>164</v>
      </c>
      <c r="C20" s="216" t="s">
        <v>46</v>
      </c>
      <c r="D20" s="217" t="str">
        <f>VLOOKUP($C20,'Raw - SOC1 Occupations'!$A:$Q,4,FALSE)</f>
        <v>-</v>
      </c>
      <c r="E20" s="217">
        <f>VLOOKUP($C20,'Raw - SOC1 Occupations'!$A:$Q,8,FALSE)</f>
        <v>8.9</v>
      </c>
      <c r="F20" s="217">
        <f>VLOOKUP($C20,'Raw - SOC1 Occupations'!$A:$Q,12,FALSE)</f>
        <v>8.8000000000000007</v>
      </c>
      <c r="G20" s="217">
        <f>VLOOKUP($C20,'Raw - SOC1 Occupations'!$A:$Q,16,FALSE)</f>
        <v>7.7</v>
      </c>
      <c r="H20" s="218">
        <f>VLOOKUP(C20,'Raw - SOC1 Occupations'!A:Q,14,FALSE)</f>
        <v>204500</v>
      </c>
      <c r="I20" s="219">
        <f t="shared" si="2"/>
        <v>-1.2000000000000002</v>
      </c>
      <c r="J20" s="220">
        <f>MROUND(SUM(VLOOKUP($C20,'Raw - SOC1 Occupations'!A:Q,14,FALSE)-VLOOKUP(C20,'Raw - SOC1 Occupations'!A:Q,8,FALSE)),100)</f>
        <v>204500</v>
      </c>
    </row>
    <row r="21" spans="2:12" s="137" customFormat="1" ht="19.5" customHeight="1">
      <c r="B21" s="226" t="s">
        <v>164</v>
      </c>
      <c r="C21" s="216" t="s">
        <v>47</v>
      </c>
      <c r="D21" s="217" t="str">
        <f>VLOOKUP($C21,'Raw - SOC1 Occupations'!$A:$Q,4,FALSE)</f>
        <v>-</v>
      </c>
      <c r="E21" s="217">
        <f>VLOOKUP($C21,'Raw - SOC1 Occupations'!$A:$Q,8,FALSE)</f>
        <v>11.1</v>
      </c>
      <c r="F21" s="217">
        <f>VLOOKUP($C21,'Raw - SOC1 Occupations'!$A:$Q,12,FALSE)</f>
        <v>10.9</v>
      </c>
      <c r="G21" s="217">
        <f>VLOOKUP($C21,'Raw - SOC1 Occupations'!$A:$Q,16,FALSE)</f>
        <v>10.7</v>
      </c>
      <c r="H21" s="218">
        <f>VLOOKUP(C21,'Raw - SOC1 Occupations'!A:Q,14,FALSE)</f>
        <v>3518900</v>
      </c>
      <c r="I21" s="219">
        <f t="shared" si="2"/>
        <v>-0.40000000000000036</v>
      </c>
      <c r="J21" s="220">
        <f>MROUND(SUM(VLOOKUP($C21,'Raw - SOC1 Occupations'!A:Q,14,FALSE)-VLOOKUP(C21,'Raw - SOC1 Occupations'!A:Q,8,FALSE)),100)</f>
        <v>3518900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row>
    <row r="24" spans="2:12">
      <c r="B24" s="193" t="s">
        <v>207</v>
      </c>
    </row>
    <row r="25" spans="2:12">
      <c r="I25" s="195"/>
      <c r="J25" s="195"/>
      <c r="K25" s="195"/>
      <c r="L25" s="191"/>
    </row>
  </sheetData>
  <sheetProtection algorithmName="SHA-512" hashValue="3+ZRKbvU4r92NtRmDdOkC5DA9iG/HZdgLv5XhOSYHJD4NJk2Pt6fOMfuzGPPQscq5MPcM2/RyAE6SO568L5EMA==" saltValue="YV5KWBYGoGKW3um/ws9Jxg==" spinCount="100000" sheet="1" sort="0"/>
  <mergeCells count="4">
    <mergeCell ref="K4:L4"/>
    <mergeCell ref="I5:J5"/>
    <mergeCell ref="K5:L5"/>
    <mergeCell ref="F2:G2"/>
  </mergeCells>
  <hyperlinks>
    <hyperlink ref="F2:G2" location="'Index RAG'!A1" display="Return to Index RAG" xr:uid="{00000000-0004-0000-1800-000001000000}"/>
    <hyperlink ref="C3" r:id="rId1" xr:uid="{F7D8FAD3-069A-41D9-A289-8F53F1F868FE}"/>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B307D84-030A-41D5-A82C-41219174B5DA}">
          <x14:formula1>
            <xm:f>Lookups!$B$27:$E$27</xm:f>
          </x14:formula1>
          <xm:sqref>C6</xm:sqref>
        </x14:dataValidation>
        <x14:dataValidation type="list" allowBlank="1" showInputMessage="1" showErrorMessage="1" xr:uid="{4FBA8F82-ABC2-4639-AA5E-7289073E2770}">
          <x14:formula1>
            <xm:f>Lookups!$B$9:$B$13</xm:f>
          </x14:formula1>
          <xm:sqref>K5:L5</xm:sqref>
        </x14:dataValidation>
        <x14:dataValidation type="list" allowBlank="1" showInputMessage="1" showErrorMessage="1" xr:uid="{2BED744F-89AA-4B59-94FF-4F97D2FEFB07}">
          <x14:formula1>
            <xm:f>Lookups!$B$36:$E$36</xm:f>
          </x14:formula1>
          <xm:sqref>C18</xm:sqref>
        </x14:dataValidation>
        <x14:dataValidation type="list" allowBlank="1" showInputMessage="1" showErrorMessage="1" xr:uid="{70891963-4695-4423-B3DF-E1022200E5CD}">
          <x14:formula1>
            <xm:f>Lookups!$Q$3:$Q$7</xm:f>
          </x14:formula1>
          <xm:sqref>C19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718F-434D-4A11-B155-2553E4962151}">
  <sheetPr>
    <pageSetUpPr autoPageBreaks="0" fitToPage="1"/>
  </sheetPr>
  <dimension ref="B1:L23"/>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Satisfactory hours (% of employees) - LGBF Family Group 1</v>
      </c>
      <c r="D1" s="170" t="s">
        <v>290</v>
      </c>
    </row>
    <row r="2" spans="2:12" ht="12.75">
      <c r="B2" s="171" t="s">
        <v>49</v>
      </c>
      <c r="C2" s="172" t="s">
        <v>365</v>
      </c>
      <c r="F2" s="467" t="s">
        <v>216</v>
      </c>
      <c r="G2" s="468"/>
    </row>
    <row r="3" spans="2:12" ht="12.75">
      <c r="B3" s="171" t="s">
        <v>50</v>
      </c>
      <c r="C3" s="311" t="s">
        <v>368</v>
      </c>
    </row>
    <row r="4" spans="2:12" ht="12.75">
      <c r="B4" s="172"/>
      <c r="C4" s="175" t="s">
        <v>208</v>
      </c>
      <c r="F4" s="463" t="s">
        <v>53</v>
      </c>
      <c r="G4" s="463"/>
    </row>
    <row r="5" spans="2:12" ht="21.95" customHeight="1">
      <c r="C5" s="177"/>
      <c r="D5" s="178"/>
      <c r="E5" s="178"/>
      <c r="F5" s="466" t="s">
        <v>52</v>
      </c>
      <c r="G5" s="466"/>
    </row>
    <row r="6" spans="2:12" ht="26.1" customHeight="1">
      <c r="B6" s="179" t="s">
        <v>166</v>
      </c>
      <c r="C6" s="180" t="s">
        <v>242</v>
      </c>
      <c r="D6" s="181">
        <v>2021</v>
      </c>
      <c r="E6" s="181" t="s">
        <v>299</v>
      </c>
      <c r="F6" s="182" t="s">
        <v>57</v>
      </c>
      <c r="G6" s="182" t="s">
        <v>58</v>
      </c>
    </row>
    <row r="7" spans="2:12" s="137" customFormat="1" ht="19.5" customHeight="1">
      <c r="B7" s="216" t="s">
        <v>153</v>
      </c>
      <c r="C7" s="216" t="str">
        <f>IF(C$6="LGBF Family Group 1",Lookups!I28,IF(C$6="LGBF Family Group 2",Lookups!J28,IF(C$6="LGBF Family Group 3",Lookups!K28,Lookups!L28)))</f>
        <v>Na h-Eileanan Siar</v>
      </c>
      <c r="D7" s="217" t="str">
        <f>VLOOKUP(C7,'Raw - Satisfactory hours'!A:Q,4,FALSE)</f>
        <v>-</v>
      </c>
      <c r="E7" s="218" t="str">
        <f>VLOOKUP(C7,'Raw - Satisfactory hours'!A:Q,3,FALSE)</f>
        <v>-</v>
      </c>
      <c r="F7" s="221" t="str">
        <f>IF(D7="-","-",IF(IF($F$5="City Region Comparator",SUM(D$19-D7),IF($F$5="LGBF Family Group Average",SUM(D$18-D7),IF($F$5="Scotland",SUM(#REF!-D7),IF($F$5="United Kingdom",SUM(#REF!-D7),SUM(D$17-D7)))))&lt;=0,"",IF($F$5="City Region Comparator",SUM(D$19-D7),IF($F$5="LGBF Family Group Average",SUM(D$18-D7),IF($F$5="Scotland",SUM(#REF!-D7),IF($F$5="United Kingdom",SUM(#REF!-D7),SUM(D$17-D7)))))))</f>
        <v>-</v>
      </c>
      <c r="G7" s="222" t="str">
        <f>IF(F7="-","-",IF(F7=""," ",IF($F$5="LGBF Family Group Average",SUM(MROUND(SUM(SUM(VLOOKUP(C$18,'Raw - Satisfactory hours'!A:Q,4,FALSE)*VLOOKUP(C7,'Raw - Satisfactory hours'!A:Q,3,FALSE))/100),100)-MROUND(SUM(SUM(VLOOKUP(C7,'Raw - Satisfactory hours'!A:Q,4,FALSE)*VLOOKUP(C7,'Raw - Satisfactory hours'!A:Q,3,FALSE))/100),100)),IF($F$5="City Region Comparator",SUM(MROUND(SUM(SUM(VLOOKUP(C$19,'Raw - Satisfactory hours'!A:Q,4,FALSE)*VLOOKUP(C7,'Raw - Satisfactory hours'!A:Q,3,FALSE))/100),100)-MROUND(SUM(SUM(VLOOKUP(C7,'Raw - Satisfactory hours'!A:Q,4,FALSE)*VLOOKUP(C7,'Raw - Satisfactory hours'!A:Q,3,FALSE))/100),100)),IF($F$5="Scotland",SUM(MROUND(SUM(SUM(VLOOKUP(#REF!,'Raw - Satisfactory hours'!A:Q,4,FALSE)*VLOOKUP(C7,'Raw - Satisfactory hours'!A:Q,3,FALSE))/100),100)-MROUND(SUM(SUM(VLOOKUP(C7,'Raw - Satisfactory hours'!A:Q,4,FALSE)*VLOOKUP(C7,'Raw - Satisfactory hours'!A:Q,3,FALSE))/100),100)),IF($F$5="United Kingdom",SUM(MROUND(SUM(SUM(VLOOKUP(#REF!,'Raw - Satisfactory hours'!A:Q,4,FALSE)*VLOOKUP(C7,'Raw - Satisfactory hours'!A:Q,3,FALSE))/100),100)-MROUND(SUM(SUM(VLOOKUP(C7,'Raw - Satisfactory hours'!A:Q,4,FALSE)*VLOOKUP(C7,'Raw - Satisfactory hours'!A:Q,3,FALSE))/100),100)),SUM(MROUND(SUM(SUM(VLOOKUP(C$17,'Raw - Satisfactory hours'!A:Q,4,FALSE)*VLOOKUP(C7,'Raw - Satisfactory hours'!A:Q,3,FALSE))/100),100)-MROUND(SUM(SUM(VLOOKUP(C7,'Raw - Satisfactory hours'!A:Q,4,FALSE)*VLOOKUP(C7,'Raw - Satisfactory hours'!A:Q,3,FALSE))/100),100))))))))</f>
        <v>-</v>
      </c>
    </row>
    <row r="8" spans="2:12" s="137" customFormat="1" ht="19.5" customHeight="1">
      <c r="B8" s="216" t="s">
        <v>153</v>
      </c>
      <c r="C8" s="216" t="str">
        <f>IF(C$6="LGBF Family Group 1",Lookups!I29,IF(C$6="LGBF Family Group 2",Lookups!J29,IF(C$6="LGBF Family Group 3",Lookups!K29,Lookups!L29)))</f>
        <v>Argyll and Bute</v>
      </c>
      <c r="D8" s="217">
        <f>VLOOKUP(C8,'Raw - Satisfactory hours'!A:Q,4,FALSE)</f>
        <v>81.400000000000006</v>
      </c>
      <c r="E8" s="218">
        <f>VLOOKUP(C8,'Raw - Satisfactory hours'!A:Q,3,FALSE)</f>
        <v>37000</v>
      </c>
      <c r="F8" s="221">
        <f>IF(D8="-","-",IF(IF($F$5="City Region Comparator",SUM(D$19-D8),IF($F$5="LGBF Family Group Average",SUM(D$18-D8),IF($F$5="Scotland",SUM(#REF!-D8),IF($F$5="United Kingdom",SUM(#REF!-D8),SUM(D$17-D8)))))&lt;=0,"",IF($F$5="City Region Comparator",SUM(D$19-D8),IF($F$5="LGBF Family Group Average",SUM(D$18-D8),IF($F$5="Scotland",SUM(#REF!-D8),IF($F$5="United Kingdom",SUM(#REF!-D8),SUM(D$17-D8)))))))</f>
        <v>11.299999999999997</v>
      </c>
      <c r="G8" s="222">
        <f>IF(F8="-","-",IF(F8=""," ",IF($F$5="LGBF Family Group Average",SUM(MROUND(SUM(SUM(VLOOKUP(C$18,'Raw - Satisfactory hours'!A:Q,4,FALSE)*VLOOKUP(C8,'Raw - Satisfactory hours'!A:Q,3,FALSE))/100),100)-MROUND(SUM(SUM(VLOOKUP(C8,'Raw - Satisfactory hours'!A:Q,4,FALSE)*VLOOKUP(C8,'Raw - Satisfactory hours'!A:Q,3,FALSE))/100),100)),IF($F$5="City Region Comparator",SUM(MROUND(SUM(SUM(VLOOKUP(C$19,'Raw - Satisfactory hours'!A:Q,4,FALSE)*VLOOKUP(C8,'Raw - Satisfactory hours'!A:Q,3,FALSE))/100),100)-MROUND(SUM(SUM(VLOOKUP(C8,'Raw - Satisfactory hours'!A:Q,4,FALSE)*VLOOKUP(C8,'Raw - Satisfactory hours'!A:Q,3,FALSE))/100),100)),IF($F$5="Scotland",SUM(MROUND(SUM(SUM(VLOOKUP(#REF!,'Raw - Satisfactory hours'!A:Q,4,FALSE)*VLOOKUP(C8,'Raw - Satisfactory hours'!A:Q,3,FALSE))/100),100)-MROUND(SUM(SUM(VLOOKUP(C8,'Raw - Satisfactory hours'!A:Q,4,FALSE)*VLOOKUP(C8,'Raw - Satisfactory hours'!A:Q,3,FALSE))/100),100)),IF($F$5="United Kingdom",SUM(MROUND(SUM(SUM(VLOOKUP(#REF!,'Raw - Satisfactory hours'!A:Q,4,FALSE)*VLOOKUP(C8,'Raw - Satisfactory hours'!A:Q,3,FALSE))/100),100)-MROUND(SUM(SUM(VLOOKUP(C8,'Raw - Satisfactory hours'!A:Q,4,FALSE)*VLOOKUP(C8,'Raw - Satisfactory hours'!A:Q,3,FALSE))/100),100)),SUM(MROUND(SUM(SUM(VLOOKUP(C$17,'Raw - Satisfactory hours'!A:Q,4,FALSE)*VLOOKUP(C8,'Raw - Satisfactory hours'!A:Q,3,FALSE))/100),100)-MROUND(SUM(SUM(VLOOKUP(C8,'Raw - Satisfactory hours'!A:Q,4,FALSE)*VLOOKUP(C8,'Raw - Satisfactory hours'!A:Q,3,FALSE))/100),100))))))))</f>
        <v>4200</v>
      </c>
    </row>
    <row r="9" spans="2:12" s="137" customFormat="1" ht="19.5" customHeight="1">
      <c r="B9" s="216" t="s">
        <v>153</v>
      </c>
      <c r="C9" s="216" t="str">
        <f>IF(C$6="LGBF Family Group 1",Lookups!I30,IF(C$6="LGBF Family Group 2",Lookups!J30,IF(C$6="LGBF Family Group 3",Lookups!K30,Lookups!L30)))</f>
        <v>Shetland Islands</v>
      </c>
      <c r="D9" s="217" t="str">
        <f>VLOOKUP(C9,'Raw - Satisfactory hours'!A:Q,4,FALSE)</f>
        <v>-</v>
      </c>
      <c r="E9" s="218" t="str">
        <f>VLOOKUP(C9,'Raw - Satisfactory hours'!A:Q,3,FALSE)</f>
        <v>-</v>
      </c>
      <c r="F9" s="221" t="str">
        <f>IF(D9="-","-",IF(IF($F$5="City Region Comparator",SUM(D$19-D9),IF($F$5="LGBF Family Group Average",SUM(D$18-D9),IF($F$5="Scotland",SUM(#REF!-D9),IF($F$5="United Kingdom",SUM(#REF!-D9),SUM(D$17-D9)))))&lt;=0,"",IF($F$5="City Region Comparator",SUM(D$19-D9),IF($F$5="LGBF Family Group Average",SUM(D$18-D9),IF($F$5="Scotland",SUM(#REF!-D9),IF($F$5="United Kingdom",SUM(#REF!-D9),SUM(D$17-D9)))))))</f>
        <v>-</v>
      </c>
      <c r="G9" s="222" t="str">
        <f>IF(F9="-","-",IF(F9=""," ",IF($F$5="LGBF Family Group Average",SUM(MROUND(SUM(SUM(VLOOKUP(C$18,'Raw - Satisfactory hours'!A:Q,4,FALSE)*VLOOKUP(C9,'Raw - Satisfactory hours'!A:Q,3,FALSE))/100),100)-MROUND(SUM(SUM(VLOOKUP(C9,'Raw - Satisfactory hours'!A:Q,4,FALSE)*VLOOKUP(C9,'Raw - Satisfactory hours'!A:Q,3,FALSE))/100),100)),IF($F$5="City Region Comparator",SUM(MROUND(SUM(SUM(VLOOKUP(C$19,'Raw - Satisfactory hours'!A:Q,4,FALSE)*VLOOKUP(C9,'Raw - Satisfactory hours'!A:Q,3,FALSE))/100),100)-MROUND(SUM(SUM(VLOOKUP(C9,'Raw - Satisfactory hours'!A:Q,4,FALSE)*VLOOKUP(C9,'Raw - Satisfactory hours'!A:Q,3,FALSE))/100),100)),IF($F$5="Scotland",SUM(MROUND(SUM(SUM(VLOOKUP(#REF!,'Raw - Satisfactory hours'!A:Q,4,FALSE)*VLOOKUP(C9,'Raw - Satisfactory hours'!A:Q,3,FALSE))/100),100)-MROUND(SUM(SUM(VLOOKUP(C9,'Raw - Satisfactory hours'!A:Q,4,FALSE)*VLOOKUP(C9,'Raw - Satisfactory hours'!A:Q,3,FALSE))/100),100)),IF($F$5="United Kingdom",SUM(MROUND(SUM(SUM(VLOOKUP(#REF!,'Raw - Satisfactory hours'!A:Q,4,FALSE)*VLOOKUP(C9,'Raw - Satisfactory hours'!A:Q,3,FALSE))/100),100)-MROUND(SUM(SUM(VLOOKUP(C9,'Raw - Satisfactory hours'!A:Q,4,FALSE)*VLOOKUP(C9,'Raw - Satisfactory hours'!A:Q,3,FALSE))/100),100)),SUM(MROUND(SUM(SUM(VLOOKUP(C$17,'Raw - Satisfactory hours'!A:Q,4,FALSE)*VLOOKUP(C9,'Raw - Satisfactory hours'!A:Q,3,FALSE))/100),100)-MROUND(SUM(SUM(VLOOKUP(C9,'Raw - Satisfactory hours'!A:Q,4,FALSE)*VLOOKUP(C9,'Raw - Satisfactory hours'!A:Q,3,FALSE))/100),100))))))))</f>
        <v>-</v>
      </c>
    </row>
    <row r="10" spans="2:12" s="137" customFormat="1" ht="19.5" customHeight="1">
      <c r="B10" s="216" t="s">
        <v>153</v>
      </c>
      <c r="C10" s="216" t="str">
        <f>IF(C$6="LGBF Family Group 1",Lookups!I31,IF(C$6="LGBF Family Group 2",Lookups!J31,IF(C$6="LGBF Family Group 3",Lookups!K31,Lookups!L31)))</f>
        <v>Highland</v>
      </c>
      <c r="D10" s="217">
        <f>VLOOKUP(C10,'Raw - Satisfactory hours'!A:Q,4,FALSE)</f>
        <v>83.4</v>
      </c>
      <c r="E10" s="218">
        <f>VLOOKUP(C10,'Raw - Satisfactory hours'!A:Q,3,FALSE)</f>
        <v>112000</v>
      </c>
      <c r="F10" s="221">
        <f>IF(D10="-","-",IF(IF($F$5="City Region Comparator",SUM(D$19-D10),IF($F$5="LGBF Family Group Average",SUM(D$18-D10),IF($F$5="Scotland",SUM(#REF!-D10),IF($F$5="United Kingdom",SUM(#REF!-D10),SUM(D$17-D10)))))&lt;=0,"",IF($F$5="City Region Comparator",SUM(D$19-D10),IF($F$5="LGBF Family Group Average",SUM(D$18-D10),IF($F$5="Scotland",SUM(#REF!-D10),IF($F$5="United Kingdom",SUM(#REF!-D10),SUM(D$17-D10)))))))</f>
        <v>9.2999999999999972</v>
      </c>
      <c r="G10" s="222">
        <f>IF(F10="-","-",IF(F10=""," ",IF($F$5="LGBF Family Group Average",SUM(MROUND(SUM(SUM(VLOOKUP(C$18,'Raw - Satisfactory hours'!A:Q,4,FALSE)*VLOOKUP(C10,'Raw - Satisfactory hours'!A:Q,3,FALSE))/100),100)-MROUND(SUM(SUM(VLOOKUP(C10,'Raw - Satisfactory hours'!A:Q,4,FALSE)*VLOOKUP(C10,'Raw - Satisfactory hours'!A:Q,3,FALSE))/100),100)),IF($F$5="City Region Comparator",SUM(MROUND(SUM(SUM(VLOOKUP(C$19,'Raw - Satisfactory hours'!A:Q,4,FALSE)*VLOOKUP(C10,'Raw - Satisfactory hours'!A:Q,3,FALSE))/100),100)-MROUND(SUM(SUM(VLOOKUP(C10,'Raw - Satisfactory hours'!A:Q,4,FALSE)*VLOOKUP(C10,'Raw - Satisfactory hours'!A:Q,3,FALSE))/100),100)),IF($F$5="Scotland",SUM(MROUND(SUM(SUM(VLOOKUP(#REF!,'Raw - Satisfactory hours'!A:Q,4,FALSE)*VLOOKUP(C10,'Raw - Satisfactory hours'!A:Q,3,FALSE))/100),100)-MROUND(SUM(SUM(VLOOKUP(C10,'Raw - Satisfactory hours'!A:Q,4,FALSE)*VLOOKUP(C10,'Raw - Satisfactory hours'!A:Q,3,FALSE))/100),100)),IF($F$5="United Kingdom",SUM(MROUND(SUM(SUM(VLOOKUP(#REF!,'Raw - Satisfactory hours'!A:Q,4,FALSE)*VLOOKUP(C10,'Raw - Satisfactory hours'!A:Q,3,FALSE))/100),100)-MROUND(SUM(SUM(VLOOKUP(C10,'Raw - Satisfactory hours'!A:Q,4,FALSE)*VLOOKUP(C10,'Raw - Satisfactory hours'!A:Q,3,FALSE))/100),100)),SUM(MROUND(SUM(SUM(VLOOKUP(C$17,'Raw - Satisfactory hours'!A:Q,4,FALSE)*VLOOKUP(C10,'Raw - Satisfactory hours'!A:Q,3,FALSE))/100),100)-MROUND(SUM(SUM(VLOOKUP(C10,'Raw - Satisfactory hours'!A:Q,4,FALSE)*VLOOKUP(C10,'Raw - Satisfactory hours'!A:Q,3,FALSE))/100),100))))))))</f>
        <v>10400</v>
      </c>
    </row>
    <row r="11" spans="2:12" s="137" customFormat="1" ht="19.5" customHeight="1">
      <c r="B11" s="216" t="s">
        <v>153</v>
      </c>
      <c r="C11" s="216" t="str">
        <f>IF(C$6="LGBF Family Group 1",Lookups!I32,IF(C$6="LGBF Family Group 2",Lookups!J32,IF(C$6="LGBF Family Group 3",Lookups!K32,Lookups!L32)))</f>
        <v>Orkney Islands</v>
      </c>
      <c r="D11" s="217" t="str">
        <f>VLOOKUP(C11,'Raw - Satisfactory hours'!A:Q,4,FALSE)</f>
        <v>-</v>
      </c>
      <c r="E11" s="218" t="str">
        <f>VLOOKUP(C11,'Raw - Satisfactory hours'!A:Q,3,FALSE)</f>
        <v>-</v>
      </c>
      <c r="F11" s="221" t="str">
        <f>IF(D11="-","-",IF(IF($F$5="City Region Comparator",SUM(D$19-D11),IF($F$5="LGBF Family Group Average",SUM(D$18-D11),IF($F$5="Scotland",SUM(#REF!-D11),IF($F$5="United Kingdom",SUM(#REF!-D11),SUM(D$17-D11)))))&lt;=0,"",IF($F$5="City Region Comparator",SUM(D$19-D11),IF($F$5="LGBF Family Group Average",SUM(D$18-D11),IF($F$5="Scotland",SUM(#REF!-D11),IF($F$5="United Kingdom",SUM(#REF!-D11),SUM(D$17-D11)))))))</f>
        <v>-</v>
      </c>
      <c r="G11" s="222" t="str">
        <f>IF(F11="-","-",IF(F11=""," ",IF($F$5="LGBF Family Group Average",SUM(MROUND(SUM(SUM(VLOOKUP(C$18,'Raw - Satisfactory hours'!A:Q,4,FALSE)*VLOOKUP(C11,'Raw - Satisfactory hours'!A:Q,3,FALSE))/100),100)-MROUND(SUM(SUM(VLOOKUP(C11,'Raw - Satisfactory hours'!A:Q,4,FALSE)*VLOOKUP(C11,'Raw - Satisfactory hours'!A:Q,3,FALSE))/100),100)),IF($F$5="City Region Comparator",SUM(MROUND(SUM(SUM(VLOOKUP(C$19,'Raw - Satisfactory hours'!A:Q,4,FALSE)*VLOOKUP(C11,'Raw - Satisfactory hours'!A:Q,3,FALSE))/100),100)-MROUND(SUM(SUM(VLOOKUP(C11,'Raw - Satisfactory hours'!A:Q,4,FALSE)*VLOOKUP(C11,'Raw - Satisfactory hours'!A:Q,3,FALSE))/100),100)),IF($F$5="Scotland",SUM(MROUND(SUM(SUM(VLOOKUP(#REF!,'Raw - Satisfactory hours'!A:Q,4,FALSE)*VLOOKUP(C11,'Raw - Satisfactory hours'!A:Q,3,FALSE))/100),100)-MROUND(SUM(SUM(VLOOKUP(C11,'Raw - Satisfactory hours'!A:Q,4,FALSE)*VLOOKUP(C11,'Raw - Satisfactory hours'!A:Q,3,FALSE))/100),100)),IF($F$5="United Kingdom",SUM(MROUND(SUM(SUM(VLOOKUP(#REF!,'Raw - Satisfactory hours'!A:Q,4,FALSE)*VLOOKUP(C11,'Raw - Satisfactory hours'!A:Q,3,FALSE))/100),100)-MROUND(SUM(SUM(VLOOKUP(C11,'Raw - Satisfactory hours'!A:Q,4,FALSE)*VLOOKUP(C11,'Raw - Satisfactory hours'!A:Q,3,FALSE))/100),100)),SUM(MROUND(SUM(SUM(VLOOKUP(C$17,'Raw - Satisfactory hours'!A:Q,4,FALSE)*VLOOKUP(C11,'Raw - Satisfactory hours'!A:Q,3,FALSE))/100),100)-MROUND(SUM(SUM(VLOOKUP(C11,'Raw - Satisfactory hours'!A:Q,4,FALSE)*VLOOKUP(C11,'Raw - Satisfactory hours'!A:Q,3,FALSE))/100),100))))))))</f>
        <v>-</v>
      </c>
    </row>
    <row r="12" spans="2:12" s="137" customFormat="1" ht="19.5" customHeight="1">
      <c r="B12" s="216" t="s">
        <v>153</v>
      </c>
      <c r="C12" s="216" t="str">
        <f>IF(C$6="LGBF Family Group 1",Lookups!I33,IF(C$6="LGBF Family Group 2",Lookups!J33,IF(C$6="LGBF Family Group 3",Lookups!K33,Lookups!L33)))</f>
        <v>Scottish Borders</v>
      </c>
      <c r="D12" s="217">
        <f>VLOOKUP(C12,'Raw - Satisfactory hours'!A:Q,4,FALSE)</f>
        <v>84.2</v>
      </c>
      <c r="E12" s="218">
        <f>VLOOKUP(C12,'Raw - Satisfactory hours'!A:Q,3,FALSE)</f>
        <v>42000</v>
      </c>
      <c r="F12" s="221">
        <f>IF(D12="-","-",IF(IF($F$5="City Region Comparator",SUM(D$19-D12),IF($F$5="LGBF Family Group Average",SUM(D$18-D12),IF($F$5="Scotland",SUM(#REF!-D12),IF($F$5="United Kingdom",SUM(#REF!-D12),SUM(D$17-D12)))))&lt;=0,"",IF($F$5="City Region Comparator",SUM(D$19-D12),IF($F$5="LGBF Family Group Average",SUM(D$18-D12),IF($F$5="Scotland",SUM(#REF!-D12),IF($F$5="United Kingdom",SUM(#REF!-D12),SUM(D$17-D12)))))))</f>
        <v>8.5</v>
      </c>
      <c r="G12" s="222">
        <f>IF(F12="-","-",IF(F12=""," ",IF($F$5="LGBF Family Group Average",SUM(MROUND(SUM(SUM(VLOOKUP(C$18,'Raw - Satisfactory hours'!A:Q,4,FALSE)*VLOOKUP(C12,'Raw - Satisfactory hours'!A:Q,3,FALSE))/100),100)-MROUND(SUM(SUM(VLOOKUP(C12,'Raw - Satisfactory hours'!A:Q,4,FALSE)*VLOOKUP(C12,'Raw - Satisfactory hours'!A:Q,3,FALSE))/100),100)),IF($F$5="City Region Comparator",SUM(MROUND(SUM(SUM(VLOOKUP(C$19,'Raw - Satisfactory hours'!A:Q,4,FALSE)*VLOOKUP(C12,'Raw - Satisfactory hours'!A:Q,3,FALSE))/100),100)-MROUND(SUM(SUM(VLOOKUP(C12,'Raw - Satisfactory hours'!A:Q,4,FALSE)*VLOOKUP(C12,'Raw - Satisfactory hours'!A:Q,3,FALSE))/100),100)),IF($F$5="Scotland",SUM(MROUND(SUM(SUM(VLOOKUP(#REF!,'Raw - Satisfactory hours'!A:Q,4,FALSE)*VLOOKUP(C12,'Raw - Satisfactory hours'!A:Q,3,FALSE))/100),100)-MROUND(SUM(SUM(VLOOKUP(C12,'Raw - Satisfactory hours'!A:Q,4,FALSE)*VLOOKUP(C12,'Raw - Satisfactory hours'!A:Q,3,FALSE))/100),100)),IF($F$5="United Kingdom",SUM(MROUND(SUM(SUM(VLOOKUP(#REF!,'Raw - Satisfactory hours'!A:Q,4,FALSE)*VLOOKUP(C12,'Raw - Satisfactory hours'!A:Q,3,FALSE))/100),100)-MROUND(SUM(SUM(VLOOKUP(C12,'Raw - Satisfactory hours'!A:Q,4,FALSE)*VLOOKUP(C12,'Raw - Satisfactory hours'!A:Q,3,FALSE))/100),100)),SUM(MROUND(SUM(SUM(VLOOKUP(C$17,'Raw - Satisfactory hours'!A:Q,4,FALSE)*VLOOKUP(C12,'Raw - Satisfactory hours'!A:Q,3,FALSE))/100),100)-MROUND(SUM(SUM(VLOOKUP(C12,'Raw - Satisfactory hours'!A:Q,4,FALSE)*VLOOKUP(C12,'Raw - Satisfactory hours'!A:Q,3,FALSE))/100),100))))))))</f>
        <v>3500</v>
      </c>
    </row>
    <row r="13" spans="2:12" s="137" customFormat="1" ht="19.5" customHeight="1">
      <c r="B13" s="216" t="s">
        <v>153</v>
      </c>
      <c r="C13" s="216" t="str">
        <f>IF(C$6="LGBF Family Group 1",Lookups!I34,IF(C$6="LGBF Family Group 2",Lookups!J34,IF(C$6="LGBF Family Group 3",Lookups!K34,Lookups!L34)))</f>
        <v>Dumfries and Galloway</v>
      </c>
      <c r="D13" s="217">
        <f>VLOOKUP(C13,'Raw - Satisfactory hours'!A:Q,4,FALSE)</f>
        <v>80.400000000000006</v>
      </c>
      <c r="E13" s="218">
        <f>VLOOKUP(C13,'Raw - Satisfactory hours'!A:Q,3,FALSE)</f>
        <v>58000</v>
      </c>
      <c r="F13" s="221">
        <f>IF(D13="-","-",IF(IF($F$5="City Region Comparator",SUM(D$19-D13),IF($F$5="LGBF Family Group Average",SUM(D$18-D13),IF($F$5="Scotland",SUM(#REF!-D13),IF($F$5="United Kingdom",SUM(#REF!-D13),SUM(D$17-D13)))))&lt;=0,"",IF($F$5="City Region Comparator",SUM(D$19-D13),IF($F$5="LGBF Family Group Average",SUM(D$18-D13),IF($F$5="Scotland",SUM(#REF!-D13),IF($F$5="United Kingdom",SUM(#REF!-D13),SUM(D$17-D13)))))))</f>
        <v>12.299999999999997</v>
      </c>
      <c r="G13" s="222">
        <f>IF(F13="-","-",IF(F13=""," ",IF($F$5="LGBF Family Group Average",SUM(MROUND(SUM(SUM(VLOOKUP(C$18,'Raw - Satisfactory hours'!A:Q,4,FALSE)*VLOOKUP(C13,'Raw - Satisfactory hours'!A:Q,3,FALSE))/100),100)-MROUND(SUM(SUM(VLOOKUP(C13,'Raw - Satisfactory hours'!A:Q,4,FALSE)*VLOOKUP(C13,'Raw - Satisfactory hours'!A:Q,3,FALSE))/100),100)),IF($F$5="City Region Comparator",SUM(MROUND(SUM(SUM(VLOOKUP(C$19,'Raw - Satisfactory hours'!A:Q,4,FALSE)*VLOOKUP(C13,'Raw - Satisfactory hours'!A:Q,3,FALSE))/100),100)-MROUND(SUM(SUM(VLOOKUP(C13,'Raw - Satisfactory hours'!A:Q,4,FALSE)*VLOOKUP(C13,'Raw - Satisfactory hours'!A:Q,3,FALSE))/100),100)),IF($F$5="Scotland",SUM(MROUND(SUM(SUM(VLOOKUP(#REF!,'Raw - Satisfactory hours'!A:Q,4,FALSE)*VLOOKUP(C13,'Raw - Satisfactory hours'!A:Q,3,FALSE))/100),100)-MROUND(SUM(SUM(VLOOKUP(C13,'Raw - Satisfactory hours'!A:Q,4,FALSE)*VLOOKUP(C13,'Raw - Satisfactory hours'!A:Q,3,FALSE))/100),100)),IF($F$5="United Kingdom",SUM(MROUND(SUM(SUM(VLOOKUP(#REF!,'Raw - Satisfactory hours'!A:Q,4,FALSE)*VLOOKUP(C13,'Raw - Satisfactory hours'!A:Q,3,FALSE))/100),100)-MROUND(SUM(SUM(VLOOKUP(C13,'Raw - Satisfactory hours'!A:Q,4,FALSE)*VLOOKUP(C13,'Raw - Satisfactory hours'!A:Q,3,FALSE))/100),100)),SUM(MROUND(SUM(SUM(VLOOKUP(C$17,'Raw - Satisfactory hours'!A:Q,4,FALSE)*VLOOKUP(C13,'Raw - Satisfactory hours'!A:Q,3,FALSE))/100),100)-MROUND(SUM(SUM(VLOOKUP(C13,'Raw - Satisfactory hours'!A:Q,4,FALSE)*VLOOKUP(C13,'Raw - Satisfactory hours'!A:Q,3,FALSE))/100),100))))))))</f>
        <v>7200</v>
      </c>
    </row>
    <row r="14" spans="2:12" s="137" customFormat="1" ht="19.5" customHeight="1">
      <c r="B14" s="216" t="s">
        <v>153</v>
      </c>
      <c r="C14" s="216" t="str">
        <f>IF(C$6="LGBF Family Group 1",Lookups!I35,IF(C$6="LGBF Family Group 2",Lookups!J35,IF(C$6="LGBF Family Group 3",Lookups!K35,Lookups!L35)))</f>
        <v>Aberdeenshire</v>
      </c>
      <c r="D14" s="217">
        <f>VLOOKUP(C14,'Raw - Satisfactory hours'!A:Q,4,FALSE)</f>
        <v>84.3</v>
      </c>
      <c r="E14" s="218">
        <f>VLOOKUP(C14,'Raw - Satisfactory hours'!A:Q,3,FALSE)</f>
        <v>103000</v>
      </c>
      <c r="F14" s="221">
        <f>IF(D14="-","-",IF(IF($F$5="City Region Comparator",SUM(D$19-D14),IF($F$5="LGBF Family Group Average",SUM(D$18-D14),IF($F$5="Scotland",SUM(#REF!-D14),IF($F$5="United Kingdom",SUM(#REF!-D14),SUM(D$17-D14)))))&lt;=0,"",IF($F$5="City Region Comparator",SUM(D$19-D14),IF($F$5="LGBF Family Group Average",SUM(D$18-D14),IF($F$5="Scotland",SUM(#REF!-D14),IF($F$5="United Kingdom",SUM(#REF!-D14),SUM(D$17-D14)))))))</f>
        <v>8.4000000000000057</v>
      </c>
      <c r="G14" s="222">
        <f>IF(F14="-","-",IF(F14=""," ",IF($F$5="LGBF Family Group Average",SUM(MROUND(SUM(SUM(VLOOKUP(C$18,'Raw - Satisfactory hours'!A:Q,4,FALSE)*VLOOKUP(C14,'Raw - Satisfactory hours'!A:Q,3,FALSE))/100),100)-MROUND(SUM(SUM(VLOOKUP(C14,'Raw - Satisfactory hours'!A:Q,4,FALSE)*VLOOKUP(C14,'Raw - Satisfactory hours'!A:Q,3,FALSE))/100),100)),IF($F$5="City Region Comparator",SUM(MROUND(SUM(SUM(VLOOKUP(C$19,'Raw - Satisfactory hours'!A:Q,4,FALSE)*VLOOKUP(C14,'Raw - Satisfactory hours'!A:Q,3,FALSE))/100),100)-MROUND(SUM(SUM(VLOOKUP(C14,'Raw - Satisfactory hours'!A:Q,4,FALSE)*VLOOKUP(C14,'Raw - Satisfactory hours'!A:Q,3,FALSE))/100),100)),IF($F$5="Scotland",SUM(MROUND(SUM(SUM(VLOOKUP(#REF!,'Raw - Satisfactory hours'!A:Q,4,FALSE)*VLOOKUP(C14,'Raw - Satisfactory hours'!A:Q,3,FALSE))/100),100)-MROUND(SUM(SUM(VLOOKUP(C14,'Raw - Satisfactory hours'!A:Q,4,FALSE)*VLOOKUP(C14,'Raw - Satisfactory hours'!A:Q,3,FALSE))/100),100)),IF($F$5="United Kingdom",SUM(MROUND(SUM(SUM(VLOOKUP(#REF!,'Raw - Satisfactory hours'!A:Q,4,FALSE)*VLOOKUP(C14,'Raw - Satisfactory hours'!A:Q,3,FALSE))/100),100)-MROUND(SUM(SUM(VLOOKUP(C14,'Raw - Satisfactory hours'!A:Q,4,FALSE)*VLOOKUP(C14,'Raw - Satisfactory hours'!A:Q,3,FALSE))/100),100)),SUM(MROUND(SUM(SUM(VLOOKUP(C$17,'Raw - Satisfactory hours'!A:Q,4,FALSE)*VLOOKUP(C14,'Raw - Satisfactory hours'!A:Q,3,FALSE))/100),100)-MROUND(SUM(SUM(VLOOKUP(C14,'Raw - Satisfactory hours'!A:Q,4,FALSE)*VLOOKUP(C14,'Raw - Satisfactory hours'!A:Q,3,FALSE))/100),100))))))))</f>
        <v>8700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5"/>
      <c r="G16" s="225"/>
    </row>
    <row r="17" spans="2:12" s="137" customFormat="1" ht="19.5" customHeight="1">
      <c r="B17" s="226" t="s">
        <v>52</v>
      </c>
      <c r="C17" s="216" t="str">
        <f>INDEX('Raw - Satisfactory hours'!$A$9:$A$41,MATCH(MAX('Raw - Satisfactory hours'!D9:D41),'Raw - Satisfactory hours'!D9:D41,0))</f>
        <v>West Lothian</v>
      </c>
      <c r="D17" s="217">
        <f>VLOOKUP(C17,'Raw - Satisfactory hours'!A:Q,4,FALSE)</f>
        <v>92.7</v>
      </c>
      <c r="E17" s="218">
        <f>VLOOKUP(C17,'Raw - Satisfactory hours'!A:Q,3,FALSE)</f>
        <v>77000</v>
      </c>
    </row>
    <row r="18" spans="2:12" s="137" customFormat="1" ht="19.5" customHeight="1">
      <c r="B18" s="226" t="s">
        <v>271</v>
      </c>
      <c r="C18" s="227" t="s">
        <v>246</v>
      </c>
      <c r="D18" s="217">
        <f>VLOOKUP(C18,'Raw - Satisfactory hours'!A:Q,4,FALSE)</f>
        <v>84.033333333333346</v>
      </c>
      <c r="E18" s="218" t="s">
        <v>71</v>
      </c>
    </row>
    <row r="19" spans="2:12" s="137" customFormat="1" ht="19.5" customHeight="1">
      <c r="B19" s="226" t="s">
        <v>270</v>
      </c>
      <c r="C19" s="216" t="s">
        <v>156</v>
      </c>
      <c r="D19" s="217">
        <f>VLOOKUP(C19,'Raw - Satisfactory hours'!A:Q,4,FALSE)</f>
        <v>86.35</v>
      </c>
      <c r="E19" s="218" t="s">
        <v>71</v>
      </c>
    </row>
    <row r="20" spans="2:12" ht="19.5" customHeight="1">
      <c r="C20" s="189"/>
      <c r="D20" s="190"/>
      <c r="E20" s="190"/>
      <c r="F20" s="190"/>
      <c r="G20" s="190"/>
      <c r="H20" s="190"/>
      <c r="I20" s="190"/>
      <c r="J20" s="190"/>
      <c r="K20" s="190"/>
      <c r="L20" s="190"/>
    </row>
    <row r="21" spans="2:12">
      <c r="D21" s="191"/>
      <c r="E21" s="191"/>
      <c r="F21" s="192" t="str">
        <f>CONCATENATE(G21,H21)</f>
        <v>Volume Change Required to match Geographic Area - Top Performing Scottish Local Authority</v>
      </c>
      <c r="G21" s="192" t="s">
        <v>225</v>
      </c>
      <c r="H21" s="192" t="str">
        <f>F5</f>
        <v>Top Performing Scottish Local Authority</v>
      </c>
    </row>
    <row r="22" spans="2:12">
      <c r="B22" s="193" t="s">
        <v>207</v>
      </c>
    </row>
    <row r="23" spans="2:12">
      <c r="I23" s="195"/>
      <c r="J23" s="195"/>
      <c r="K23" s="195"/>
      <c r="L23" s="191"/>
    </row>
  </sheetData>
  <sheetProtection algorithmName="SHA-512" hashValue="WJ0o+isgJNJRlf8iI6bU1AhGFpKHiNL0Q2lTpHk0fPqq7fpmjEmawFMR5kl+HYMqC3MPqfojR+mGqJ+q+EtiTA==" saltValue="CZmlYSOesGVVDOTdxmMT8A==" spinCount="100000" sheet="1" sort="0"/>
  <mergeCells count="3">
    <mergeCell ref="F2:G2"/>
    <mergeCell ref="F4:G4"/>
    <mergeCell ref="F5:G5"/>
  </mergeCells>
  <hyperlinks>
    <hyperlink ref="G2" location="'Index RAG'!A1" display="Return to Index RAG" xr:uid="{8296D2B6-24B4-4C6E-BA12-D75EEBF2267D}"/>
    <hyperlink ref="C3" r:id="rId1" display="UK Government" xr:uid="{73546D75-F025-4EA9-BD89-BC09FCEB931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5C5D747-18F1-4367-A123-4C8AA1083115}">
          <x14:formula1>
            <xm:f>Lookups!$Q$3:$Q$7</xm:f>
          </x14:formula1>
          <xm:sqref>C19</xm:sqref>
        </x14:dataValidation>
        <x14:dataValidation type="list" allowBlank="1" showInputMessage="1" showErrorMessage="1" xr:uid="{AD2C46C5-7ED9-4167-98E0-A38A9184DE7B}">
          <x14:formula1>
            <xm:f>Lookups!$B$36:$E$36</xm:f>
          </x14:formula1>
          <xm:sqref>C18</xm:sqref>
        </x14:dataValidation>
        <x14:dataValidation type="list" allowBlank="1" showInputMessage="1" showErrorMessage="1" xr:uid="{8B1CD33E-AE36-4739-A58F-3FB3C0236C01}">
          <x14:formula1>
            <xm:f>Lookups!$B$9:$B$11</xm:f>
          </x14:formula1>
          <xm:sqref>F5:G5</xm:sqref>
        </x14:dataValidation>
        <x14:dataValidation type="list" allowBlank="1" showInputMessage="1" showErrorMessage="1" xr:uid="{8F1E60EF-268C-4CBF-B70D-2EC4C8FCA7F1}">
          <x14:formula1>
            <xm:f>Lookups!$B$27:$E$27</xm:f>
          </x14:formula1>
          <xm:sqref>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D77D9-6A90-4359-8417-356923B3D965}">
  <sheetPr>
    <pageSetUpPr autoPageBreaks="0" fitToPage="1"/>
  </sheetPr>
  <dimension ref="B1:L23"/>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Low pay (% of employees) - LGBF Family Group 1</v>
      </c>
      <c r="D1" s="170" t="s">
        <v>290</v>
      </c>
    </row>
    <row r="2" spans="2:12" ht="12.75">
      <c r="B2" s="171" t="s">
        <v>49</v>
      </c>
      <c r="C2" s="172" t="s">
        <v>366</v>
      </c>
      <c r="F2" s="467" t="s">
        <v>216</v>
      </c>
      <c r="G2" s="468"/>
    </row>
    <row r="3" spans="2:12" ht="12.75">
      <c r="B3" s="171" t="s">
        <v>50</v>
      </c>
      <c r="C3" s="311" t="s">
        <v>368</v>
      </c>
    </row>
    <row r="4" spans="2:12" ht="12.75">
      <c r="B4" s="172"/>
      <c r="C4" s="175" t="s">
        <v>208</v>
      </c>
      <c r="F4" s="463" t="s">
        <v>53</v>
      </c>
      <c r="G4" s="463"/>
    </row>
    <row r="5" spans="2:12" ht="21.95" customHeight="1">
      <c r="C5" s="177"/>
      <c r="D5" s="178"/>
      <c r="E5" s="178"/>
      <c r="F5" s="466" t="s">
        <v>52</v>
      </c>
      <c r="G5" s="466"/>
    </row>
    <row r="6" spans="2:12" ht="26.1" customHeight="1">
      <c r="B6" s="179" t="s">
        <v>166</v>
      </c>
      <c r="C6" s="180" t="s">
        <v>242</v>
      </c>
      <c r="D6" s="181">
        <v>2021</v>
      </c>
      <c r="E6" s="181" t="s">
        <v>299</v>
      </c>
      <c r="F6" s="182" t="s">
        <v>57</v>
      </c>
      <c r="G6" s="182" t="s">
        <v>58</v>
      </c>
    </row>
    <row r="7" spans="2:12" s="137" customFormat="1" ht="19.5" customHeight="1">
      <c r="B7" s="216" t="s">
        <v>153</v>
      </c>
      <c r="C7" s="216" t="str">
        <f>IF(C$6="LGBF Family Group 1",Lookups!I28,IF(C$6="LGBF Family Group 2",Lookups!J28,IF(C$6="LGBF Family Group 3",Lookups!K28,Lookups!L28)))</f>
        <v>Na h-Eileanan Siar</v>
      </c>
      <c r="D7" s="217" t="str">
        <f>VLOOKUP(C7,'Raw - Low pay'!A:Q,4,FALSE)</f>
        <v>-</v>
      </c>
      <c r="E7" s="218" t="str">
        <f>VLOOKUP(C7,'Raw - Low pay'!A:Q,3,FALSE)</f>
        <v>-</v>
      </c>
      <c r="F7" s="221" t="str">
        <f>IF(D7="-","-",IF(IF($F$5="City Region Comparator",SUM(D$19-D7),IF($F$5="LGBF Family Group Average",SUM(D$18-D7),IF($F$5="Scotland",SUM(#REF!-D7),IF($F$5="United Kingdom",SUM(#REF!-D7),SUM(D$17-D7)))))&lt;=0,"",IF($F$5="City Region Comparator",SUM(D$19-D7),IF($F$5="LGBF Family Group Average",SUM(D$18-D7),IF($F$5="Scotland",SUM(#REF!-D7),IF($F$5="United Kingdom",SUM(#REF!-D7),SUM(D$17-D7)))))))</f>
        <v>-</v>
      </c>
      <c r="G7" s="222" t="str">
        <f>IF(D7="-","-",IF(F7=""," ",IF($F$5="LGBF Family Group Average",SUM(MROUND(SUM(SUM(VLOOKUP(C$18,'Raw - Low pay'!A:Q,4,FALSE)*VLOOKUP(C7,'Raw - Low pay'!A:Q,3,FALSE))/100),100)-MROUND(SUM(SUM(VLOOKUP(C7,'Raw - Low pay'!A:Q,4,FALSE)*VLOOKUP(C7,'Raw - Low pay'!A:Q,3,FALSE))/100),100)),IF($F$5="City Region Comparator",SUM(MROUND(SUM(SUM(VLOOKUP(C$19,'Raw - Low pay'!A:Q,4,FALSE)*VLOOKUP(C7,'Raw - Low pay'!A:Q,3,FALSE))/100),100)-MROUND(SUM(SUM(VLOOKUP(C7,'Raw - Low pay'!A:Q,4,FALSE)*VLOOKUP(C7,'Raw - Low pay'!A:Q,3,FALSE))/100),100)),IF($F$5="Scotland",SUM(MROUND(SUM(SUM(VLOOKUP(#REF!,'Raw - Low pay'!A:Q,4,FALSE)*VLOOKUP(C7,'Raw - Low pay'!A:Q,3,FALSE))/100),100)-MROUND(SUM(SUM(VLOOKUP(C7,'Raw - Low pay'!A:Q,4,FALSE)*VLOOKUP(C7,'Raw - Low pay'!A:Q,3,FALSE))/100),100)),IF($F$5="United Kingdom",SUM(MROUND(SUM(SUM(VLOOKUP(#REF!,'Raw - Low pay'!A:Q,4,FALSE)*VLOOKUP(C7,'Raw - Low pay'!A:Q,3,FALSE))/100),100)-MROUND(SUM(SUM(VLOOKUP(C7,'Raw - Low pay'!A:Q,4,FALSE)*VLOOKUP(C7,'Raw - Low pay'!A:Q,3,FALSE))/100),100)),SUM(MROUND(SUM(SUM(VLOOKUP(C$17,'Raw - Low pay'!A:Q,4,FALSE)*VLOOKUP(C7,'Raw - Low pay'!A:Q,3,FALSE))/100),100)-MROUND(SUM(SUM(VLOOKUP(C7,'Raw - Low pay'!A:Q,4,FALSE)*VLOOKUP(C7,'Raw - Low pay'!A:Q,3,FALSE))/100),100))))))))</f>
        <v>-</v>
      </c>
    </row>
    <row r="8" spans="2:12" s="137" customFormat="1" ht="19.5" customHeight="1">
      <c r="B8" s="216" t="s">
        <v>153</v>
      </c>
      <c r="C8" s="216" t="str">
        <f>IF(C$6="LGBF Family Group 1",Lookups!I29,IF(C$6="LGBF Family Group 2",Lookups!J29,IF(C$6="LGBF Family Group 3",Lookups!K29,Lookups!L29)))</f>
        <v>Argyll and Bute</v>
      </c>
      <c r="D8" s="217">
        <f>VLOOKUP(C8,'Raw - Low pay'!A:Q,4,FALSE)</f>
        <v>17.5</v>
      </c>
      <c r="E8" s="218">
        <f>VLOOKUP(C8,'Raw - Low pay'!A:Q,3,FALSE)</f>
        <v>37000</v>
      </c>
      <c r="F8" s="221">
        <f>IF(D8="-","-",IF(IF($F$5="City Region Comparator",SUM(D$19-D8),IF($F$5="LGBF Family Group Average",SUM(D$18-D8),IF($F$5="Scotland",SUM(#REF!-D8),IF($F$5="United Kingdom",SUM(#REF!-D8),SUM(D$17-D8)))))&lt;=0,"",IF($F$5="City Region Comparator",SUM(D$19-D8),IF($F$5="LGBF Family Group Average",SUM(D$18-D8),IF($F$5="Scotland",SUM(#REF!-D8),IF($F$5="United Kingdom",SUM(#REF!-D8),SUM(D$17-D8)))))))</f>
        <v>3.5</v>
      </c>
      <c r="G8" s="222">
        <f>IF(D8="-","-",IF(F8=""," ",IF($F$5="LGBF Family Group Average",SUM(MROUND(SUM(SUM(VLOOKUP(C$18,'Raw - Low pay'!A:Q,4,FALSE)*VLOOKUP(C8,'Raw - Low pay'!A:Q,3,FALSE))/100),100)-MROUND(SUM(SUM(VLOOKUP(C8,'Raw - Low pay'!A:Q,4,FALSE)*VLOOKUP(C8,'Raw - Low pay'!A:Q,3,FALSE))/100),100)),IF($F$5="City Region Comparator",SUM(MROUND(SUM(SUM(VLOOKUP(C$19,'Raw - Low pay'!A:Q,4,FALSE)*VLOOKUP(C8,'Raw - Low pay'!A:Q,3,FALSE))/100),100)-MROUND(SUM(SUM(VLOOKUP(C8,'Raw - Low pay'!A:Q,4,FALSE)*VLOOKUP(C8,'Raw - Low pay'!A:Q,3,FALSE))/100),100)),IF($F$5="Scotland",SUM(MROUND(SUM(SUM(VLOOKUP(#REF!,'Raw - Low pay'!A:Q,4,FALSE)*VLOOKUP(C8,'Raw - Low pay'!A:Q,3,FALSE))/100),100)-MROUND(SUM(SUM(VLOOKUP(C8,'Raw - Low pay'!A:Q,4,FALSE)*VLOOKUP(C8,'Raw - Low pay'!A:Q,3,FALSE))/100),100)),IF($F$5="United Kingdom",SUM(MROUND(SUM(SUM(VLOOKUP(#REF!,'Raw - Low pay'!A:Q,4,FALSE)*VLOOKUP(C8,'Raw - Low pay'!A:Q,3,FALSE))/100),100)-MROUND(SUM(SUM(VLOOKUP(C8,'Raw - Low pay'!A:Q,4,FALSE)*VLOOKUP(C8,'Raw - Low pay'!A:Q,3,FALSE))/100),100)),SUM(MROUND(SUM(SUM(VLOOKUP(C$17,'Raw - Low pay'!A:Q,4,FALSE)*VLOOKUP(C8,'Raw - Low pay'!A:Q,3,FALSE))/100),100)-MROUND(SUM(SUM(VLOOKUP(C8,'Raw - Low pay'!A:Q,4,FALSE)*VLOOKUP(C8,'Raw - Low pay'!A:Q,3,FALSE))/100),100))))))))</f>
        <v>1300</v>
      </c>
    </row>
    <row r="9" spans="2:12" s="137" customFormat="1" ht="19.5" customHeight="1">
      <c r="B9" s="216" t="s">
        <v>153</v>
      </c>
      <c r="C9" s="216" t="str">
        <f>IF(C$6="LGBF Family Group 1",Lookups!I30,IF(C$6="LGBF Family Group 2",Lookups!J30,IF(C$6="LGBF Family Group 3",Lookups!K30,Lookups!L30)))</f>
        <v>Shetland Islands</v>
      </c>
      <c r="D9" s="217" t="str">
        <f>VLOOKUP(C9,'Raw - Low pay'!A:Q,4,FALSE)</f>
        <v>-</v>
      </c>
      <c r="E9" s="218" t="str">
        <f>VLOOKUP(C9,'Raw - Low pay'!A:Q,3,FALSE)</f>
        <v>-</v>
      </c>
      <c r="F9" s="221" t="str">
        <f>IF(D9="-","-",IF(IF($F$5="City Region Comparator",SUM(D$19-D9),IF($F$5="LGBF Family Group Average",SUM(D$18-D9),IF($F$5="Scotland",SUM(#REF!-D9),IF($F$5="United Kingdom",SUM(#REF!-D9),SUM(D$17-D9)))))&lt;=0,"",IF($F$5="City Region Comparator",SUM(D$19-D9),IF($F$5="LGBF Family Group Average",SUM(D$18-D9),IF($F$5="Scotland",SUM(#REF!-D9),IF($F$5="United Kingdom",SUM(#REF!-D9),SUM(D$17-D9)))))))</f>
        <v>-</v>
      </c>
      <c r="G9" s="222" t="str">
        <f>IF(D9="-","-",IF(F9=""," ",IF($F$5="LGBF Family Group Average",SUM(MROUND(SUM(SUM(VLOOKUP(C$18,'Raw - Low pay'!A:Q,4,FALSE)*VLOOKUP(C9,'Raw - Low pay'!A:Q,3,FALSE))/100),100)-MROUND(SUM(SUM(VLOOKUP(C9,'Raw - Low pay'!A:Q,4,FALSE)*VLOOKUP(C9,'Raw - Low pay'!A:Q,3,FALSE))/100),100)),IF($F$5="City Region Comparator",SUM(MROUND(SUM(SUM(VLOOKUP(C$19,'Raw - Low pay'!A:Q,4,FALSE)*VLOOKUP(C9,'Raw - Low pay'!A:Q,3,FALSE))/100),100)-MROUND(SUM(SUM(VLOOKUP(C9,'Raw - Low pay'!A:Q,4,FALSE)*VLOOKUP(C9,'Raw - Low pay'!A:Q,3,FALSE))/100),100)),IF($F$5="Scotland",SUM(MROUND(SUM(SUM(VLOOKUP(#REF!,'Raw - Low pay'!A:Q,4,FALSE)*VLOOKUP(C9,'Raw - Low pay'!A:Q,3,FALSE))/100),100)-MROUND(SUM(SUM(VLOOKUP(C9,'Raw - Low pay'!A:Q,4,FALSE)*VLOOKUP(C9,'Raw - Low pay'!A:Q,3,FALSE))/100),100)),IF($F$5="United Kingdom",SUM(MROUND(SUM(SUM(VLOOKUP(#REF!,'Raw - Low pay'!A:Q,4,FALSE)*VLOOKUP(C9,'Raw - Low pay'!A:Q,3,FALSE))/100),100)-MROUND(SUM(SUM(VLOOKUP(C9,'Raw - Low pay'!A:Q,4,FALSE)*VLOOKUP(C9,'Raw - Low pay'!A:Q,3,FALSE))/100),100)),SUM(MROUND(SUM(SUM(VLOOKUP(C$17,'Raw - Low pay'!A:Q,4,FALSE)*VLOOKUP(C9,'Raw - Low pay'!A:Q,3,FALSE))/100),100)-MROUND(SUM(SUM(VLOOKUP(C9,'Raw - Low pay'!A:Q,4,FALSE)*VLOOKUP(C9,'Raw - Low pay'!A:Q,3,FALSE))/100),100))))))))</f>
        <v>-</v>
      </c>
    </row>
    <row r="10" spans="2:12" s="137" customFormat="1" ht="19.5" customHeight="1">
      <c r="B10" s="216" t="s">
        <v>153</v>
      </c>
      <c r="C10" s="216" t="str">
        <f>IF(C$6="LGBF Family Group 1",Lookups!I31,IF(C$6="LGBF Family Group 2",Lookups!J31,IF(C$6="LGBF Family Group 3",Lookups!K31,Lookups!L31)))</f>
        <v>Highland</v>
      </c>
      <c r="D10" s="217">
        <f>VLOOKUP(C10,'Raw - Low pay'!A:Q,4,FALSE)</f>
        <v>11.4</v>
      </c>
      <c r="E10" s="218">
        <f>VLOOKUP(C10,'Raw - Low pay'!A:Q,3,FALSE)</f>
        <v>112000</v>
      </c>
      <c r="F10" s="221">
        <f>IF(D10="-","-",IF(IF($F$5="City Region Comparator",SUM(D$19-D10),IF($F$5="LGBF Family Group Average",SUM(D$18-D10),IF($F$5="Scotland",SUM(#REF!-D10),IF($F$5="United Kingdom",SUM(#REF!-D10),SUM(D$17-D10)))))&lt;=0,"",IF($F$5="City Region Comparator",SUM(D$19-D10),IF($F$5="LGBF Family Group Average",SUM(D$18-D10),IF($F$5="Scotland",SUM(#REF!-D10),IF($F$5="United Kingdom",SUM(#REF!-D10),SUM(D$17-D10)))))))</f>
        <v>9.6</v>
      </c>
      <c r="G10" s="222">
        <f>IF(D10="-","-",IF(F10=""," ",IF($F$5="LGBF Family Group Average",SUM(MROUND(SUM(SUM(VLOOKUP(C$18,'Raw - Low pay'!A:Q,4,FALSE)*VLOOKUP(C10,'Raw - Low pay'!A:Q,3,FALSE))/100),100)-MROUND(SUM(SUM(VLOOKUP(C10,'Raw - Low pay'!A:Q,4,FALSE)*VLOOKUP(C10,'Raw - Low pay'!A:Q,3,FALSE))/100),100)),IF($F$5="City Region Comparator",SUM(MROUND(SUM(SUM(VLOOKUP(C$19,'Raw - Low pay'!A:Q,4,FALSE)*VLOOKUP(C10,'Raw - Low pay'!A:Q,3,FALSE))/100),100)-MROUND(SUM(SUM(VLOOKUP(C10,'Raw - Low pay'!A:Q,4,FALSE)*VLOOKUP(C10,'Raw - Low pay'!A:Q,3,FALSE))/100),100)),IF($F$5="Scotland",SUM(MROUND(SUM(SUM(VLOOKUP(#REF!,'Raw - Low pay'!A:Q,4,FALSE)*VLOOKUP(C10,'Raw - Low pay'!A:Q,3,FALSE))/100),100)-MROUND(SUM(SUM(VLOOKUP(C10,'Raw - Low pay'!A:Q,4,FALSE)*VLOOKUP(C10,'Raw - Low pay'!A:Q,3,FALSE))/100),100)),IF($F$5="United Kingdom",SUM(MROUND(SUM(SUM(VLOOKUP(#REF!,'Raw - Low pay'!A:Q,4,FALSE)*VLOOKUP(C10,'Raw - Low pay'!A:Q,3,FALSE))/100),100)-MROUND(SUM(SUM(VLOOKUP(C10,'Raw - Low pay'!A:Q,4,FALSE)*VLOOKUP(C10,'Raw - Low pay'!A:Q,3,FALSE))/100),100)),SUM(MROUND(SUM(SUM(VLOOKUP(C$17,'Raw - Low pay'!A:Q,4,FALSE)*VLOOKUP(C10,'Raw - Low pay'!A:Q,3,FALSE))/100),100)-MROUND(SUM(SUM(VLOOKUP(C10,'Raw - Low pay'!A:Q,4,FALSE)*VLOOKUP(C10,'Raw - Low pay'!A:Q,3,FALSE))/100),100))))))))</f>
        <v>10700</v>
      </c>
    </row>
    <row r="11" spans="2:12" s="137" customFormat="1" ht="19.5" customHeight="1">
      <c r="B11" s="216" t="s">
        <v>153</v>
      </c>
      <c r="C11" s="216" t="str">
        <f>IF(C$6="LGBF Family Group 1",Lookups!I32,IF(C$6="LGBF Family Group 2",Lookups!J32,IF(C$6="LGBF Family Group 3",Lookups!K32,Lookups!L32)))</f>
        <v>Orkney Islands</v>
      </c>
      <c r="D11" s="217" t="str">
        <f>VLOOKUP(C11,'Raw - Low pay'!A:Q,4,FALSE)</f>
        <v>-</v>
      </c>
      <c r="E11" s="218" t="str">
        <f>VLOOKUP(C11,'Raw - Low pay'!A:Q,3,FALSE)</f>
        <v>-</v>
      </c>
      <c r="F11" s="221" t="str">
        <f>IF(D11="-","-",IF(IF($F$5="City Region Comparator",SUM(D$19-D11),IF($F$5="LGBF Family Group Average",SUM(D$18-D11),IF($F$5="Scotland",SUM(#REF!-D11),IF($F$5="United Kingdom",SUM(#REF!-D11),SUM(D$17-D11)))))&lt;=0,"",IF($F$5="City Region Comparator",SUM(D$19-D11),IF($F$5="LGBF Family Group Average",SUM(D$18-D11),IF($F$5="Scotland",SUM(#REF!-D11),IF($F$5="United Kingdom",SUM(#REF!-D11),SUM(D$17-D11)))))))</f>
        <v>-</v>
      </c>
      <c r="G11" s="222" t="str">
        <f>IF(D11="-","-",IF(F11=""," ",IF($F$5="LGBF Family Group Average",SUM(MROUND(SUM(SUM(VLOOKUP(C$18,'Raw - Low pay'!A:Q,4,FALSE)*VLOOKUP(C11,'Raw - Low pay'!A:Q,3,FALSE))/100),100)-MROUND(SUM(SUM(VLOOKUP(C11,'Raw - Low pay'!A:Q,4,FALSE)*VLOOKUP(C11,'Raw - Low pay'!A:Q,3,FALSE))/100),100)),IF($F$5="City Region Comparator",SUM(MROUND(SUM(SUM(VLOOKUP(C$19,'Raw - Low pay'!A:Q,4,FALSE)*VLOOKUP(C11,'Raw - Low pay'!A:Q,3,FALSE))/100),100)-MROUND(SUM(SUM(VLOOKUP(C11,'Raw - Low pay'!A:Q,4,FALSE)*VLOOKUP(C11,'Raw - Low pay'!A:Q,3,FALSE))/100),100)),IF($F$5="Scotland",SUM(MROUND(SUM(SUM(VLOOKUP(#REF!,'Raw - Low pay'!A:Q,4,FALSE)*VLOOKUP(C11,'Raw - Low pay'!A:Q,3,FALSE))/100),100)-MROUND(SUM(SUM(VLOOKUP(C11,'Raw - Low pay'!A:Q,4,FALSE)*VLOOKUP(C11,'Raw - Low pay'!A:Q,3,FALSE))/100),100)),IF($F$5="United Kingdom",SUM(MROUND(SUM(SUM(VLOOKUP(#REF!,'Raw - Low pay'!A:Q,4,FALSE)*VLOOKUP(C11,'Raw - Low pay'!A:Q,3,FALSE))/100),100)-MROUND(SUM(SUM(VLOOKUP(C11,'Raw - Low pay'!A:Q,4,FALSE)*VLOOKUP(C11,'Raw - Low pay'!A:Q,3,FALSE))/100),100)),SUM(MROUND(SUM(SUM(VLOOKUP(C$17,'Raw - Low pay'!A:Q,4,FALSE)*VLOOKUP(C11,'Raw - Low pay'!A:Q,3,FALSE))/100),100)-MROUND(SUM(SUM(VLOOKUP(C11,'Raw - Low pay'!A:Q,4,FALSE)*VLOOKUP(C11,'Raw - Low pay'!A:Q,3,FALSE))/100),100))))))))</f>
        <v>-</v>
      </c>
    </row>
    <row r="12" spans="2:12" s="137" customFormat="1" ht="19.5" customHeight="1">
      <c r="B12" s="216" t="s">
        <v>153</v>
      </c>
      <c r="C12" s="216" t="str">
        <f>IF(C$6="LGBF Family Group 1",Lookups!I33,IF(C$6="LGBF Family Group 2",Lookups!J33,IF(C$6="LGBF Family Group 3",Lookups!K33,Lookups!L33)))</f>
        <v>Scottish Borders</v>
      </c>
      <c r="D12" s="217">
        <f>VLOOKUP(C12,'Raw - Low pay'!A:Q,4,FALSE)</f>
        <v>12.2</v>
      </c>
      <c r="E12" s="218">
        <f>VLOOKUP(C12,'Raw - Low pay'!A:Q,3,FALSE)</f>
        <v>42000</v>
      </c>
      <c r="F12" s="221">
        <f>IF(D12="-","-",IF(IF($F$5="City Region Comparator",SUM(D$19-D12),IF($F$5="LGBF Family Group Average",SUM(D$18-D12),IF($F$5="Scotland",SUM(#REF!-D12),IF($F$5="United Kingdom",SUM(#REF!-D12),SUM(D$17-D12)))))&lt;=0,"",IF($F$5="City Region Comparator",SUM(D$19-D12),IF($F$5="LGBF Family Group Average",SUM(D$18-D12),IF($F$5="Scotland",SUM(#REF!-D12),IF($F$5="United Kingdom",SUM(#REF!-D12),SUM(D$17-D12)))))))</f>
        <v>8.8000000000000007</v>
      </c>
      <c r="G12" s="222">
        <f>IF(D12="-","-",IF(F12=""," ",IF($F$5="LGBF Family Group Average",SUM(MROUND(SUM(SUM(VLOOKUP(C$18,'Raw - Low pay'!A:Q,4,FALSE)*VLOOKUP(C12,'Raw - Low pay'!A:Q,3,FALSE))/100),100)-MROUND(SUM(SUM(VLOOKUP(C12,'Raw - Low pay'!A:Q,4,FALSE)*VLOOKUP(C12,'Raw - Low pay'!A:Q,3,FALSE))/100),100)),IF($F$5="City Region Comparator",SUM(MROUND(SUM(SUM(VLOOKUP(C$19,'Raw - Low pay'!A:Q,4,FALSE)*VLOOKUP(C12,'Raw - Low pay'!A:Q,3,FALSE))/100),100)-MROUND(SUM(SUM(VLOOKUP(C12,'Raw - Low pay'!A:Q,4,FALSE)*VLOOKUP(C12,'Raw - Low pay'!A:Q,3,FALSE))/100),100)),IF($F$5="Scotland",SUM(MROUND(SUM(SUM(VLOOKUP(#REF!,'Raw - Low pay'!A:Q,4,FALSE)*VLOOKUP(C12,'Raw - Low pay'!A:Q,3,FALSE))/100),100)-MROUND(SUM(SUM(VLOOKUP(C12,'Raw - Low pay'!A:Q,4,FALSE)*VLOOKUP(C12,'Raw - Low pay'!A:Q,3,FALSE))/100),100)),IF($F$5="United Kingdom",SUM(MROUND(SUM(SUM(VLOOKUP(#REF!,'Raw - Low pay'!A:Q,4,FALSE)*VLOOKUP(C12,'Raw - Low pay'!A:Q,3,FALSE))/100),100)-MROUND(SUM(SUM(VLOOKUP(C12,'Raw - Low pay'!A:Q,4,FALSE)*VLOOKUP(C12,'Raw - Low pay'!A:Q,3,FALSE))/100),100)),SUM(MROUND(SUM(SUM(VLOOKUP(C$17,'Raw - Low pay'!A:Q,4,FALSE)*VLOOKUP(C12,'Raw - Low pay'!A:Q,3,FALSE))/100),100)-MROUND(SUM(SUM(VLOOKUP(C12,'Raw - Low pay'!A:Q,4,FALSE)*VLOOKUP(C12,'Raw - Low pay'!A:Q,3,FALSE))/100),100))))))))</f>
        <v>3700</v>
      </c>
    </row>
    <row r="13" spans="2:12" s="137" customFormat="1" ht="19.5" customHeight="1">
      <c r="B13" s="216" t="s">
        <v>153</v>
      </c>
      <c r="C13" s="216" t="str">
        <f>IF(C$6="LGBF Family Group 1",Lookups!I34,IF(C$6="LGBF Family Group 2",Lookups!J34,IF(C$6="LGBF Family Group 3",Lookups!K34,Lookups!L34)))</f>
        <v>Dumfries and Galloway</v>
      </c>
      <c r="D13" s="217">
        <f>VLOOKUP(C13,'Raw - Low pay'!A:Q,4,FALSE)</f>
        <v>21</v>
      </c>
      <c r="E13" s="218">
        <f>VLOOKUP(C13,'Raw - Low pay'!A:Q,3,FALSE)</f>
        <v>58000</v>
      </c>
      <c r="F13" s="221" t="str">
        <f>IF(D13="-","-",IF(IF($F$5="City Region Comparator",SUM(D$19-D13),IF($F$5="LGBF Family Group Average",SUM(D$18-D13),IF($F$5="Scotland",SUM(#REF!-D13),IF($F$5="United Kingdom",SUM(#REF!-D13),SUM(D$17-D13)))))&lt;=0,"",IF($F$5="City Region Comparator",SUM(D$19-D13),IF($F$5="LGBF Family Group Average",SUM(D$18-D13),IF($F$5="Scotland",SUM(#REF!-D13),IF($F$5="United Kingdom",SUM(#REF!-D13),SUM(D$17-D13)))))))</f>
        <v/>
      </c>
      <c r="G13" s="222" t="str">
        <f>IF(D13="-","-",IF(F13=""," ",IF($F$5="LGBF Family Group Average",SUM(MROUND(SUM(SUM(VLOOKUP(C$18,'Raw - Low pay'!A:Q,4,FALSE)*VLOOKUP(C13,'Raw - Low pay'!A:Q,3,FALSE))/100),100)-MROUND(SUM(SUM(VLOOKUP(C13,'Raw - Low pay'!A:Q,4,FALSE)*VLOOKUP(C13,'Raw - Low pay'!A:Q,3,FALSE))/100),100)),IF($F$5="City Region Comparator",SUM(MROUND(SUM(SUM(VLOOKUP(C$19,'Raw - Low pay'!A:Q,4,FALSE)*VLOOKUP(C13,'Raw - Low pay'!A:Q,3,FALSE))/100),100)-MROUND(SUM(SUM(VLOOKUP(C13,'Raw - Low pay'!A:Q,4,FALSE)*VLOOKUP(C13,'Raw - Low pay'!A:Q,3,FALSE))/100),100)),IF($F$5="Scotland",SUM(MROUND(SUM(SUM(VLOOKUP(#REF!,'Raw - Low pay'!A:Q,4,FALSE)*VLOOKUP(C13,'Raw - Low pay'!A:Q,3,FALSE))/100),100)-MROUND(SUM(SUM(VLOOKUP(C13,'Raw - Low pay'!A:Q,4,FALSE)*VLOOKUP(C13,'Raw - Low pay'!A:Q,3,FALSE))/100),100)),IF($F$5="United Kingdom",SUM(MROUND(SUM(SUM(VLOOKUP(#REF!,'Raw - Low pay'!A:Q,4,FALSE)*VLOOKUP(C13,'Raw - Low pay'!A:Q,3,FALSE))/100),100)-MROUND(SUM(SUM(VLOOKUP(C13,'Raw - Low pay'!A:Q,4,FALSE)*VLOOKUP(C13,'Raw - Low pay'!A:Q,3,FALSE))/100),100)),SUM(MROUND(SUM(SUM(VLOOKUP(C$17,'Raw - Low pay'!A:Q,4,FALSE)*VLOOKUP(C13,'Raw - Low pay'!A:Q,3,FALSE))/100),100)-MROUND(SUM(SUM(VLOOKUP(C13,'Raw - Low pay'!A:Q,4,FALSE)*VLOOKUP(C13,'Raw - Low pay'!A:Q,3,FALSE))/100),100))))))))</f>
        <v xml:space="preserve"> </v>
      </c>
    </row>
    <row r="14" spans="2:12" s="137" customFormat="1" ht="19.5" customHeight="1">
      <c r="B14" s="216" t="s">
        <v>153</v>
      </c>
      <c r="C14" s="216" t="str">
        <f>IF(C$6="LGBF Family Group 1",Lookups!I35,IF(C$6="LGBF Family Group 2",Lookups!J35,IF(C$6="LGBF Family Group 3",Lookups!K35,Lookups!L35)))</f>
        <v>Aberdeenshire</v>
      </c>
      <c r="D14" s="217">
        <f>VLOOKUP(C14,'Raw - Low pay'!A:Q,4,FALSE)</f>
        <v>13.3</v>
      </c>
      <c r="E14" s="218">
        <f>VLOOKUP(C14,'Raw - Low pay'!A:Q,3,FALSE)</f>
        <v>103000</v>
      </c>
      <c r="F14" s="221">
        <f>IF(D14="-","-",IF(IF($F$5="City Region Comparator",SUM(D$19-D14),IF($F$5="LGBF Family Group Average",SUM(D$18-D14),IF($F$5="Scotland",SUM(#REF!-D14),IF($F$5="United Kingdom",SUM(#REF!-D14),SUM(D$17-D14)))))&lt;=0,"",IF($F$5="City Region Comparator",SUM(D$19-D14),IF($F$5="LGBF Family Group Average",SUM(D$18-D14),IF($F$5="Scotland",SUM(#REF!-D14),IF($F$5="United Kingdom",SUM(#REF!-D14),SUM(D$17-D14)))))))</f>
        <v>7.6999999999999993</v>
      </c>
      <c r="G14" s="222">
        <f>IF(D14="-","-",IF(F14=""," ",IF($F$5="LGBF Family Group Average",SUM(MROUND(SUM(SUM(VLOOKUP(C$18,'Raw - Low pay'!A:Q,4,FALSE)*VLOOKUP(C14,'Raw - Low pay'!A:Q,3,FALSE))/100),100)-MROUND(SUM(SUM(VLOOKUP(C14,'Raw - Low pay'!A:Q,4,FALSE)*VLOOKUP(C14,'Raw - Low pay'!A:Q,3,FALSE))/100),100)),IF($F$5="City Region Comparator",SUM(MROUND(SUM(SUM(VLOOKUP(C$19,'Raw - Low pay'!A:Q,4,FALSE)*VLOOKUP(C14,'Raw - Low pay'!A:Q,3,FALSE))/100),100)-MROUND(SUM(SUM(VLOOKUP(C14,'Raw - Low pay'!A:Q,4,FALSE)*VLOOKUP(C14,'Raw - Low pay'!A:Q,3,FALSE))/100),100)),IF($F$5="Scotland",SUM(MROUND(SUM(SUM(VLOOKUP(#REF!,'Raw - Low pay'!A:Q,4,FALSE)*VLOOKUP(C14,'Raw - Low pay'!A:Q,3,FALSE))/100),100)-MROUND(SUM(SUM(VLOOKUP(C14,'Raw - Low pay'!A:Q,4,FALSE)*VLOOKUP(C14,'Raw - Low pay'!A:Q,3,FALSE))/100),100)),IF($F$5="United Kingdom",SUM(MROUND(SUM(SUM(VLOOKUP(#REF!,'Raw - Low pay'!A:Q,4,FALSE)*VLOOKUP(C14,'Raw - Low pay'!A:Q,3,FALSE))/100),100)-MROUND(SUM(SUM(VLOOKUP(C14,'Raw - Low pay'!A:Q,4,FALSE)*VLOOKUP(C14,'Raw - Low pay'!A:Q,3,FALSE))/100),100)),SUM(MROUND(SUM(SUM(VLOOKUP(C$17,'Raw - Low pay'!A:Q,4,FALSE)*VLOOKUP(C14,'Raw - Low pay'!A:Q,3,FALSE))/100),100)-MROUND(SUM(SUM(VLOOKUP(C14,'Raw - Low pay'!A:Q,4,FALSE)*VLOOKUP(C14,'Raw - Low pay'!A:Q,3,FALSE))/100),100))))))))</f>
        <v>7900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5"/>
      <c r="G16" s="225"/>
    </row>
    <row r="17" spans="2:12" s="137" customFormat="1" ht="19.5" customHeight="1">
      <c r="B17" s="226" t="s">
        <v>52</v>
      </c>
      <c r="C17" s="216" t="str">
        <f>INDEX('Raw - Low pay'!$A$9:$A$41,MATCH(MAX('Raw - Low pay'!D9:D41),'Raw - Low pay'!D9:D41,0))</f>
        <v>Dumfries and Galloway</v>
      </c>
      <c r="D17" s="217">
        <f>VLOOKUP(C17,'Raw - Low pay'!A:Q,4,FALSE)</f>
        <v>21</v>
      </c>
      <c r="E17" s="218">
        <f>VLOOKUP(C17,'Raw - Low pay'!A:Q,3,FALSE)</f>
        <v>58000</v>
      </c>
    </row>
    <row r="18" spans="2:12" s="137" customFormat="1" ht="19.5" customHeight="1">
      <c r="B18" s="226" t="s">
        <v>271</v>
      </c>
      <c r="C18" s="227" t="s">
        <v>246</v>
      </c>
      <c r="D18" s="217">
        <f>VLOOKUP(C18,'Raw - Low pay'!A:Q,4,FALSE)</f>
        <v>10.45</v>
      </c>
      <c r="E18" s="218" t="s">
        <v>71</v>
      </c>
    </row>
    <row r="19" spans="2:12" s="137" customFormat="1" ht="19.5" customHeight="1">
      <c r="B19" s="226" t="s">
        <v>270</v>
      </c>
      <c r="C19" s="216" t="s">
        <v>156</v>
      </c>
      <c r="D19" s="217">
        <f>VLOOKUP(C19,'Raw - Low pay'!A:Q,4,FALSE)</f>
        <v>12.100000000000001</v>
      </c>
      <c r="E19" s="218" t="s">
        <v>71</v>
      </c>
    </row>
    <row r="20" spans="2:12" ht="19.5" customHeight="1">
      <c r="C20" s="189"/>
      <c r="D20" s="190"/>
      <c r="E20" s="190"/>
      <c r="F20" s="190"/>
      <c r="G20" s="190"/>
      <c r="H20" s="190"/>
      <c r="I20" s="190"/>
      <c r="J20" s="190"/>
      <c r="K20" s="190"/>
      <c r="L20" s="190"/>
    </row>
    <row r="21" spans="2:12">
      <c r="D21" s="191"/>
      <c r="E21" s="191"/>
      <c r="F21" s="192" t="str">
        <f>CONCATENATE(G21,H21)</f>
        <v>Volume Change Required to match Geographic Area - Top Performing Scottish Local Authority</v>
      </c>
      <c r="G21" s="192" t="s">
        <v>225</v>
      </c>
      <c r="H21" s="192" t="str">
        <f>F5</f>
        <v>Top Performing Scottish Local Authority</v>
      </c>
    </row>
    <row r="22" spans="2:12">
      <c r="B22" s="193" t="s">
        <v>207</v>
      </c>
    </row>
    <row r="23" spans="2:12">
      <c r="I23" s="195"/>
      <c r="J23" s="195"/>
      <c r="K23" s="195"/>
      <c r="L23" s="191"/>
    </row>
  </sheetData>
  <sheetProtection algorithmName="SHA-512" hashValue="t7ATROUrVAMpR1oZV9kzIR7jbTL23P6Ae1ejt+CPr5msSLIeRhTtFmuF3m4o5ipy4+XzPRTUbZYXXAmi5gQ2Ag==" saltValue="Q8p7pG87dveFWZSGj5ODQQ==" spinCount="100000" sheet="1" sort="0"/>
  <mergeCells count="3">
    <mergeCell ref="F2:G2"/>
    <mergeCell ref="F4:G4"/>
    <mergeCell ref="F5:G5"/>
  </mergeCells>
  <hyperlinks>
    <hyperlink ref="G2" location="'Index RAG'!A1" display="Return to Index RAG" xr:uid="{814525C6-ACCD-49DA-B8DC-5C9457380A35}"/>
    <hyperlink ref="C3" r:id="rId1" display="UK Government" xr:uid="{0031A6FF-685D-45F3-A7C4-5BDE8A7AE5F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EB94D56-0742-4172-891E-C800D571A9C5}">
          <x14:formula1>
            <xm:f>Lookups!$B$27:$E$27</xm:f>
          </x14:formula1>
          <xm:sqref>C6</xm:sqref>
        </x14:dataValidation>
        <x14:dataValidation type="list" allowBlank="1" showInputMessage="1" showErrorMessage="1" xr:uid="{63436720-86EE-432A-AE39-EA928B746A04}">
          <x14:formula1>
            <xm:f>Lookups!$B$9:$B$11</xm:f>
          </x14:formula1>
          <xm:sqref>F5:G5</xm:sqref>
        </x14:dataValidation>
        <x14:dataValidation type="list" allowBlank="1" showInputMessage="1" showErrorMessage="1" xr:uid="{5495509D-4238-4421-A209-4B7F672FD6D9}">
          <x14:formula1>
            <xm:f>Lookups!$B$36:$E$36</xm:f>
          </x14:formula1>
          <xm:sqref>C18</xm:sqref>
        </x14:dataValidation>
        <x14:dataValidation type="list" allowBlank="1" showInputMessage="1" showErrorMessage="1" xr:uid="{904A45A7-6F85-46C9-94E7-7F52FB1C4F0D}">
          <x14:formula1>
            <xm:f>Lookups!$Q$3:$Q$7</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6A52-A82A-41B1-A058-ABDF19D8E229}">
  <sheetPr>
    <tabColor theme="7" tint="0.79998168889431442"/>
    <pageSetUpPr autoPageBreaks="0" fitToPage="1"/>
  </sheetPr>
  <dimension ref="A1:AP59"/>
  <sheetViews>
    <sheetView showGridLines="0" zoomScale="90" zoomScaleNormal="90" workbookViewId="0">
      <selection activeCell="C6" sqref="C6"/>
    </sheetView>
  </sheetViews>
  <sheetFormatPr defaultColWidth="8.7109375" defaultRowHeight="12"/>
  <cols>
    <col min="1" max="1" width="10.5703125" style="355" customWidth="1"/>
    <col min="2" max="2" width="8.7109375" style="152"/>
    <col min="3" max="3" width="49.28515625" style="424" customWidth="1"/>
    <col min="4" max="4" width="19.42578125" style="169" customWidth="1"/>
    <col min="5" max="5" width="31.7109375" style="424" customWidth="1"/>
    <col min="6" max="6" width="48.28515625" style="419" customWidth="1"/>
    <col min="7" max="8" width="8.7109375" style="142"/>
    <col min="9" max="9" width="8.7109375" style="142" customWidth="1"/>
    <col min="10" max="13" width="10.85546875" style="142" hidden="1" customWidth="1"/>
    <col min="14" max="42" width="8.7109375" style="142"/>
    <col min="43" max="16384" width="8.7109375" style="152"/>
  </cols>
  <sheetData>
    <row r="1" spans="1:42" s="142" customFormat="1" ht="19.5" thickBot="1">
      <c r="A1" s="354"/>
      <c r="C1" s="425"/>
      <c r="D1" s="145"/>
      <c r="E1" s="420"/>
      <c r="F1" s="414"/>
    </row>
    <row r="2" spans="1:42" s="159" customFormat="1" ht="36" customHeight="1" thickBot="1">
      <c r="A2" s="363"/>
      <c r="B2" s="153"/>
      <c r="C2" s="426" t="s">
        <v>49</v>
      </c>
      <c r="D2" s="396" t="s">
        <v>479</v>
      </c>
      <c r="E2" s="421" t="s">
        <v>50</v>
      </c>
      <c r="F2" s="415" t="s">
        <v>477</v>
      </c>
      <c r="G2" s="153"/>
      <c r="H2" s="153"/>
      <c r="I2" s="153"/>
      <c r="J2" s="158" t="s">
        <v>346</v>
      </c>
      <c r="K2" s="158" t="s">
        <v>347</v>
      </c>
      <c r="L2" s="158" t="s">
        <v>348</v>
      </c>
      <c r="M2" s="158" t="s">
        <v>349</v>
      </c>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row>
    <row r="3" spans="1:42" ht="27.6" customHeight="1">
      <c r="B3" s="454" t="s">
        <v>301</v>
      </c>
      <c r="C3" s="427" t="s">
        <v>59</v>
      </c>
      <c r="D3" s="135" t="s">
        <v>480</v>
      </c>
      <c r="E3" s="422" t="s">
        <v>61</v>
      </c>
      <c r="F3" s="416"/>
      <c r="J3" s="162" t="e">
        <f>SUM(HLOOKUP(#REF!,#REF!,2,FALSE)+HLOOKUP(#REF!,#REF!,2,FALSE)*#REF!)</f>
        <v>#REF!</v>
      </c>
      <c r="K3" s="162" t="e">
        <f>SUM(HLOOKUP(#REF!,#REF!,2,FALSE)-HLOOKUP(#REF!,#REF!,2,FALSE)*#REF!)</f>
        <v>#REF!</v>
      </c>
      <c r="L3" s="163" t="e">
        <f>SUM(VLOOKUP(D$2,'Raw - Child Poverty'!A:Q,16,FALSE)-VLOOKUP(D$2,'Raw - Child Poverty'!A:Q,4,FALSE))</f>
        <v>#N/A</v>
      </c>
      <c r="M3" s="163" t="e">
        <f>SUM(VLOOKUP(#REF!,'Raw - Child Poverty'!A:Q,16,FALSE)-VLOOKUP(#REF!,'Raw - Child Poverty'!A:Q,4,FALSE))</f>
        <v>#REF!</v>
      </c>
    </row>
    <row r="4" spans="1:42" ht="27.6" customHeight="1">
      <c r="B4" s="455"/>
      <c r="C4" s="427" t="s">
        <v>275</v>
      </c>
      <c r="D4" s="135" t="s">
        <v>480</v>
      </c>
      <c r="E4" s="422" t="s">
        <v>273</v>
      </c>
      <c r="F4" s="416"/>
      <c r="J4" s="162" t="e">
        <f>SUM(HLOOKUP(#REF!,#REF!,3,FALSE)+HLOOKUP(#REF!,#REF!,3,FALSE)*#REF!)</f>
        <v>#REF!</v>
      </c>
      <c r="K4" s="162" t="e">
        <f>SUM(HLOOKUP(#REF!,#REF!,3,FALSE)-HLOOKUP(#REF!,#REF!,3,FALSE)*#REF!)</f>
        <v>#REF!</v>
      </c>
      <c r="L4" s="163" t="e">
        <f>SUM(VLOOKUP(D$2,'Raw - Childcare'!A:Q,16,FALSE)-VLOOKUP(D$2,'Raw - Childcare'!A:Q,4,FALSE))</f>
        <v>#N/A</v>
      </c>
      <c r="M4" s="163" t="e">
        <f>SUM(VLOOKUP(#REF!,'Raw - Childcare'!A:Q,16,FALSE)-VLOOKUP(#REF!,'Raw - Childcare'!A:Q,4,FALSE))</f>
        <v>#REF!</v>
      </c>
    </row>
    <row r="5" spans="1:42" s="142" customFormat="1" ht="27.6" customHeight="1">
      <c r="A5" s="355"/>
      <c r="B5" s="455"/>
      <c r="C5" s="427" t="s">
        <v>300</v>
      </c>
      <c r="D5" s="135" t="s">
        <v>480</v>
      </c>
      <c r="E5" s="422" t="s">
        <v>304</v>
      </c>
      <c r="F5" s="416"/>
      <c r="J5" s="162" t="e">
        <f>SUM(HLOOKUP(#REF!,#REF!,4,FALSE)+HLOOKUP(#REF!,#REF!,4,FALSE)*#REF!)</f>
        <v>#REF!</v>
      </c>
      <c r="K5" s="162" t="e">
        <f>SUM(HLOOKUP(#REF!,#REF!,4,FALSE)-HLOOKUP(#REF!,#REF!,4,FALSE)*#REF!)</f>
        <v>#REF!</v>
      </c>
      <c r="L5" s="163" t="e">
        <f>SUM(VLOOKUP(D$2,'Raw - Children in Low Income'!A:Q,16,FALSE)-VLOOKUP(D$2,'Raw - Children in Low Income'!A:Q,4,FALSE))</f>
        <v>#N/A</v>
      </c>
      <c r="M5" s="163" t="e">
        <f>SUM(VLOOKUP(#REF!,'Raw - Children in Low Income'!A:Q,16,FALSE)-VLOOKUP(#REF!,'Raw - Children in Low Income'!A:Q,4,FALSE))</f>
        <v>#REF!</v>
      </c>
    </row>
    <row r="6" spans="1:42" s="142" customFormat="1" ht="27.6" customHeight="1">
      <c r="A6" s="354"/>
      <c r="B6" s="455"/>
      <c r="C6" s="427" t="s">
        <v>362</v>
      </c>
      <c r="D6" s="135" t="s">
        <v>480</v>
      </c>
      <c r="E6" s="422" t="s">
        <v>440</v>
      </c>
      <c r="F6" s="417"/>
      <c r="J6" s="162" t="e">
        <f>SUM(HLOOKUP(#REF!,#REF!,5,FALSE)+HLOOKUP(#REF!,#REF!,5,FALSE)*#REF!)</f>
        <v>#REF!</v>
      </c>
      <c r="K6" s="162" t="e">
        <f>SUM(HLOOKUP(#REF!,#REF!,5,FALSE)-HLOOKUP(#REF!,#REF!,5,FALSE)*#REF!)</f>
        <v>#REF!</v>
      </c>
      <c r="L6" s="163" t="e">
        <f>SUM(VLOOKUP(D$2,'Raw - Households on UC'!A:Q,16,FALSE)-VLOOKUP(D$2,'Raw - Households on UC'!A:Q,4,FALSE))</f>
        <v>#N/A</v>
      </c>
      <c r="M6" s="163" t="e">
        <f>SUM(VLOOKUP(#REF!,'Raw - Households on UC'!A:Q,16,FALSE)-VLOOKUP(#REF!,'Raw - Households on UC'!A:Q,4,FALSE))</f>
        <v>#REF!</v>
      </c>
    </row>
    <row r="7" spans="1:42" s="142" customFormat="1" ht="27.6" customHeight="1">
      <c r="A7" s="354"/>
      <c r="B7" s="455"/>
      <c r="C7" s="427" t="s">
        <v>287</v>
      </c>
      <c r="D7" s="135" t="s">
        <v>480</v>
      </c>
      <c r="E7" s="422" t="s">
        <v>306</v>
      </c>
      <c r="F7" s="416"/>
      <c r="J7" s="162" t="e">
        <f>SUM(HLOOKUP(#REF!,#REF!,6,FALSE)+HLOOKUP(#REF!,#REF!,6,FALSE)*#REF!)</f>
        <v>#REF!</v>
      </c>
      <c r="K7" s="162" t="e">
        <f>SUM(HLOOKUP(#REF!,#REF!,6,FALSE)-HLOOKUP(#REF!,#REF!,6,FALSE)*#REF!)</f>
        <v>#REF!</v>
      </c>
      <c r="L7" s="163" t="e">
        <f>SUM(VLOOKUP(D$2,'Raw - Child Benefit'!A:Q,16,FALSE)-VLOOKUP(D$2,'Raw - Child Benefit'!A:Q,4,FALSE))</f>
        <v>#N/A</v>
      </c>
      <c r="M7" s="163" t="e">
        <f>SUM(VLOOKUP(#REF!,'Raw - Child Benefit'!A:Q,16,FALSE)-VLOOKUP(#REF!,'Raw - Child Benefit'!A:Q,4,FALSE))</f>
        <v>#REF!</v>
      </c>
    </row>
    <row r="8" spans="1:42" s="142" customFormat="1" ht="27.6" customHeight="1">
      <c r="A8" s="355"/>
      <c r="B8" s="455"/>
      <c r="C8" s="427" t="s">
        <v>288</v>
      </c>
      <c r="D8" s="135" t="s">
        <v>480</v>
      </c>
      <c r="E8" s="422" t="s">
        <v>103</v>
      </c>
      <c r="F8" s="417"/>
      <c r="J8" s="162" t="e">
        <f>SUM(HLOOKUP(#REF!,#REF!,7,FALSE)+HLOOKUP(#REF!,#REF!,7,FALSE)*#REF!)</f>
        <v>#REF!</v>
      </c>
      <c r="K8" s="162" t="e">
        <f>SUM(HLOOKUP(#REF!,#REF!,7,FALSE)-HLOOKUP(#REF!,#REF!,7,FALSE)*#REF!)</f>
        <v>#REF!</v>
      </c>
      <c r="L8" s="163" t="e">
        <f>SUM(VLOOKUP(D$2,'Raw - Claimant Count'!A:Q,16,FALSE)-VLOOKUP(D$2,'Raw - Claimant Count'!A:Q,4,FALSE))</f>
        <v>#N/A</v>
      </c>
      <c r="M8" s="163" t="e">
        <f>SUM(VLOOKUP(#REF!,'Raw - Claimant Count'!A:Q,16,FALSE)-VLOOKUP(#REF!,'Raw - Claimant Count'!A:Q,4,FALSE))</f>
        <v>#REF!</v>
      </c>
    </row>
    <row r="9" spans="1:42" s="142" customFormat="1" ht="27.6" customHeight="1" thickBot="1">
      <c r="A9" s="355"/>
      <c r="B9" s="455"/>
      <c r="C9" s="427" t="s">
        <v>282</v>
      </c>
      <c r="D9" s="135" t="s">
        <v>480</v>
      </c>
      <c r="E9" s="422" t="s">
        <v>291</v>
      </c>
      <c r="F9" s="416"/>
      <c r="J9" s="162" t="e">
        <f>SUM(HLOOKUP(#REF!,#REF!,8,FALSE)+HLOOKUP(#REF!,#REF!,8,FALSE)*#REF!)</f>
        <v>#REF!</v>
      </c>
      <c r="K9" s="162" t="e">
        <f>SUM(HLOOKUP(#REF!,#REF!,8,FALSE)-HLOOKUP(#REF!,#REF!,8,FALSE)*#REF!)</f>
        <v>#REF!</v>
      </c>
      <c r="L9" s="163" t="e">
        <f>SUM(VLOOKUP(D$2,'Raw - Workless Households'!A:Q,16,FALSE)-VLOOKUP(D$2,'Raw - Workless Households'!A:Q,4,FALSE))</f>
        <v>#N/A</v>
      </c>
      <c r="M9" s="163" t="e">
        <f>SUM(VLOOKUP(#REF!,'Raw - Workless Households'!A:Q,16,FALSE)-VLOOKUP(#REF!,'Raw - Workless Households'!A:Q,4,FALSE))</f>
        <v>#REF!</v>
      </c>
    </row>
    <row r="10" spans="1:42" s="142" customFormat="1" ht="27.6" customHeight="1">
      <c r="A10" s="355"/>
      <c r="B10" s="454" t="s">
        <v>342</v>
      </c>
      <c r="C10" s="427" t="s">
        <v>283</v>
      </c>
      <c r="D10" s="135" t="s">
        <v>480</v>
      </c>
      <c r="E10" s="422" t="s">
        <v>187</v>
      </c>
      <c r="F10" s="416"/>
      <c r="J10" s="162" t="e">
        <f>SUM(HLOOKUP(#REF!,#REF!,9,FALSE)+HLOOKUP(#REF!,#REF!,9,FALSE)*#REF!)</f>
        <v>#REF!</v>
      </c>
      <c r="K10" s="162" t="e">
        <f>SUM(HLOOKUP(#REF!,#REF!,9,FALSE)-HLOOKUP(#REF!,#REF!,9,FALSE)*#REF!)</f>
        <v>#REF!</v>
      </c>
      <c r="L10" s="163" t="e">
        <f>SUM(VLOOKUP(D$2,'Raw - SLDR'!A:Q,16,FALSE)-VLOOKUP(D$2,'Raw - SLDR'!A:Q,4,FALSE))</f>
        <v>#N/A</v>
      </c>
      <c r="M10" s="163" t="e">
        <f>SUM(VLOOKUP(#REF!,'Raw - SLDR'!A:Q,16,FALSE)-VLOOKUP(#REF!,'Raw - SLDR'!A:Q,4,FALSE))</f>
        <v>#REF!</v>
      </c>
    </row>
    <row r="11" spans="1:42" s="142" customFormat="1" ht="27.6" customHeight="1">
      <c r="A11" s="355"/>
      <c r="B11" s="455"/>
      <c r="C11" s="427" t="s">
        <v>289</v>
      </c>
      <c r="D11" s="135" t="s">
        <v>480</v>
      </c>
      <c r="E11" s="422" t="s">
        <v>307</v>
      </c>
      <c r="F11" s="416"/>
      <c r="J11" s="162" t="e">
        <f>SUM(HLOOKUP(#REF!,#REF!,10,FALSE)+HLOOKUP(#REF!,#REF!,10,FALSE)*#REF!)</f>
        <v>#REF!</v>
      </c>
      <c r="K11" s="162" t="e">
        <f>SUM(HLOOKUP(#REF!,#REF!,10,FALSE)-HLOOKUP(#REF!,#REF!,10,FALSE)*#REF!)</f>
        <v>#REF!</v>
      </c>
      <c r="L11" s="163" t="e">
        <f>SUM(VLOOKUP(D$2,'Raw - Participation Rate'!A:Q,16,FALSE)-VLOOKUP(D$2,'Raw - Participation Rate'!A:Q,4,FALSE))</f>
        <v>#N/A</v>
      </c>
      <c r="M11" s="163" t="e">
        <f>SUM(VLOOKUP(#REF!,'Raw - Participation Rate'!A:Q,16,FALSE)-VLOOKUP(#REF!,'Raw - Participation Rate'!A:Q,4,FALSE))</f>
        <v>#REF!</v>
      </c>
    </row>
    <row r="12" spans="1:42" s="142" customFormat="1" ht="27.6" customHeight="1">
      <c r="A12" s="355"/>
      <c r="B12" s="455"/>
      <c r="C12" s="427" t="s">
        <v>200</v>
      </c>
      <c r="D12" s="135" t="s">
        <v>480</v>
      </c>
      <c r="E12" s="422" t="s">
        <v>291</v>
      </c>
      <c r="F12" s="416" t="s">
        <v>481</v>
      </c>
      <c r="J12" s="162" t="e">
        <f>SUM(HLOOKUP(#REF!,#REF!,11,FALSE)+HLOOKUP(#REF!,#REF!,11,FALSE)*#REF!)</f>
        <v>#REF!</v>
      </c>
      <c r="K12" s="162" t="e">
        <f>SUM(HLOOKUP(#REF!,#REF!,11,FALSE)-HLOOKUP(#REF!,#REF!,11,FALSE)*#REF!)</f>
        <v>#REF!</v>
      </c>
      <c r="L12" s="163" t="e">
        <f>SUM(VLOOKUP(D$2,'Raw - Degree Quals'!A:Q,16,FALSE)-VLOOKUP(D$2,'Raw - Degree Quals'!A:Q,4,FALSE))</f>
        <v>#N/A</v>
      </c>
      <c r="M12" s="163" t="e">
        <f>SUM(VLOOKUP(#REF!,'Raw - Degree Quals'!A:Q,16,FALSE)-VLOOKUP(#REF!,'Raw - Degree Quals'!A:Q,4,FALSE))</f>
        <v>#REF!</v>
      </c>
    </row>
    <row r="13" spans="1:42" s="142" customFormat="1" ht="27.6" customHeight="1" thickBot="1">
      <c r="A13" s="355"/>
      <c r="B13" s="455"/>
      <c r="C13" s="427" t="s">
        <v>201</v>
      </c>
      <c r="D13" s="135" t="s">
        <v>480</v>
      </c>
      <c r="E13" s="422" t="s">
        <v>291</v>
      </c>
      <c r="F13" s="416" t="s">
        <v>481</v>
      </c>
      <c r="J13" s="162" t="e">
        <f>SUM(HLOOKUP(#REF!,#REF!,12,FALSE)+HLOOKUP(#REF!,#REF!,12,FALSE)*#REF!)</f>
        <v>#REF!</v>
      </c>
      <c r="K13" s="162" t="e">
        <f>SUM(HLOOKUP(#REF!,#REF!,12,FALSE)-HLOOKUP(#REF!,#REF!,12,FALSE)*#REF!)</f>
        <v>#REF!</v>
      </c>
      <c r="L13" s="163" t="e">
        <f>SUM(VLOOKUP(D$2,'Raw - No Qualifications'!A:Q,16,FALSE)-VLOOKUP(D$2,'Raw - No Qualifications'!A:Q,4,FALSE))</f>
        <v>#N/A</v>
      </c>
      <c r="M13" s="163" t="e">
        <f>SUM(VLOOKUP(#REF!,'Raw - No Qualifications'!A:Q,16,FALSE)-VLOOKUP(#REF!,'Raw - No Qualifications'!A:Q,4,FALSE))</f>
        <v>#REF!</v>
      </c>
    </row>
    <row r="14" spans="1:42" s="142" customFormat="1" ht="27.6" customHeight="1">
      <c r="A14" s="355"/>
      <c r="B14" s="454" t="s">
        <v>302</v>
      </c>
      <c r="C14" s="427" t="s">
        <v>385</v>
      </c>
      <c r="D14" s="135" t="s">
        <v>480</v>
      </c>
      <c r="E14" s="422" t="s">
        <v>310</v>
      </c>
      <c r="F14" s="417"/>
      <c r="J14" s="162" t="e">
        <f>SUM(HLOOKUP(#REF!,#REF!,13,FALSE)+HLOOKUP(#REF!,#REF!,13,FALSE)*#REF!)</f>
        <v>#REF!</v>
      </c>
      <c r="K14" s="162" t="e">
        <f>SUM(HLOOKUP(#REF!,#REF!,13,FALSE)-HLOOKUP(#REF!,#REF!,13,FALSE)*#REF!)</f>
        <v>#REF!</v>
      </c>
      <c r="L14" s="163" t="e">
        <f>SUM(VLOOKUP(D$2,'Raw - Incapacity'!A:Q,16,FALSE)-VLOOKUP(D$2,'Raw - Incapacity'!A:Q,4,FALSE))</f>
        <v>#N/A</v>
      </c>
      <c r="M14" s="163" t="e">
        <f>SUM(VLOOKUP(#REF!,'Raw - Incapacity'!A:Q,16,FALSE)-VLOOKUP(#REF!,'Raw - Incapacity'!A:Q,4,FALSE))</f>
        <v>#REF!</v>
      </c>
    </row>
    <row r="15" spans="1:42" s="142" customFormat="1" ht="27.6" customHeight="1">
      <c r="A15" s="355"/>
      <c r="B15" s="455"/>
      <c r="C15" s="427" t="s">
        <v>202</v>
      </c>
      <c r="D15" s="135" t="s">
        <v>480</v>
      </c>
      <c r="E15" s="422" t="s">
        <v>291</v>
      </c>
      <c r="F15" s="416"/>
      <c r="J15" s="162" t="e">
        <f>SUM(HLOOKUP(#REF!,#REF!,14,FALSE)+HLOOKUP(#REF!,#REF!,14,FALSE)*#REF!)</f>
        <v>#REF!</v>
      </c>
      <c r="K15" s="162" t="e">
        <f>SUM(HLOOKUP(#REF!,#REF!,14,FALSE)-HLOOKUP(#REF!,#REF!,14,FALSE)*#REF!)</f>
        <v>#REF!</v>
      </c>
      <c r="L15" s="163" t="e">
        <f>SUM(VLOOKUP(D$2,'Raw - Ill Health'!A:Q,16,FALSE)-VLOOKUP(D$2,'Raw - Ill Health'!A:Q,4,FALSE))</f>
        <v>#N/A</v>
      </c>
      <c r="M15" s="163" t="e">
        <f>SUM(VLOOKUP(#REF!,'Raw - Ill Health'!A:Q,16,FALSE)-VLOOKUP(#REF!,'Raw - Ill Health'!A:Q,4,FALSE))</f>
        <v>#REF!</v>
      </c>
    </row>
    <row r="16" spans="1:42" s="142" customFormat="1" ht="27.6" customHeight="1">
      <c r="A16" s="355"/>
      <c r="B16" s="455"/>
      <c r="C16" s="427" t="s">
        <v>199</v>
      </c>
      <c r="D16" s="135" t="s">
        <v>480</v>
      </c>
      <c r="E16" s="422" t="s">
        <v>291</v>
      </c>
      <c r="F16" s="416"/>
      <c r="J16" s="162" t="e">
        <f>SUM(HLOOKUP(#REF!,#REF!,15,FALSE)+HLOOKUP(#REF!,#REF!,15,FALSE)*#REF!)</f>
        <v>#REF!</v>
      </c>
      <c r="K16" s="162" t="e">
        <f>SUM(HLOOKUP(#REF!,#REF!,15,FALSE)-HLOOKUP(#REF!,#REF!,15,FALSE)*#REF!)</f>
        <v>#REF!</v>
      </c>
      <c r="L16" s="163" t="e">
        <f>SUM(VLOOKUP(D$2,'Raw - Economic Inactivity'!A:Q,16,FALSE)-VLOOKUP(D$2,'Raw - Economic Inactivity'!A:Q,4,FALSE))</f>
        <v>#N/A</v>
      </c>
      <c r="M16" s="163" t="e">
        <f>SUM(VLOOKUP(#REF!,'Raw - Economic Inactivity'!A:Q,16,FALSE)-VLOOKUP(#REF!,'Raw - Economic Inactivity'!A:Q,4,FALSE))</f>
        <v>#REF!</v>
      </c>
    </row>
    <row r="17" spans="1:13" s="142" customFormat="1" ht="27.6" customHeight="1">
      <c r="A17" s="355"/>
      <c r="B17" s="455"/>
      <c r="C17" s="427" t="s">
        <v>197</v>
      </c>
      <c r="D17" s="135" t="s">
        <v>480</v>
      </c>
      <c r="E17" s="422" t="s">
        <v>291</v>
      </c>
      <c r="F17" s="416"/>
      <c r="J17" s="162" t="e">
        <f>SUM(HLOOKUP(#REF!,#REF!,16,FALSE)+HLOOKUP(#REF!,#REF!,16,FALSE)*#REF!)</f>
        <v>#REF!</v>
      </c>
      <c r="K17" s="162" t="e">
        <f>SUM(HLOOKUP(#REF!,#REF!,16,FALSE)-HLOOKUP(#REF!,#REF!,16,FALSE)*#REF!)</f>
        <v>#REF!</v>
      </c>
      <c r="L17" s="163" t="e">
        <f>SUM(VLOOKUP(D$2,'Raw - Employment'!A:Q,16,FALSE)-VLOOKUP(D$2,'Raw - Employment'!A:Q,4,FALSE))</f>
        <v>#N/A</v>
      </c>
      <c r="M17" s="163" t="e">
        <f>SUM(VLOOKUP(#REF!,'Raw - Employment'!A:Q,16,FALSE)-VLOOKUP(#REF!,'Raw - Employment'!A:Q,4,FALSE))</f>
        <v>#REF!</v>
      </c>
    </row>
    <row r="18" spans="1:13" s="142" customFormat="1" ht="27.6" customHeight="1">
      <c r="A18" s="355"/>
      <c r="B18" s="455"/>
      <c r="C18" s="427" t="s">
        <v>198</v>
      </c>
      <c r="D18" s="135" t="s">
        <v>480</v>
      </c>
      <c r="E18" s="422" t="s">
        <v>291</v>
      </c>
      <c r="F18" s="416"/>
      <c r="J18" s="162" t="e">
        <f>SUM(HLOOKUP(#REF!,#REF!,17,FALSE)+HLOOKUP(#REF!,#REF!,17,FALSE)*#REF!)</f>
        <v>#REF!</v>
      </c>
      <c r="K18" s="162" t="e">
        <f>SUM(HLOOKUP(#REF!,#REF!,17,FALSE)-HLOOKUP(#REF!,#REF!,17,FALSE)*#REF!)</f>
        <v>#REF!</v>
      </c>
      <c r="L18" s="163" t="e">
        <f>SUM(VLOOKUP(D$2,'Raw - Unemployment'!A:Q,16,FALSE)-VLOOKUP(D$2,'Raw - Unemployment'!A:Q,4,FALSE))</f>
        <v>#N/A</v>
      </c>
      <c r="M18" s="163" t="e">
        <f>SUM(VLOOKUP(#REF!,'Raw - Unemployment'!A:Q,16,FALSE)-VLOOKUP(#REF!,'Raw - Unemployment'!A:Q,4,FALSE))</f>
        <v>#REF!</v>
      </c>
    </row>
    <row r="19" spans="1:13" s="142" customFormat="1" ht="27.6" customHeight="1">
      <c r="A19" s="354"/>
      <c r="B19" s="455"/>
      <c r="C19" s="427" t="s">
        <v>180</v>
      </c>
      <c r="D19" s="135" t="s">
        <v>480</v>
      </c>
      <c r="E19" s="422" t="s">
        <v>309</v>
      </c>
      <c r="F19" s="416"/>
      <c r="J19" s="162" t="e">
        <f>SUM(HLOOKUP(#REF!,#REF!,18,FALSE)+HLOOKUP(#REF!,#REF!,18,FALSE)*#REF!)</f>
        <v>#REF!</v>
      </c>
      <c r="K19" s="162" t="e">
        <f>SUM(HLOOKUP(#REF!,#REF!,18,FALSE)-HLOOKUP(#REF!,#REF!,18,FALSE)*#REF!)</f>
        <v>#REF!</v>
      </c>
      <c r="L19" s="163" t="e">
        <f>SUM(VLOOKUP(D$2,'Raw - Low Pay Sectors'!A:Q,16,FALSE)-VLOOKUP(D$2,'Raw - Low Pay Sectors'!A:Q,4,FALSE))</f>
        <v>#N/A</v>
      </c>
      <c r="M19" s="163" t="e">
        <f>SUM(VLOOKUP(#REF!,'Raw - Low Pay Sectors'!A:Q,16,FALSE)-VLOOKUP(#REF!,'Raw - Low Pay Sectors'!A:Q,4,FALSE))</f>
        <v>#REF!</v>
      </c>
    </row>
    <row r="20" spans="1:13" s="142" customFormat="1" ht="27.6" customHeight="1">
      <c r="A20" s="355"/>
      <c r="B20" s="455"/>
      <c r="C20" s="427" t="s">
        <v>292</v>
      </c>
      <c r="D20" s="135" t="s">
        <v>480</v>
      </c>
      <c r="E20" s="422" t="s">
        <v>291</v>
      </c>
      <c r="F20" s="416"/>
      <c r="J20" s="162" t="e">
        <f>SUM(HLOOKUP(#REF!,#REF!,19,FALSE)+HLOOKUP(#REF!,#REF!,19,FALSE)*#REF!)</f>
        <v>#REF!</v>
      </c>
      <c r="K20" s="162" t="e">
        <f>SUM(HLOOKUP(#REF!,#REF!,19,FALSE)-HLOOKUP(#REF!,#REF!,19,FALSE)*#REF!)</f>
        <v>#REF!</v>
      </c>
      <c r="L20" s="163" t="e">
        <f>SUM(VLOOKUP(D$2,'Raw - Gender Emp'!A:Q,16,FALSE)-VLOOKUP(D$2,'Raw - Gender Emp'!A:Q,4,FALSE))</f>
        <v>#N/A</v>
      </c>
      <c r="M20" s="163" t="e">
        <f>SUM(VLOOKUP(#REF!,'Raw - Gender Emp'!A:Q,16,FALSE)-VLOOKUP(#REF!,'Raw - Gender Emp'!A:Q,4,FALSE))</f>
        <v>#REF!</v>
      </c>
    </row>
    <row r="21" spans="1:13" s="142" customFormat="1" ht="27.6" customHeight="1">
      <c r="A21" s="355"/>
      <c r="B21" s="455"/>
      <c r="C21" s="427" t="s">
        <v>66</v>
      </c>
      <c r="D21" s="135" t="s">
        <v>480</v>
      </c>
      <c r="E21" s="422" t="s">
        <v>308</v>
      </c>
      <c r="F21" s="416"/>
      <c r="J21" s="162" t="e">
        <f>SUM(HLOOKUP(#REF!,#REF!,20,FALSE)+HLOOKUP(#REF!,#REF!,20,FALSE)*#REF!)</f>
        <v>#REF!</v>
      </c>
      <c r="K21" s="162" t="e">
        <f>SUM(HLOOKUP(#REF!,#REF!,20,FALSE)-HLOOKUP(#REF!,#REF!,20,FALSE)*#REF!)</f>
        <v>#REF!</v>
      </c>
      <c r="L21" s="163" t="e">
        <f>SUM(VLOOKUP(D$2,'Raw - Earnings'!A:Q,16,FALSE)-VLOOKUP(D$2,'Raw - Earnings'!A:Q,4,FALSE))</f>
        <v>#N/A</v>
      </c>
      <c r="M21" s="163" t="e">
        <f>SUM(VLOOKUP(#REF!,'Raw - Earnings'!A:Q,16,FALSE)-VLOOKUP(#REF!,'Raw - Earnings'!A:Q,4,FALSE))</f>
        <v>#REF!</v>
      </c>
    </row>
    <row r="22" spans="1:13" s="142" customFormat="1" ht="27.6" customHeight="1">
      <c r="A22" s="355"/>
      <c r="B22" s="455"/>
      <c r="C22" s="427" t="s">
        <v>285</v>
      </c>
      <c r="D22" s="135" t="s">
        <v>480</v>
      </c>
      <c r="E22" s="422" t="s">
        <v>308</v>
      </c>
      <c r="F22" s="416"/>
      <c r="J22" s="162" t="e">
        <f>SUM(HLOOKUP(#REF!,#REF!,21,FALSE)+HLOOKUP(#REF!,#REF!,21,FALSE)*#REF!)</f>
        <v>#REF!</v>
      </c>
      <c r="K22" s="162" t="e">
        <f>SUM(HLOOKUP(#REF!,#REF!,21,FALSE)-HLOOKUP(#REF!,#REF!,21,FALSE)*#REF!)</f>
        <v>#REF!</v>
      </c>
      <c r="L22" s="163" t="e">
        <f>SUM(VLOOKUP(D$2,'Raw - 20th Percentile Earnings'!A:Q,16,FALSE)-VLOOKUP(D$2,'Raw - 20th Percentile Earnings'!A:Q,4,FALSE))</f>
        <v>#N/A</v>
      </c>
      <c r="M22" s="163" t="e">
        <f>SUM(VLOOKUP(#REF!,'Raw - 20th Percentile Earnings'!A:Q,16,FALSE)-VLOOKUP(#REF!,'Raw - 20th Percentile Earnings'!A:Q,4,FALSE))</f>
        <v>#REF!</v>
      </c>
    </row>
    <row r="23" spans="1:13" s="142" customFormat="1" ht="27.6" customHeight="1">
      <c r="A23" s="354"/>
      <c r="B23" s="455"/>
      <c r="C23" s="427" t="s">
        <v>335</v>
      </c>
      <c r="D23" s="135" t="s">
        <v>482</v>
      </c>
      <c r="E23" s="422" t="s">
        <v>311</v>
      </c>
      <c r="F23" s="418" t="s">
        <v>483</v>
      </c>
      <c r="J23" s="162" t="e">
        <f>SUM(HLOOKUP(#REF!,#REF!,22,FALSE)+HLOOKUP(#REF!,#REF!,22,FALSE)*#REF!)</f>
        <v>#REF!</v>
      </c>
      <c r="K23" s="162" t="e">
        <f>SUM(HLOOKUP(#REF!,#REF!,22,FALSE)-HLOOKUP(#REF!,#REF!,22,FALSE)*#REF!)</f>
        <v>#REF!</v>
      </c>
      <c r="L23" s="163" t="e">
        <f>SUM(VLOOKUP(D$2,'Raw - Underemployment'!A:Q,16,FALSE)-VLOOKUP(D$2,'Raw - Underemployment'!A:Q,4,FALSE))</f>
        <v>#N/A</v>
      </c>
      <c r="M23" s="163" t="e">
        <f>SUM(VLOOKUP(#REF!,'Raw - Underemployment'!A:Q,16,FALSE)-VLOOKUP(#REF!,'Raw - Underemployment'!A:Q,4,FALSE))</f>
        <v>#REF!</v>
      </c>
    </row>
    <row r="24" spans="1:13" s="142" customFormat="1" ht="27.6" customHeight="1">
      <c r="A24" s="355"/>
      <c r="B24" s="455"/>
      <c r="C24" s="427" t="s">
        <v>286</v>
      </c>
      <c r="D24" s="135" t="s">
        <v>480</v>
      </c>
      <c r="E24" s="422" t="s">
        <v>291</v>
      </c>
      <c r="F24" s="416"/>
      <c r="J24" s="162" t="e">
        <f>SUM(HLOOKUP(#REF!,#REF!,23,FALSE)+HLOOKUP(#REF!,#REF!,23,FALSE)*#REF!)</f>
        <v>#REF!</v>
      </c>
      <c r="K24" s="162" t="e">
        <f>SUM(HLOOKUP(#REF!,#REF!,23,FALSE)-HLOOKUP(#REF!,#REF!,23,FALSE)*#REF!)</f>
        <v>#REF!</v>
      </c>
      <c r="L24" s="163" t="e">
        <f>SUM(VLOOKUP(D$2,'Raw - SOC1 Occupations'!A:Q,16,FALSE)-VLOOKUP(D$2,'Raw - SOC1 Occupations'!A:Q,4,FALSE))</f>
        <v>#N/A</v>
      </c>
      <c r="M24" s="163" t="e">
        <f>SUM(VLOOKUP(#REF!,'Raw - SOC1 Occupations'!A:Q,16,FALSE)-VLOOKUP(#REF!,'Raw - SOC1 Occupations'!A:Q,4,FALSE))</f>
        <v>#REF!</v>
      </c>
    </row>
    <row r="25" spans="1:13" s="142" customFormat="1" ht="27.6" customHeight="1">
      <c r="A25" s="354"/>
      <c r="B25" s="455"/>
      <c r="C25" s="427" t="str">
        <f>'Satisfactory hours'!C2</f>
        <v>Satisfactory hours (% of employees)</v>
      </c>
      <c r="D25" s="135" t="s">
        <v>482</v>
      </c>
      <c r="E25" s="422" t="s">
        <v>368</v>
      </c>
      <c r="F25" s="418" t="s">
        <v>484</v>
      </c>
      <c r="J25" s="162"/>
      <c r="K25" s="162"/>
      <c r="L25" s="163"/>
      <c r="M25" s="163"/>
    </row>
    <row r="26" spans="1:13" s="142" customFormat="1" ht="27.6" customHeight="1">
      <c r="A26" s="354"/>
      <c r="B26" s="455"/>
      <c r="C26" s="427" t="str">
        <f>'Low pay'!C2</f>
        <v>Low pay (% of employees)</v>
      </c>
      <c r="D26" s="135" t="s">
        <v>482</v>
      </c>
      <c r="E26" s="422" t="s">
        <v>368</v>
      </c>
      <c r="F26" s="418" t="s">
        <v>484</v>
      </c>
      <c r="J26" s="162"/>
      <c r="K26" s="162"/>
      <c r="L26" s="163"/>
      <c r="M26" s="163"/>
    </row>
    <row r="27" spans="1:13" s="142" customFormat="1" ht="27.6" customHeight="1" thickBot="1">
      <c r="A27" s="354"/>
      <c r="B27" s="456"/>
      <c r="C27" s="427" t="str">
        <f>'Zero-hour contracts'!C2</f>
        <v>Zero-hour contracts (% of employees)</v>
      </c>
      <c r="D27" s="135" t="s">
        <v>482</v>
      </c>
      <c r="E27" s="422" t="s">
        <v>368</v>
      </c>
      <c r="F27" s="418" t="s">
        <v>484</v>
      </c>
      <c r="J27" s="162"/>
      <c r="K27" s="162"/>
      <c r="L27" s="163"/>
      <c r="M27" s="163"/>
    </row>
    <row r="28" spans="1:13" s="142" customFormat="1" ht="27.6" customHeight="1">
      <c r="A28" s="355"/>
      <c r="B28" s="454" t="s">
        <v>303</v>
      </c>
      <c r="C28" s="428" t="s">
        <v>501</v>
      </c>
      <c r="D28" s="135" t="s">
        <v>480</v>
      </c>
      <c r="E28" s="423" t="s">
        <v>172</v>
      </c>
      <c r="F28" s="418" t="s">
        <v>503</v>
      </c>
      <c r="J28" s="162" t="e">
        <f>SUM(HLOOKUP(#REF!,#REF!,27,FALSE)+HLOOKUP(#REF!,#REF!,27,FALSE)*#REF!)</f>
        <v>#REF!</v>
      </c>
      <c r="K28" s="162" t="e">
        <f>SUM(HLOOKUP(#REF!,#REF!,27,FALSE)-HLOOKUP(#REF!,#REF!,27,FALSE)*#REF!)</f>
        <v>#REF!</v>
      </c>
      <c r="L28" s="163" t="e">
        <f>SUM(VLOOKUP(D$2,'Raw - SME Procurement'!A:Q,16,FALSE)-VLOOKUP(D$2,'Raw - SME Procurement'!A:Q,4,FALSE))</f>
        <v>#N/A</v>
      </c>
      <c r="M28" s="163" t="e">
        <f>SUM(VLOOKUP(#REF!,'Raw - SME Procurement'!A:Q,16,FALSE)-VLOOKUP(#REF!,'Raw - SME Procurement'!A:Q,4,FALSE))</f>
        <v>#REF!</v>
      </c>
    </row>
    <row r="29" spans="1:13" s="142" customFormat="1" ht="27.6" customHeight="1">
      <c r="A29" s="354"/>
      <c r="B29" s="455"/>
      <c r="C29" s="427" t="s">
        <v>160</v>
      </c>
      <c r="D29" s="135" t="s">
        <v>488</v>
      </c>
      <c r="E29" s="422" t="s">
        <v>161</v>
      </c>
      <c r="F29" s="418" t="s">
        <v>485</v>
      </c>
      <c r="J29" s="162" t="e">
        <f>SUM(HLOOKUP(#REF!,#REF!,28,FALSE)+HLOOKUP(#REF!,#REF!,28,FALSE)*#REF!)</f>
        <v>#REF!</v>
      </c>
      <c r="K29" s="162" t="e">
        <f>SUM(HLOOKUP(#REF!,#REF!,28,FALSE)-HLOOKUP(#REF!,#REF!,28,FALSE)*#REF!)</f>
        <v>#REF!</v>
      </c>
      <c r="L29" s="163" t="e">
        <f>SUM(VLOOKUP(D$2,'Raw - Social Enterprises'!A:Q,16,FALSE)-VLOOKUP(D$2,'Raw - Social Enterprises'!A:Q,4,FALSE))</f>
        <v>#N/A</v>
      </c>
      <c r="M29" s="163" t="e">
        <f>SUM(VLOOKUP(#REF!,'Raw - Social Enterprises'!A:Q,16,FALSE)-VLOOKUP(#REF!,'Raw - Social Enterprises'!A:Q,4,FALSE))</f>
        <v>#REF!</v>
      </c>
    </row>
    <row r="30" spans="1:13" s="142" customFormat="1" ht="27.6" customHeight="1">
      <c r="A30" s="355"/>
      <c r="B30" s="455"/>
      <c r="C30" s="427" t="s">
        <v>195</v>
      </c>
      <c r="D30" s="135" t="s">
        <v>480</v>
      </c>
      <c r="E30" s="422" t="s">
        <v>87</v>
      </c>
      <c r="F30" s="416"/>
      <c r="J30" s="164" t="e">
        <f>SUM(HLOOKUP(#REF!,#REF!,29,FALSE)+HLOOKUP(#REF!,#REF!,29,FALSE)*#REF!)</f>
        <v>#REF!</v>
      </c>
      <c r="K30" s="164" t="e">
        <f>SUM(HLOOKUP(#REF!,#REF!,29,FALSE)-HLOOKUP(#REF!,#REF!,29,FALSE)*#REF!)</f>
        <v>#REF!</v>
      </c>
      <c r="L30" s="165" t="e">
        <f>SUM(VLOOKUP(D2,'Raw - GVA'!$A:$E,5,FALSE)-VLOOKUP(D2,'Raw - GVA'!$A:$E,2,FALSE))/VLOOKUP(D2,'Raw - GVA'!$A:$E,2,FALSE)</f>
        <v>#N/A</v>
      </c>
      <c r="M30" s="165" t="e">
        <f>SUM(VLOOKUP(#REF!,'Raw - GVA'!$A:$E,5,FALSE)-VLOOKUP(#REF!,'Raw - GVA'!$A:$E,2,FALSE))/VLOOKUP(#REF!,'Raw - GVA'!$A:$E,2,FALSE)</f>
        <v>#REF!</v>
      </c>
    </row>
    <row r="31" spans="1:13" s="142" customFormat="1" ht="27.6" customHeight="1">
      <c r="A31" s="355"/>
      <c r="B31" s="455"/>
      <c r="C31" s="427" t="s">
        <v>92</v>
      </c>
      <c r="D31" s="413" t="s">
        <v>480</v>
      </c>
      <c r="E31" s="422" t="s">
        <v>93</v>
      </c>
      <c r="F31" s="416"/>
      <c r="J31" s="162" t="e">
        <f>SUM(HLOOKUP(#REF!,#REF!,30,FALSE)+HLOOKUP(#REF!,#REF!,30,FALSE)*#REF!)</f>
        <v>#REF!</v>
      </c>
      <c r="K31" s="162" t="e">
        <f>SUM(HLOOKUP(#REF!,#REF!,30,FALSE)-HLOOKUP(#REF!,#REF!,30,FALSE)*#REF!)</f>
        <v>#REF!</v>
      </c>
      <c r="L31" s="163" t="e">
        <f>SUM(VLOOKUP(D$2,'Raw - GVA phw'!A:Q,5,FALSE)-VLOOKUP(D$2,'Raw - GVA phw'!A:Q,2,FALSE))</f>
        <v>#N/A</v>
      </c>
      <c r="M31" s="163" t="e">
        <f>SUM(VLOOKUP(#REF!,'Raw - GVA phw'!A:Q,5,FALSE)-VLOOKUP(#REF!,'Raw - GVA phw'!A:Q,2,FALSE))</f>
        <v>#REF!</v>
      </c>
    </row>
    <row r="32" spans="1:13" s="142" customFormat="1" ht="27.6" customHeight="1">
      <c r="A32" s="354"/>
      <c r="C32" s="429"/>
      <c r="D32" s="412"/>
      <c r="E32" s="420"/>
      <c r="F32" s="414"/>
    </row>
    <row r="33" spans="1:6" s="142" customFormat="1" ht="27.6" customHeight="1">
      <c r="A33" s="354"/>
      <c r="C33" s="420"/>
      <c r="D33" s="145"/>
      <c r="E33" s="420"/>
      <c r="F33" s="414"/>
    </row>
    <row r="34" spans="1:6" s="142" customFormat="1" ht="27.6" customHeight="1">
      <c r="A34" s="354"/>
      <c r="C34" s="420"/>
      <c r="D34" s="145"/>
      <c r="E34" s="420"/>
      <c r="F34" s="414"/>
    </row>
    <row r="35" spans="1:6" s="142" customFormat="1" ht="27.6" customHeight="1">
      <c r="A35" s="354"/>
      <c r="C35" s="420"/>
      <c r="D35" s="145"/>
      <c r="E35" s="420"/>
      <c r="F35" s="414"/>
    </row>
    <row r="36" spans="1:6" s="142" customFormat="1" ht="27.6" customHeight="1">
      <c r="A36" s="354"/>
      <c r="C36" s="420"/>
      <c r="D36" s="145"/>
      <c r="E36" s="420"/>
      <c r="F36" s="414"/>
    </row>
    <row r="37" spans="1:6" s="142" customFormat="1" ht="27.6" customHeight="1">
      <c r="A37" s="354"/>
      <c r="C37" s="420"/>
      <c r="D37" s="145"/>
      <c r="E37" s="420"/>
      <c r="F37" s="414"/>
    </row>
    <row r="38" spans="1:6" s="142" customFormat="1" ht="27.6" customHeight="1">
      <c r="A38" s="354"/>
      <c r="C38" s="420"/>
      <c r="D38" s="145"/>
      <c r="E38" s="420"/>
      <c r="F38" s="414"/>
    </row>
    <row r="39" spans="1:6" s="142" customFormat="1" ht="27.6" customHeight="1">
      <c r="A39" s="354"/>
      <c r="C39" s="420"/>
      <c r="D39" s="145"/>
      <c r="E39" s="420"/>
      <c r="F39" s="414"/>
    </row>
    <row r="40" spans="1:6" s="142" customFormat="1" ht="27.6" customHeight="1">
      <c r="A40" s="354"/>
      <c r="C40" s="420"/>
      <c r="D40" s="145"/>
      <c r="E40" s="420"/>
      <c r="F40" s="414"/>
    </row>
    <row r="41" spans="1:6" s="142" customFormat="1" ht="27.6" customHeight="1">
      <c r="A41" s="354"/>
      <c r="C41" s="420"/>
      <c r="D41" s="145"/>
      <c r="E41" s="420"/>
      <c r="F41" s="414"/>
    </row>
    <row r="42" spans="1:6" s="142" customFormat="1" ht="27.6" customHeight="1">
      <c r="A42" s="354"/>
      <c r="C42" s="420"/>
      <c r="D42" s="145"/>
      <c r="E42" s="420"/>
      <c r="F42" s="414"/>
    </row>
    <row r="43" spans="1:6" s="142" customFormat="1" ht="27.6" customHeight="1">
      <c r="A43" s="354"/>
      <c r="C43" s="420"/>
      <c r="D43" s="145"/>
      <c r="E43" s="420"/>
      <c r="F43" s="414"/>
    </row>
    <row r="44" spans="1:6" s="142" customFormat="1" ht="27.6" customHeight="1">
      <c r="A44" s="354"/>
      <c r="C44" s="420"/>
      <c r="D44" s="145"/>
      <c r="E44" s="420"/>
      <c r="F44" s="414"/>
    </row>
    <row r="45" spans="1:6" s="142" customFormat="1" ht="27.6" customHeight="1">
      <c r="A45" s="354"/>
      <c r="C45" s="420"/>
      <c r="D45" s="145"/>
      <c r="E45" s="420"/>
      <c r="F45" s="414"/>
    </row>
    <row r="46" spans="1:6" s="142" customFormat="1" ht="27.6" customHeight="1">
      <c r="A46" s="354"/>
      <c r="C46" s="420"/>
      <c r="D46" s="145"/>
      <c r="E46" s="420"/>
      <c r="F46" s="414"/>
    </row>
    <row r="47" spans="1:6" s="142" customFormat="1" ht="27.6" customHeight="1">
      <c r="A47" s="354"/>
      <c r="C47" s="420"/>
      <c r="D47" s="145"/>
      <c r="E47" s="420"/>
      <c r="F47" s="414"/>
    </row>
    <row r="48" spans="1:6" s="142" customFormat="1" ht="27.6" customHeight="1">
      <c r="A48" s="354"/>
      <c r="C48" s="420"/>
      <c r="D48" s="145"/>
      <c r="E48" s="420"/>
      <c r="F48" s="414"/>
    </row>
    <row r="49" spans="1:6" s="142" customFormat="1" ht="27.6" customHeight="1">
      <c r="A49" s="354"/>
      <c r="C49" s="420"/>
      <c r="D49" s="145"/>
      <c r="E49" s="420"/>
      <c r="F49" s="414"/>
    </row>
    <row r="50" spans="1:6" s="142" customFormat="1" ht="27.6" customHeight="1">
      <c r="A50" s="354"/>
      <c r="C50" s="420"/>
      <c r="D50" s="145"/>
      <c r="E50" s="420"/>
      <c r="F50" s="414"/>
    </row>
    <row r="51" spans="1:6" s="142" customFormat="1" ht="27.6" customHeight="1">
      <c r="A51" s="354"/>
      <c r="C51" s="420"/>
      <c r="D51" s="145"/>
      <c r="E51" s="420"/>
      <c r="F51" s="414"/>
    </row>
    <row r="52" spans="1:6" ht="27.6" customHeight="1"/>
    <row r="53" spans="1:6" ht="27.6" customHeight="1"/>
    <row r="54" spans="1:6" ht="27.6" customHeight="1"/>
    <row r="55" spans="1:6" ht="27.6" customHeight="1"/>
    <row r="56" spans="1:6" ht="27.6" customHeight="1"/>
    <row r="57" spans="1:6" ht="27.6" customHeight="1"/>
    <row r="58" spans="1:6" ht="27.6" customHeight="1"/>
    <row r="59" spans="1:6" ht="27.6" customHeight="1"/>
  </sheetData>
  <sheetProtection algorithmName="SHA-512" hashValue="BLEJMpZUn9C+xctM3eGk6P1hsC4INMRbTxxObi8kWJY1FbbPIyb14YfiR63thm4/cY/fPLsBuxN2zwSmc9Eutg==" saltValue="k3A2gxx0sWrsyCLmvHAtlA==" spinCount="100000" sheet="1" sort="0"/>
  <mergeCells count="4">
    <mergeCell ref="B3:B9"/>
    <mergeCell ref="B10:B13"/>
    <mergeCell ref="B14:B27"/>
    <mergeCell ref="B28:B31"/>
  </mergeCells>
  <conditionalFormatting sqref="D1:D1048576">
    <cfRule type="containsText" dxfId="128" priority="2" operator="containsText" text="Update">
      <formula>NOT(ISERROR(SEARCH("Update",D1)))</formula>
    </cfRule>
  </conditionalFormatting>
  <conditionalFormatting sqref="D29">
    <cfRule type="containsText" dxfId="127" priority="1" operator="containsText" text="Remove">
      <formula>NOT(ISERROR(SEARCH("Remove",D29)))</formula>
    </cfRule>
  </conditionalFormatting>
  <hyperlinks>
    <hyperlink ref="C3" location="'Child Poverty'!A1" display="'Child Poverty'!A1" xr:uid="{0B9854E4-5CD9-4E62-A72B-4A08CB7AB46D}"/>
    <hyperlink ref="C7" location="'Child Benefit'!A1" display="Families with Dependent Children eligible for Child Benefit (%)" xr:uid="{F28F607D-CDF2-4279-AC6D-7C735E186B37}"/>
    <hyperlink ref="C31" location="'GVA phw'!A1" display="GVA per hour worked (£)" xr:uid="{C132900B-4C65-4FE2-9ED0-12C098F71492}"/>
    <hyperlink ref="C30" location="GVA!A1" display="Gross Value Added (£m)" xr:uid="{F062F396-2EB5-4C2E-8A30-3FFC8CF692A2}"/>
    <hyperlink ref="C29" location="'Social Enterprises'!A1" display="Social Enterprise Rate (per 10,000 total population)" xr:uid="{2F725FAD-5304-4336-B0F5-680BB5F36681}"/>
    <hyperlink ref="C28" location="'SME Procurement'!A1" display="% of Procurement spend on Local Enterprises" xr:uid="{F5562270-5DEF-4F8D-9EE6-51EC6307AAC4}"/>
    <hyperlink ref="C23" location="Underemployment!A1" display="Underemployment Rate" xr:uid="{FDE4BD1C-1C86-4B9E-9E43-EAAD39F1EE79}"/>
    <hyperlink ref="C22" location="'Low Earnings'!A1" display="20th Percentile Weekly Earning (Residence based, full time)" xr:uid="{D2301C7D-5531-46A9-ABFA-7CE637671481}"/>
    <hyperlink ref="C21" location="Earnings!A1" display="Median Weekly Earnings (Residence-based, full-time)" xr:uid="{13BE3752-772B-4B64-A6C4-D771035EB4BD}"/>
    <hyperlink ref="C20" location="'Gender Gap'!A1" display="Gender Employment Gap (%)" xr:uid="{64322298-73E2-45B1-ACC8-7898D4BF9771}"/>
    <hyperlink ref="C19" location="'Low Pay Sectors'!A1" display="Employment in low pay sectors (%)" xr:uid="{0E71A213-27D3-4627-B865-38DC20BE7F97}"/>
    <hyperlink ref="C18" location="Unemployment!A1" display="Unemployment Rate (%)" xr:uid="{4C290189-B604-45BE-B359-5DE4B0424CE1}"/>
    <hyperlink ref="C17" location="Employment!A1" display="Employment Rate (%)" xr:uid="{66DBB9A9-4C0E-4418-861D-6F2E669E0277}"/>
    <hyperlink ref="C16" location="'Economic Inactivity'!A1" display="Economic Inactivity Rate (%)" xr:uid="{0FA09536-0F4D-44BE-9EF2-B568DA2488FB}"/>
    <hyperlink ref="C15" location="'Ill Health'!A1" display="Economic Inactive:  Long-term Sick/Disabled Rate (%)" xr:uid="{9D1D3D3D-3E24-4883-B3D4-549CE04DADDD}"/>
    <hyperlink ref="C14" location="Incapacity!A1" display="Number of Incpacity Based Benefits (per 1,000 16 - 64 population)" xr:uid="{6444ABEB-C401-4C39-8158-962AC1336E53}"/>
    <hyperlink ref="C13" location="'No Qualifications'!A1" display="No Qualifications Rate (%)" xr:uid="{304812C7-B5C8-4789-8364-EBF95308F0B0}"/>
    <hyperlink ref="C12" location="'Degree Quals'!A1" display="Degree-level Qualifications Rate (%)" xr:uid="{97884BDA-7C05-4DD0-8385-7D9D9591C9DB}"/>
    <hyperlink ref="C11" location="'Participation Rate'!A1" display="Participation Rate (%)" xr:uid="{A4E966D0-8DBF-4BE5-B28C-1831DBD3A366}"/>
    <hyperlink ref="C10" location="SLDR!A1" display="% of School Leavers in Positive Destination" xr:uid="{2DEC42ED-1381-439A-96D1-E023BA174F56}"/>
    <hyperlink ref="C9" location="'Workless Households'!A1" display="% of Household that are workless" xr:uid="{01F92E44-433B-427B-A9D4-A35D787AC6DF}"/>
    <hyperlink ref="C8" location="'Claimant Count'!A1" display="'Claimant Count'!A1" xr:uid="{FC61B9B1-BDFB-42A7-9C5E-9911DF30D430}"/>
    <hyperlink ref="C4" location="Childcare!A1" display="Childcare!A1" xr:uid="{D5BB743E-52C0-490E-87E8-5ED9F3794920}"/>
    <hyperlink ref="C5" location="'Children in Low Income'!A1" display="Households with Children on Out-of-Work Benefits (%)" xr:uid="{677FD307-BFB8-481E-B8E7-7D50ABF4C979}"/>
    <hyperlink ref="C24" location="'SOC1 Occupations'!A1" display="% Employed in SOC 1 Occupations" xr:uid="{40703EB2-6946-4EE5-BA2B-426D8C21A71F}"/>
    <hyperlink ref="C6" location="'Households on UC'!A1" display="Household on Universal Credit (%)" xr:uid="{1065FDCE-9089-4A67-92B9-AE6FA082A5DF}"/>
    <hyperlink ref="C25" location="'Satisfactory hours'!A1" display="'Satisfactory hours'!A1" xr:uid="{BB69D76E-F0AB-478B-B717-256BB8FA9B23}"/>
    <hyperlink ref="C26" location="'Low pay'!A1" display="'Low pay'!A1" xr:uid="{C9C17A0B-95E3-4DF9-9591-9F794A4B3373}"/>
    <hyperlink ref="C27" location="'Zero-hour contracts'!A1" display="'Zero-hour contracts'!A1" xr:uid="{71933824-EC0C-42B4-96DA-121F3F470AD2}"/>
  </hyperlinks>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96464-79F0-4872-AA22-A84E3B07DBA1}">
  <sheetPr>
    <pageSetUpPr autoPageBreaks="0" fitToPage="1"/>
  </sheetPr>
  <dimension ref="B1:L23"/>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Zero-hour contracts (% of employees) - LGBF Family Group 1</v>
      </c>
      <c r="D1" s="170" t="s">
        <v>290</v>
      </c>
    </row>
    <row r="2" spans="2:12" ht="12.75">
      <c r="B2" s="171" t="s">
        <v>49</v>
      </c>
      <c r="C2" s="172" t="s">
        <v>367</v>
      </c>
      <c r="F2" s="467" t="s">
        <v>216</v>
      </c>
      <c r="G2" s="468"/>
    </row>
    <row r="3" spans="2:12" ht="12.75">
      <c r="B3" s="171" t="s">
        <v>50</v>
      </c>
      <c r="C3" s="311" t="s">
        <v>368</v>
      </c>
    </row>
    <row r="4" spans="2:12" ht="12.75">
      <c r="B4" s="172"/>
      <c r="C4" s="175" t="s">
        <v>208</v>
      </c>
      <c r="F4" s="463" t="s">
        <v>53</v>
      </c>
      <c r="G4" s="463"/>
    </row>
    <row r="5" spans="2:12" ht="21.95" customHeight="1">
      <c r="C5" s="177"/>
      <c r="D5" s="178"/>
      <c r="E5" s="178"/>
      <c r="F5" s="466" t="s">
        <v>52</v>
      </c>
      <c r="G5" s="466"/>
    </row>
    <row r="6" spans="2:12" ht="26.1" customHeight="1">
      <c r="B6" s="179" t="s">
        <v>166</v>
      </c>
      <c r="C6" s="180" t="s">
        <v>242</v>
      </c>
      <c r="D6" s="181">
        <v>2021</v>
      </c>
      <c r="E6" s="181" t="s">
        <v>299</v>
      </c>
      <c r="F6" s="182" t="s">
        <v>57</v>
      </c>
      <c r="G6" s="182" t="s">
        <v>58</v>
      </c>
    </row>
    <row r="7" spans="2:12" s="137" customFormat="1" ht="19.5" customHeight="1">
      <c r="B7" s="216" t="s">
        <v>153</v>
      </c>
      <c r="C7" s="216" t="str">
        <f>IF(C$6="LGBF Family Group 1",Lookups!I28,IF(C$6="LGBF Family Group 2",Lookups!J28,IF(C$6="LGBF Family Group 3",Lookups!K28,Lookups!L28)))</f>
        <v>Na h-Eileanan Siar</v>
      </c>
      <c r="D7" s="217" t="str">
        <f>VLOOKUP(C7,'Raw - Zero-hour contracts'!A:Q,4,FALSE)</f>
        <v>-</v>
      </c>
      <c r="E7" s="218" t="str">
        <f>VLOOKUP(C7,'Raw - Zero-hour contracts'!A:Q,3,FALSE)</f>
        <v>-</v>
      </c>
      <c r="F7" s="221" t="str">
        <f>IF(D7="-","-",IF(IF($F$5="City Region Comparator",SUM(D$19-D7),IF($F$5="LGBF Family Group Average",SUM(D$18-D7),IF($F$5="Scotland",SUM(#REF!-D7),IF($F$5="United Kingdom",SUM(#REF!-D7),SUM(D$17-D7)))))&lt;=0,"",IF($F$5="City Region Comparator",SUM(D$19-D7),IF($F$5="LGBF Family Group Average",SUM(D$18-D7),IF($F$5="Scotland",SUM(#REF!-D7),IF($F$5="United Kingdom",SUM(#REF!-D7),SUM(D$17-D7)))))))</f>
        <v>-</v>
      </c>
      <c r="G7" s="222" t="str">
        <f>IF(D7="-","-",IF(F7=""," ",IF($F$5="LGBF Family Group Average",SUM(MROUND(SUM(SUM(VLOOKUP(C$18,'Raw - Zero-hour contracts'!A:Q,4,FALSE)*VLOOKUP(C7,'Raw - Zero-hour contracts'!A:Q,3,FALSE))/100),100)-MROUND(SUM(SUM(VLOOKUP(C7,'Raw - Zero-hour contracts'!A:Q,4,FALSE)*VLOOKUP(C7,'Raw - Zero-hour contracts'!A:Q,3,FALSE))/100),100)),IF($F$5="City Region Comparator",SUM(MROUND(SUM(SUM(VLOOKUP(C$19,'Raw - Zero-hour contracts'!A:Q,4,FALSE)*VLOOKUP(C7,'Raw - Zero-hour contracts'!A:Q,3,FALSE))/100),100)-MROUND(SUM(SUM(VLOOKUP(C7,'Raw - Zero-hour contracts'!A:Q,4,FALSE)*VLOOKUP(C7,'Raw - Zero-hour contracts'!A:Q,3,FALSE))/100),100)),IF($F$5="Scotland",SUM(MROUND(SUM(SUM(VLOOKUP(#REF!,'Raw - Zero-hour contracts'!A:Q,4,FALSE)*VLOOKUP(C7,'Raw - Zero-hour contracts'!A:Q,3,FALSE))/100),100)-MROUND(SUM(SUM(VLOOKUP(C7,'Raw - Zero-hour contracts'!A:Q,4,FALSE)*VLOOKUP(C7,'Raw - Zero-hour contracts'!A:Q,3,FALSE))/100),100)),IF($F$5="United Kingdom",SUM(MROUND(SUM(SUM(VLOOKUP(#REF!,'Raw - Zero-hour contracts'!A:Q,4,FALSE)*VLOOKUP(C7,'Raw - Zero-hour contracts'!A:Q,3,FALSE))/100),100)-MROUND(SUM(SUM(VLOOKUP(C7,'Raw - Zero-hour contracts'!A:Q,4,FALSE)*VLOOKUP(C7,'Raw - Zero-hour contracts'!A:Q,3,FALSE))/100),100)),SUM(MROUND(SUM(SUM(VLOOKUP(C$17,'Raw - Zero-hour contracts'!A:Q,4,FALSE)*VLOOKUP(C7,'Raw - Zero-hour contracts'!A:Q,3,FALSE))/100),100)-MROUND(SUM(SUM(VLOOKUP(C7,'Raw - Zero-hour contracts'!A:Q,4,FALSE)*VLOOKUP(C7,'Raw - Zero-hour contracts'!A:Q,3,FALSE))/100),100))))))))</f>
        <v>-</v>
      </c>
    </row>
    <row r="8" spans="2:12" s="137" customFormat="1" ht="19.5" customHeight="1">
      <c r="B8" s="216" t="s">
        <v>153</v>
      </c>
      <c r="C8" s="216" t="str">
        <f>IF(C$6="LGBF Family Group 1",Lookups!I29,IF(C$6="LGBF Family Group 2",Lookups!J29,IF(C$6="LGBF Family Group 3",Lookups!K29,Lookups!L29)))</f>
        <v>Argyll and Bute</v>
      </c>
      <c r="D8" s="217">
        <f>VLOOKUP(C8,'Raw - Zero-hour contracts'!A:Q,4,FALSE)</f>
        <v>2.5</v>
      </c>
      <c r="E8" s="218">
        <f>VLOOKUP(C8,'Raw - Zero-hour contracts'!A:Q,3,FALSE)</f>
        <v>37000</v>
      </c>
      <c r="F8" s="221">
        <f>IF(D8="-","-",IF(IF($F$5="City Region Comparator",SUM(D$19-D8),IF($F$5="LGBF Family Group Average",SUM(D$18-D8),IF($F$5="Scotland",SUM(#REF!-D8),IF($F$5="United Kingdom",SUM(#REF!-D8),SUM(D$17-D8)))))&lt;=0,"",IF($F$5="City Region Comparator",SUM(D$19-D8),IF($F$5="LGBF Family Group Average",SUM(D$18-D8),IF($F$5="Scotland",SUM(#REF!-D8),IF($F$5="United Kingdom",SUM(#REF!-D8),SUM(D$17-D8)))))))</f>
        <v>1.9000000000000004</v>
      </c>
      <c r="G8" s="222">
        <f>IF(D8="-","-",IF(F8=""," ",IF($F$5="LGBF Family Group Average",SUM(MROUND(SUM(SUM(VLOOKUP(C$18,'Raw - Zero-hour contracts'!A:Q,4,FALSE)*VLOOKUP(C8,'Raw - Zero-hour contracts'!A:Q,3,FALSE))/100),100)-MROUND(SUM(SUM(VLOOKUP(C8,'Raw - Zero-hour contracts'!A:Q,4,FALSE)*VLOOKUP(C8,'Raw - Zero-hour contracts'!A:Q,3,FALSE))/100),100)),IF($F$5="City Region Comparator",SUM(MROUND(SUM(SUM(VLOOKUP(C$19,'Raw - Zero-hour contracts'!A:Q,4,FALSE)*VLOOKUP(C8,'Raw - Zero-hour contracts'!A:Q,3,FALSE))/100),100)-MROUND(SUM(SUM(VLOOKUP(C8,'Raw - Zero-hour contracts'!A:Q,4,FALSE)*VLOOKUP(C8,'Raw - Zero-hour contracts'!A:Q,3,FALSE))/100),100)),IF($F$5="Scotland",SUM(MROUND(SUM(SUM(VLOOKUP(#REF!,'Raw - Zero-hour contracts'!A:Q,4,FALSE)*VLOOKUP(C8,'Raw - Zero-hour contracts'!A:Q,3,FALSE))/100),100)-MROUND(SUM(SUM(VLOOKUP(C8,'Raw - Zero-hour contracts'!A:Q,4,FALSE)*VLOOKUP(C8,'Raw - Zero-hour contracts'!A:Q,3,FALSE))/100),100)),IF($F$5="United Kingdom",SUM(MROUND(SUM(SUM(VLOOKUP(#REF!,'Raw - Zero-hour contracts'!A:Q,4,FALSE)*VLOOKUP(C8,'Raw - Zero-hour contracts'!A:Q,3,FALSE))/100),100)-MROUND(SUM(SUM(VLOOKUP(C8,'Raw - Zero-hour contracts'!A:Q,4,FALSE)*VLOOKUP(C8,'Raw - Zero-hour contracts'!A:Q,3,FALSE))/100),100)),SUM(MROUND(SUM(SUM(VLOOKUP(C$17,'Raw - Zero-hour contracts'!A:Q,4,FALSE)*VLOOKUP(C8,'Raw - Zero-hour contracts'!A:Q,3,FALSE))/100),100)-MROUND(SUM(SUM(VLOOKUP(C8,'Raw - Zero-hour contracts'!A:Q,4,FALSE)*VLOOKUP(C8,'Raw - Zero-hour contracts'!A:Q,3,FALSE))/100),100))))))))</f>
        <v>700</v>
      </c>
    </row>
    <row r="9" spans="2:12" s="137" customFormat="1" ht="19.5" customHeight="1">
      <c r="B9" s="216" t="s">
        <v>153</v>
      </c>
      <c r="C9" s="216" t="str">
        <f>IF(C$6="LGBF Family Group 1",Lookups!I30,IF(C$6="LGBF Family Group 2",Lookups!J30,IF(C$6="LGBF Family Group 3",Lookups!K30,Lookups!L30)))</f>
        <v>Shetland Islands</v>
      </c>
      <c r="D9" s="217" t="str">
        <f>VLOOKUP(C9,'Raw - Zero-hour contracts'!A:Q,4,FALSE)</f>
        <v>-</v>
      </c>
      <c r="E9" s="218" t="str">
        <f>VLOOKUP(C9,'Raw - Zero-hour contracts'!A:Q,3,FALSE)</f>
        <v>-</v>
      </c>
      <c r="F9" s="221" t="str">
        <f>IF(D9="-","-",IF(IF($F$5="City Region Comparator",SUM(D$19-D9),IF($F$5="LGBF Family Group Average",SUM(D$18-D9),IF($F$5="Scotland",SUM(#REF!-D9),IF($F$5="United Kingdom",SUM(#REF!-D9),SUM(D$17-D9)))))&lt;=0,"",IF($F$5="City Region Comparator",SUM(D$19-D9),IF($F$5="LGBF Family Group Average",SUM(D$18-D9),IF($F$5="Scotland",SUM(#REF!-D9),IF($F$5="United Kingdom",SUM(#REF!-D9),SUM(D$17-D9)))))))</f>
        <v>-</v>
      </c>
      <c r="G9" s="222" t="str">
        <f>IF(D9="-","-",IF(F9=""," ",IF($F$5="LGBF Family Group Average",SUM(MROUND(SUM(SUM(VLOOKUP(C$18,'Raw - Zero-hour contracts'!A:Q,4,FALSE)*VLOOKUP(C9,'Raw - Zero-hour contracts'!A:Q,3,FALSE))/100),100)-MROUND(SUM(SUM(VLOOKUP(C9,'Raw - Zero-hour contracts'!A:Q,4,FALSE)*VLOOKUP(C9,'Raw - Zero-hour contracts'!A:Q,3,FALSE))/100),100)),IF($F$5="City Region Comparator",SUM(MROUND(SUM(SUM(VLOOKUP(C$19,'Raw - Zero-hour contracts'!A:Q,4,FALSE)*VLOOKUP(C9,'Raw - Zero-hour contracts'!A:Q,3,FALSE))/100),100)-MROUND(SUM(SUM(VLOOKUP(C9,'Raw - Zero-hour contracts'!A:Q,4,FALSE)*VLOOKUP(C9,'Raw - Zero-hour contracts'!A:Q,3,FALSE))/100),100)),IF($F$5="Scotland",SUM(MROUND(SUM(SUM(VLOOKUP(#REF!,'Raw - Zero-hour contracts'!A:Q,4,FALSE)*VLOOKUP(C9,'Raw - Zero-hour contracts'!A:Q,3,FALSE))/100),100)-MROUND(SUM(SUM(VLOOKUP(C9,'Raw - Zero-hour contracts'!A:Q,4,FALSE)*VLOOKUP(C9,'Raw - Zero-hour contracts'!A:Q,3,FALSE))/100),100)),IF($F$5="United Kingdom",SUM(MROUND(SUM(SUM(VLOOKUP(#REF!,'Raw - Zero-hour contracts'!A:Q,4,FALSE)*VLOOKUP(C9,'Raw - Zero-hour contracts'!A:Q,3,FALSE))/100),100)-MROUND(SUM(SUM(VLOOKUP(C9,'Raw - Zero-hour contracts'!A:Q,4,FALSE)*VLOOKUP(C9,'Raw - Zero-hour contracts'!A:Q,3,FALSE))/100),100)),SUM(MROUND(SUM(SUM(VLOOKUP(C$17,'Raw - Zero-hour contracts'!A:Q,4,FALSE)*VLOOKUP(C9,'Raw - Zero-hour contracts'!A:Q,3,FALSE))/100),100)-MROUND(SUM(SUM(VLOOKUP(C9,'Raw - Zero-hour contracts'!A:Q,4,FALSE)*VLOOKUP(C9,'Raw - Zero-hour contracts'!A:Q,3,FALSE))/100),100))))))))</f>
        <v>-</v>
      </c>
    </row>
    <row r="10" spans="2:12" s="137" customFormat="1" ht="19.5" customHeight="1">
      <c r="B10" s="216" t="s">
        <v>153</v>
      </c>
      <c r="C10" s="216" t="str">
        <f>IF(C$6="LGBF Family Group 1",Lookups!I31,IF(C$6="LGBF Family Group 2",Lookups!J31,IF(C$6="LGBF Family Group 3",Lookups!K31,Lookups!L31)))</f>
        <v>Highland</v>
      </c>
      <c r="D10" s="217">
        <f>VLOOKUP(C10,'Raw - Zero-hour contracts'!A:Q,4,FALSE)</f>
        <v>3.7</v>
      </c>
      <c r="E10" s="218">
        <f>VLOOKUP(C10,'Raw - Zero-hour contracts'!A:Q,3,FALSE)</f>
        <v>112000</v>
      </c>
      <c r="F10" s="221">
        <f>IF(D10="-","-",IF(IF($F$5="City Region Comparator",SUM(D$19-D10),IF($F$5="LGBF Family Group Average",SUM(D$18-D10),IF($F$5="Scotland",SUM(#REF!-D10),IF($F$5="United Kingdom",SUM(#REF!-D10),SUM(D$17-D10)))))&lt;=0,"",IF($F$5="City Region Comparator",SUM(D$19-D10),IF($F$5="LGBF Family Group Average",SUM(D$18-D10),IF($F$5="Scotland",SUM(#REF!-D10),IF($F$5="United Kingdom",SUM(#REF!-D10),SUM(D$17-D10)))))))</f>
        <v>0.70000000000000018</v>
      </c>
      <c r="G10" s="222">
        <f>IF(D10="-","-",IF(F10=""," ",IF($F$5="LGBF Family Group Average",SUM(MROUND(SUM(SUM(VLOOKUP(C$18,'Raw - Zero-hour contracts'!A:Q,4,FALSE)*VLOOKUP(C10,'Raw - Zero-hour contracts'!A:Q,3,FALSE))/100),100)-MROUND(SUM(SUM(VLOOKUP(C10,'Raw - Zero-hour contracts'!A:Q,4,FALSE)*VLOOKUP(C10,'Raw - Zero-hour contracts'!A:Q,3,FALSE))/100),100)),IF($F$5="City Region Comparator",SUM(MROUND(SUM(SUM(VLOOKUP(C$19,'Raw - Zero-hour contracts'!A:Q,4,FALSE)*VLOOKUP(C10,'Raw - Zero-hour contracts'!A:Q,3,FALSE))/100),100)-MROUND(SUM(SUM(VLOOKUP(C10,'Raw - Zero-hour contracts'!A:Q,4,FALSE)*VLOOKUP(C10,'Raw - Zero-hour contracts'!A:Q,3,FALSE))/100),100)),IF($F$5="Scotland",SUM(MROUND(SUM(SUM(VLOOKUP(#REF!,'Raw - Zero-hour contracts'!A:Q,4,FALSE)*VLOOKUP(C10,'Raw - Zero-hour contracts'!A:Q,3,FALSE))/100),100)-MROUND(SUM(SUM(VLOOKUP(C10,'Raw - Zero-hour contracts'!A:Q,4,FALSE)*VLOOKUP(C10,'Raw - Zero-hour contracts'!A:Q,3,FALSE))/100),100)),IF($F$5="United Kingdom",SUM(MROUND(SUM(SUM(VLOOKUP(#REF!,'Raw - Zero-hour contracts'!A:Q,4,FALSE)*VLOOKUP(C10,'Raw - Zero-hour contracts'!A:Q,3,FALSE))/100),100)-MROUND(SUM(SUM(VLOOKUP(C10,'Raw - Zero-hour contracts'!A:Q,4,FALSE)*VLOOKUP(C10,'Raw - Zero-hour contracts'!A:Q,3,FALSE))/100),100)),SUM(MROUND(SUM(SUM(VLOOKUP(C$17,'Raw - Zero-hour contracts'!A:Q,4,FALSE)*VLOOKUP(C10,'Raw - Zero-hour contracts'!A:Q,3,FALSE))/100),100)-MROUND(SUM(SUM(VLOOKUP(C10,'Raw - Zero-hour contracts'!A:Q,4,FALSE)*VLOOKUP(C10,'Raw - Zero-hour contracts'!A:Q,3,FALSE))/100),100))))))))</f>
        <v>800</v>
      </c>
    </row>
    <row r="11" spans="2:12" s="137" customFormat="1" ht="19.5" customHeight="1">
      <c r="B11" s="216" t="s">
        <v>153</v>
      </c>
      <c r="C11" s="216" t="str">
        <f>IF(C$6="LGBF Family Group 1",Lookups!I32,IF(C$6="LGBF Family Group 2",Lookups!J32,IF(C$6="LGBF Family Group 3",Lookups!K32,Lookups!L32)))</f>
        <v>Orkney Islands</v>
      </c>
      <c r="D11" s="217" t="str">
        <f>VLOOKUP(C11,'Raw - Zero-hour contracts'!A:Q,4,FALSE)</f>
        <v>-</v>
      </c>
      <c r="E11" s="218" t="str">
        <f>VLOOKUP(C11,'Raw - Zero-hour contracts'!A:Q,3,FALSE)</f>
        <v>-</v>
      </c>
      <c r="F11" s="221" t="str">
        <f>IF(D11="-","-",IF(IF($F$5="City Region Comparator",SUM(D$19-D11),IF($F$5="LGBF Family Group Average",SUM(D$18-D11),IF($F$5="Scotland",SUM(#REF!-D11),IF($F$5="United Kingdom",SUM(#REF!-D11),SUM(D$17-D11)))))&lt;=0,"",IF($F$5="City Region Comparator",SUM(D$19-D11),IF($F$5="LGBF Family Group Average",SUM(D$18-D11),IF($F$5="Scotland",SUM(#REF!-D11),IF($F$5="United Kingdom",SUM(#REF!-D11),SUM(D$17-D11)))))))</f>
        <v>-</v>
      </c>
      <c r="G11" s="222" t="str">
        <f>IF(D11="-","-",IF(F11=""," ",IF($F$5="LGBF Family Group Average",SUM(MROUND(SUM(SUM(VLOOKUP(C$18,'Raw - Zero-hour contracts'!A:Q,4,FALSE)*VLOOKUP(C11,'Raw - Zero-hour contracts'!A:Q,3,FALSE))/100),100)-MROUND(SUM(SUM(VLOOKUP(C11,'Raw - Zero-hour contracts'!A:Q,4,FALSE)*VLOOKUP(C11,'Raw - Zero-hour contracts'!A:Q,3,FALSE))/100),100)),IF($F$5="City Region Comparator",SUM(MROUND(SUM(SUM(VLOOKUP(C$19,'Raw - Zero-hour contracts'!A:Q,4,FALSE)*VLOOKUP(C11,'Raw - Zero-hour contracts'!A:Q,3,FALSE))/100),100)-MROUND(SUM(SUM(VLOOKUP(C11,'Raw - Zero-hour contracts'!A:Q,4,FALSE)*VLOOKUP(C11,'Raw - Zero-hour contracts'!A:Q,3,FALSE))/100),100)),IF($F$5="Scotland",SUM(MROUND(SUM(SUM(VLOOKUP(#REF!,'Raw - Zero-hour contracts'!A:Q,4,FALSE)*VLOOKUP(C11,'Raw - Zero-hour contracts'!A:Q,3,FALSE))/100),100)-MROUND(SUM(SUM(VLOOKUP(C11,'Raw - Zero-hour contracts'!A:Q,4,FALSE)*VLOOKUP(C11,'Raw - Zero-hour contracts'!A:Q,3,FALSE))/100),100)),IF($F$5="United Kingdom",SUM(MROUND(SUM(SUM(VLOOKUP(#REF!,'Raw - Zero-hour contracts'!A:Q,4,FALSE)*VLOOKUP(C11,'Raw - Zero-hour contracts'!A:Q,3,FALSE))/100),100)-MROUND(SUM(SUM(VLOOKUP(C11,'Raw - Zero-hour contracts'!A:Q,4,FALSE)*VLOOKUP(C11,'Raw - Zero-hour contracts'!A:Q,3,FALSE))/100),100)),SUM(MROUND(SUM(SUM(VLOOKUP(C$17,'Raw - Zero-hour contracts'!A:Q,4,FALSE)*VLOOKUP(C11,'Raw - Zero-hour contracts'!A:Q,3,FALSE))/100),100)-MROUND(SUM(SUM(VLOOKUP(C11,'Raw - Zero-hour contracts'!A:Q,4,FALSE)*VLOOKUP(C11,'Raw - Zero-hour contracts'!A:Q,3,FALSE))/100),100))))))))</f>
        <v>-</v>
      </c>
    </row>
    <row r="12" spans="2:12" s="137" customFormat="1" ht="19.5" customHeight="1">
      <c r="B12" s="216" t="s">
        <v>153</v>
      </c>
      <c r="C12" s="216" t="str">
        <f>IF(C$6="LGBF Family Group 1",Lookups!I33,IF(C$6="LGBF Family Group 2",Lookups!J33,IF(C$6="LGBF Family Group 3",Lookups!K33,Lookups!L33)))</f>
        <v>Scottish Borders</v>
      </c>
      <c r="D12" s="217">
        <f>VLOOKUP(C12,'Raw - Zero-hour contracts'!A:Q,4,FALSE)</f>
        <v>1.7</v>
      </c>
      <c r="E12" s="218">
        <f>VLOOKUP(C12,'Raw - Zero-hour contracts'!A:Q,3,FALSE)</f>
        <v>42000</v>
      </c>
      <c r="F12" s="221">
        <f>IF(D12="-","-",IF(IF($F$5="City Region Comparator",SUM(D$19-D12),IF($F$5="LGBF Family Group Average",SUM(D$18-D12),IF($F$5="Scotland",SUM(#REF!-D12),IF($F$5="United Kingdom",SUM(#REF!-D12),SUM(D$17-D12)))))&lt;=0,"",IF($F$5="City Region Comparator",SUM(D$19-D12),IF($F$5="LGBF Family Group Average",SUM(D$18-D12),IF($F$5="Scotland",SUM(#REF!-D12),IF($F$5="United Kingdom",SUM(#REF!-D12),SUM(D$17-D12)))))))</f>
        <v>2.7</v>
      </c>
      <c r="G12" s="222">
        <f>IF(D12="-","-",IF(F12=""," ",IF($F$5="LGBF Family Group Average",SUM(MROUND(SUM(SUM(VLOOKUP(C$18,'Raw - Zero-hour contracts'!A:Q,4,FALSE)*VLOOKUP(C12,'Raw - Zero-hour contracts'!A:Q,3,FALSE))/100),100)-MROUND(SUM(SUM(VLOOKUP(C12,'Raw - Zero-hour contracts'!A:Q,4,FALSE)*VLOOKUP(C12,'Raw - Zero-hour contracts'!A:Q,3,FALSE))/100),100)),IF($F$5="City Region Comparator",SUM(MROUND(SUM(SUM(VLOOKUP(C$19,'Raw - Zero-hour contracts'!A:Q,4,FALSE)*VLOOKUP(C12,'Raw - Zero-hour contracts'!A:Q,3,FALSE))/100),100)-MROUND(SUM(SUM(VLOOKUP(C12,'Raw - Zero-hour contracts'!A:Q,4,FALSE)*VLOOKUP(C12,'Raw - Zero-hour contracts'!A:Q,3,FALSE))/100),100)),IF($F$5="Scotland",SUM(MROUND(SUM(SUM(VLOOKUP(#REF!,'Raw - Zero-hour contracts'!A:Q,4,FALSE)*VLOOKUP(C12,'Raw - Zero-hour contracts'!A:Q,3,FALSE))/100),100)-MROUND(SUM(SUM(VLOOKUP(C12,'Raw - Zero-hour contracts'!A:Q,4,FALSE)*VLOOKUP(C12,'Raw - Zero-hour contracts'!A:Q,3,FALSE))/100),100)),IF($F$5="United Kingdom",SUM(MROUND(SUM(SUM(VLOOKUP(#REF!,'Raw - Zero-hour contracts'!A:Q,4,FALSE)*VLOOKUP(C12,'Raw - Zero-hour contracts'!A:Q,3,FALSE))/100),100)-MROUND(SUM(SUM(VLOOKUP(C12,'Raw - Zero-hour contracts'!A:Q,4,FALSE)*VLOOKUP(C12,'Raw - Zero-hour contracts'!A:Q,3,FALSE))/100),100)),SUM(MROUND(SUM(SUM(VLOOKUP(C$17,'Raw - Zero-hour contracts'!A:Q,4,FALSE)*VLOOKUP(C12,'Raw - Zero-hour contracts'!A:Q,3,FALSE))/100),100)-MROUND(SUM(SUM(VLOOKUP(C12,'Raw - Zero-hour contracts'!A:Q,4,FALSE)*VLOOKUP(C12,'Raw - Zero-hour contracts'!A:Q,3,FALSE))/100),100))))))))</f>
        <v>1100</v>
      </c>
    </row>
    <row r="13" spans="2:12" s="137" customFormat="1" ht="19.5" customHeight="1">
      <c r="B13" s="216" t="s">
        <v>153</v>
      </c>
      <c r="C13" s="216" t="str">
        <f>IF(C$6="LGBF Family Group 1",Lookups!I34,IF(C$6="LGBF Family Group 2",Lookups!J34,IF(C$6="LGBF Family Group 3",Lookups!K34,Lookups!L34)))</f>
        <v>Dumfries and Galloway</v>
      </c>
      <c r="D13" s="217">
        <f>VLOOKUP(C13,'Raw - Zero-hour contracts'!A:Q,4,FALSE)</f>
        <v>2.4</v>
      </c>
      <c r="E13" s="218">
        <f>VLOOKUP(C13,'Raw - Zero-hour contracts'!A:Q,3,FALSE)</f>
        <v>58000</v>
      </c>
      <c r="F13" s="221">
        <f>IF(D13="-","-",IF(IF($F$5="City Region Comparator",SUM(D$19-D13),IF($F$5="LGBF Family Group Average",SUM(D$18-D13),IF($F$5="Scotland",SUM(#REF!-D13),IF($F$5="United Kingdom",SUM(#REF!-D13),SUM(D$17-D13)))))&lt;=0,"",IF($F$5="City Region Comparator",SUM(D$19-D13),IF($F$5="LGBF Family Group Average",SUM(D$18-D13),IF($F$5="Scotland",SUM(#REF!-D13),IF($F$5="United Kingdom",SUM(#REF!-D13),SUM(D$17-D13)))))))</f>
        <v>2.0000000000000004</v>
      </c>
      <c r="G13" s="222">
        <f>IF(D13="-","-",IF(F13=""," ",IF($F$5="LGBF Family Group Average",SUM(MROUND(SUM(SUM(VLOOKUP(C$18,'Raw - Zero-hour contracts'!A:Q,4,FALSE)*VLOOKUP(C13,'Raw - Zero-hour contracts'!A:Q,3,FALSE))/100),100)-MROUND(SUM(SUM(VLOOKUP(C13,'Raw - Zero-hour contracts'!A:Q,4,FALSE)*VLOOKUP(C13,'Raw - Zero-hour contracts'!A:Q,3,FALSE))/100),100)),IF($F$5="City Region Comparator",SUM(MROUND(SUM(SUM(VLOOKUP(C$19,'Raw - Zero-hour contracts'!A:Q,4,FALSE)*VLOOKUP(C13,'Raw - Zero-hour contracts'!A:Q,3,FALSE))/100),100)-MROUND(SUM(SUM(VLOOKUP(C13,'Raw - Zero-hour contracts'!A:Q,4,FALSE)*VLOOKUP(C13,'Raw - Zero-hour contracts'!A:Q,3,FALSE))/100),100)),IF($F$5="Scotland",SUM(MROUND(SUM(SUM(VLOOKUP(#REF!,'Raw - Zero-hour contracts'!A:Q,4,FALSE)*VLOOKUP(C13,'Raw - Zero-hour contracts'!A:Q,3,FALSE))/100),100)-MROUND(SUM(SUM(VLOOKUP(C13,'Raw - Zero-hour contracts'!A:Q,4,FALSE)*VLOOKUP(C13,'Raw - Zero-hour contracts'!A:Q,3,FALSE))/100),100)),IF($F$5="United Kingdom",SUM(MROUND(SUM(SUM(VLOOKUP(#REF!,'Raw - Zero-hour contracts'!A:Q,4,FALSE)*VLOOKUP(C13,'Raw - Zero-hour contracts'!A:Q,3,FALSE))/100),100)-MROUND(SUM(SUM(VLOOKUP(C13,'Raw - Zero-hour contracts'!A:Q,4,FALSE)*VLOOKUP(C13,'Raw - Zero-hour contracts'!A:Q,3,FALSE))/100),100)),SUM(MROUND(SUM(SUM(VLOOKUP(C$17,'Raw - Zero-hour contracts'!A:Q,4,FALSE)*VLOOKUP(C13,'Raw - Zero-hour contracts'!A:Q,3,FALSE))/100),100)-MROUND(SUM(SUM(VLOOKUP(C13,'Raw - Zero-hour contracts'!A:Q,4,FALSE)*VLOOKUP(C13,'Raw - Zero-hour contracts'!A:Q,3,FALSE))/100),100))))))))</f>
        <v>1200</v>
      </c>
    </row>
    <row r="14" spans="2:12" s="137" customFormat="1" ht="19.5" customHeight="1">
      <c r="B14" s="216" t="s">
        <v>153</v>
      </c>
      <c r="C14" s="216" t="str">
        <f>IF(C$6="LGBF Family Group 1",Lookups!I35,IF(C$6="LGBF Family Group 2",Lookups!J35,IF(C$6="LGBF Family Group 3",Lookups!K35,Lookups!L35)))</f>
        <v>Aberdeenshire</v>
      </c>
      <c r="D14" s="217">
        <f>VLOOKUP(C14,'Raw - Zero-hour contracts'!A:Q,4,FALSE)</f>
        <v>2.4</v>
      </c>
      <c r="E14" s="218">
        <f>VLOOKUP(C14,'Raw - Zero-hour contracts'!A:Q,3,FALSE)</f>
        <v>103000</v>
      </c>
      <c r="F14" s="221">
        <f>IF(D14="-","-",IF(IF($F$5="City Region Comparator",SUM(D$19-D14),IF($F$5="LGBF Family Group Average",SUM(D$18-D14),IF($F$5="Scotland",SUM(#REF!-D14),IF($F$5="United Kingdom",SUM(#REF!-D14),SUM(D$17-D14)))))&lt;=0,"",IF($F$5="City Region Comparator",SUM(D$19-D14),IF($F$5="LGBF Family Group Average",SUM(D$18-D14),IF($F$5="Scotland",SUM(#REF!-D14),IF($F$5="United Kingdom",SUM(#REF!-D14),SUM(D$17-D14)))))))</f>
        <v>2.0000000000000004</v>
      </c>
      <c r="G14" s="222">
        <f>IF(D14="-","-",IF(F14=""," ",IF($F$5="LGBF Family Group Average",SUM(MROUND(SUM(SUM(VLOOKUP(C$18,'Raw - Zero-hour contracts'!A:Q,4,FALSE)*VLOOKUP(C14,'Raw - Zero-hour contracts'!A:Q,3,FALSE))/100),100)-MROUND(SUM(SUM(VLOOKUP(C14,'Raw - Zero-hour contracts'!A:Q,4,FALSE)*VLOOKUP(C14,'Raw - Zero-hour contracts'!A:Q,3,FALSE))/100),100)),IF($F$5="City Region Comparator",SUM(MROUND(SUM(SUM(VLOOKUP(C$19,'Raw - Zero-hour contracts'!A:Q,4,FALSE)*VLOOKUP(C14,'Raw - Zero-hour contracts'!A:Q,3,FALSE))/100),100)-MROUND(SUM(SUM(VLOOKUP(C14,'Raw - Zero-hour contracts'!A:Q,4,FALSE)*VLOOKUP(C14,'Raw - Zero-hour contracts'!A:Q,3,FALSE))/100),100)),IF($F$5="Scotland",SUM(MROUND(SUM(SUM(VLOOKUP(#REF!,'Raw - Zero-hour contracts'!A:Q,4,FALSE)*VLOOKUP(C14,'Raw - Zero-hour contracts'!A:Q,3,FALSE))/100),100)-MROUND(SUM(SUM(VLOOKUP(C14,'Raw - Zero-hour contracts'!A:Q,4,FALSE)*VLOOKUP(C14,'Raw - Zero-hour contracts'!A:Q,3,FALSE))/100),100)),IF($F$5="United Kingdom",SUM(MROUND(SUM(SUM(VLOOKUP(#REF!,'Raw - Zero-hour contracts'!A:Q,4,FALSE)*VLOOKUP(C14,'Raw - Zero-hour contracts'!A:Q,3,FALSE))/100),100)-MROUND(SUM(SUM(VLOOKUP(C14,'Raw - Zero-hour contracts'!A:Q,4,FALSE)*VLOOKUP(C14,'Raw - Zero-hour contracts'!A:Q,3,FALSE))/100),100)),SUM(MROUND(SUM(SUM(VLOOKUP(C$17,'Raw - Zero-hour contracts'!A:Q,4,FALSE)*VLOOKUP(C14,'Raw - Zero-hour contracts'!A:Q,3,FALSE))/100),100)-MROUND(SUM(SUM(VLOOKUP(C14,'Raw - Zero-hour contracts'!A:Q,4,FALSE)*VLOOKUP(C14,'Raw - Zero-hour contracts'!A:Q,3,FALSE))/100),100))))))))</f>
        <v>2000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5"/>
      <c r="G16" s="225"/>
    </row>
    <row r="17" spans="2:12" s="137" customFormat="1" ht="19.5" customHeight="1">
      <c r="B17" s="226" t="s">
        <v>52</v>
      </c>
      <c r="C17" s="216" t="str">
        <f>INDEX('Raw - Zero-hour contracts'!$A$9:$A$41,MATCH(MAX('Raw - Zero-hour contracts'!D9:D41),'Raw - Zero-hour contracts'!D9:D41,0))</f>
        <v>East Dunbartonshire</v>
      </c>
      <c r="D17" s="217">
        <f>VLOOKUP(C17,'Raw - Zero-hour contracts'!A:Q,4,FALSE)</f>
        <v>4.4000000000000004</v>
      </c>
      <c r="E17" s="218">
        <f>VLOOKUP(C17,'Raw - Zero-hour contracts'!A:Q,3,FALSE)</f>
        <v>26000</v>
      </c>
    </row>
    <row r="18" spans="2:12" s="137" customFormat="1" ht="19.5" customHeight="1">
      <c r="B18" s="226" t="s">
        <v>271</v>
      </c>
      <c r="C18" s="227" t="s">
        <v>246</v>
      </c>
      <c r="D18" s="217">
        <f>VLOOKUP(C18,'Raw - Zero-hour contracts'!A:Q,4,FALSE)</f>
        <v>2.5666666666666669</v>
      </c>
      <c r="E18" s="218" t="s">
        <v>71</v>
      </c>
    </row>
    <row r="19" spans="2:12" s="137" customFormat="1" ht="19.5" customHeight="1">
      <c r="B19" s="226" t="s">
        <v>270</v>
      </c>
      <c r="C19" s="216" t="s">
        <v>156</v>
      </c>
      <c r="D19" s="217">
        <f>VLOOKUP(C19,'Raw - Zero-hour contracts'!A:Q,4,FALSE)</f>
        <v>2.7</v>
      </c>
      <c r="E19" s="218" t="s">
        <v>71</v>
      </c>
    </row>
    <row r="20" spans="2:12" ht="19.5" customHeight="1">
      <c r="C20" s="189"/>
      <c r="D20" s="190"/>
      <c r="E20" s="190"/>
      <c r="F20" s="190"/>
      <c r="G20" s="190"/>
      <c r="H20" s="190"/>
      <c r="I20" s="190"/>
      <c r="J20" s="190"/>
      <c r="K20" s="190"/>
      <c r="L20" s="190"/>
    </row>
    <row r="21" spans="2:12">
      <c r="D21" s="191"/>
      <c r="E21" s="191"/>
      <c r="F21" s="192" t="str">
        <f>CONCATENATE(G21,H21)</f>
        <v>Volume Change Required to match Geographic Area - Top Performing Scottish Local Authority</v>
      </c>
      <c r="G21" s="192" t="s">
        <v>225</v>
      </c>
      <c r="H21" s="192" t="str">
        <f>F5</f>
        <v>Top Performing Scottish Local Authority</v>
      </c>
    </row>
    <row r="22" spans="2:12">
      <c r="B22" s="193" t="s">
        <v>207</v>
      </c>
    </row>
    <row r="23" spans="2:12">
      <c r="I23" s="195"/>
      <c r="J23" s="195"/>
      <c r="K23" s="195"/>
      <c r="L23" s="191"/>
    </row>
  </sheetData>
  <sheetProtection algorithmName="SHA-512" hashValue="+tymY4x+tmhnpeEwBwXHRcDL7jrw9KKV7iKZiUHk1ULl7j1kptpG0zFo8gQ3/ERv/qdN/XdyJ1VQYlIdnwxa8Q==" saltValue="BUcKJ9UnEJkXchc1n2yzLQ==" spinCount="100000" sheet="1" sort="0"/>
  <mergeCells count="3">
    <mergeCell ref="F2:G2"/>
    <mergeCell ref="F4:G4"/>
    <mergeCell ref="F5:G5"/>
  </mergeCells>
  <hyperlinks>
    <hyperlink ref="G2" location="'Index RAG'!A1" display="Return to Index RAG" xr:uid="{8F40AB1B-E12F-498E-A736-30535EC5EFDE}"/>
    <hyperlink ref="C3" r:id="rId1" display="UK Government" xr:uid="{84AFA9F6-2A20-4366-86F9-F6470BBD328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35BB6EEE-C39D-4D78-B601-0C6C1CD92337}">
          <x14:formula1>
            <xm:f>Lookups!$Q$3:$Q$7</xm:f>
          </x14:formula1>
          <xm:sqref>C19</xm:sqref>
        </x14:dataValidation>
        <x14:dataValidation type="list" allowBlank="1" showInputMessage="1" showErrorMessage="1" xr:uid="{92D20510-EF65-4CCF-BCE9-B9C2BFAD8CBA}">
          <x14:formula1>
            <xm:f>Lookups!$B$36:$E$36</xm:f>
          </x14:formula1>
          <xm:sqref>C18</xm:sqref>
        </x14:dataValidation>
        <x14:dataValidation type="list" allowBlank="1" showInputMessage="1" showErrorMessage="1" xr:uid="{6B0F71C6-7E6E-48B5-B9EA-120162084D3B}">
          <x14:formula1>
            <xm:f>Lookups!$B$9:$B$11</xm:f>
          </x14:formula1>
          <xm:sqref>F5:G5</xm:sqref>
        </x14:dataValidation>
        <x14:dataValidation type="list" allowBlank="1" showInputMessage="1" showErrorMessage="1" xr:uid="{4339C3D9-2101-48E1-992D-0FA0F6A2ECFB}">
          <x14:formula1>
            <xm:f>Lookups!$B$27:$E$27</xm:f>
          </x14:formula1>
          <xm:sqref>C6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8" width="14" style="145" customWidth="1"/>
    <col min="9" max="9" width="23.140625" style="145" customWidth="1"/>
    <col min="10" max="16384" width="9.140625" style="145"/>
  </cols>
  <sheetData>
    <row r="1" spans="2:12">
      <c r="C1" s="170" t="str">
        <f>CONCATENATE(C2,D1,C6)</f>
        <v>% of Procurement spend spent on local Enterprises - LGBF Family Group 4</v>
      </c>
      <c r="D1" s="170" t="s">
        <v>290</v>
      </c>
    </row>
    <row r="2" spans="2:12" ht="12.75">
      <c r="B2" s="171" t="s">
        <v>49</v>
      </c>
      <c r="C2" s="172" t="s">
        <v>500</v>
      </c>
      <c r="F2" s="467" t="s">
        <v>216</v>
      </c>
      <c r="G2" s="468"/>
    </row>
    <row r="3" spans="2:12" ht="12.75">
      <c r="B3" s="171" t="s">
        <v>50</v>
      </c>
      <c r="C3" s="309" t="s">
        <v>172</v>
      </c>
    </row>
    <row r="4" spans="2:12" ht="12.75">
      <c r="B4" s="172"/>
      <c r="C4" s="175" t="s">
        <v>208</v>
      </c>
      <c r="D4" s="176"/>
      <c r="I4" s="196" t="s">
        <v>53</v>
      </c>
    </row>
    <row r="5" spans="2:12" ht="21.95" customHeight="1">
      <c r="C5" s="177"/>
      <c r="D5" s="178"/>
      <c r="E5" s="178"/>
      <c r="F5" s="178"/>
      <c r="G5" s="178"/>
      <c r="H5" s="197" t="s">
        <v>51</v>
      </c>
      <c r="I5" s="198" t="s">
        <v>52</v>
      </c>
    </row>
    <row r="6" spans="2:12" ht="26.1" customHeight="1">
      <c r="B6" s="179" t="s">
        <v>166</v>
      </c>
      <c r="C6" s="180" t="s">
        <v>245</v>
      </c>
      <c r="D6" s="181" t="s">
        <v>262</v>
      </c>
      <c r="E6" s="181" t="s">
        <v>354</v>
      </c>
      <c r="F6" s="181" t="s">
        <v>405</v>
      </c>
      <c r="G6" s="181" t="s">
        <v>476</v>
      </c>
      <c r="H6" s="182" t="s">
        <v>54</v>
      </c>
      <c r="I6" s="182" t="s">
        <v>57</v>
      </c>
    </row>
    <row r="7" spans="2:12" s="137" customFormat="1" ht="19.5" customHeight="1">
      <c r="B7" s="216" t="s">
        <v>153</v>
      </c>
      <c r="C7" s="216" t="str">
        <f>IF(C$6="LGBF Family Group 1",Lookups!I28,IF(C$6="LGBF Family Group 2",Lookups!J28,IF(C$6="LGBF Family Group 3",Lookups!K28,Lookups!L28)))</f>
        <v>North Lanarkshire</v>
      </c>
      <c r="D7" s="217">
        <f>VLOOKUP($C7,'Raw - SME Procurement'!$A:$P,2,FALSE)</f>
        <v>28.262777400000001</v>
      </c>
      <c r="E7" s="217">
        <f>VLOOKUP($C7,'Raw - SME Procurement'!$A:$P,3,FALSE)</f>
        <v>26.160042000000001</v>
      </c>
      <c r="F7" s="217">
        <f>VLOOKUP($C7,'Raw - SME Procurement'!$A:$P,4,FALSE)</f>
        <v>25.36</v>
      </c>
      <c r="G7" s="217">
        <f>VLOOKUP($C7,'Raw - SME Procurement'!$A:$P,5,FALSE)</f>
        <v>27.806623267733499</v>
      </c>
      <c r="H7" s="219">
        <f>IFERROR(SUM(G7-D7),"-")</f>
        <v>-0.45615413226650148</v>
      </c>
      <c r="I7" s="221">
        <f t="shared" ref="I7:I14" si="0">IF(IF($I$5="lgbf family Group Average",SUM(G$18-G7),IF($I$5="City Region Comparator",SUM(G$19-G7),IF($I$5="Scotland",SUM(G$20-G7),IF($I$5="United Kingdom",SUM(G$21-G7),SUM(G$17-G7)))))&lt;0,"",IF($I$5="lgbf family Group Average",SUM(G$18-G7),IF($I$5="City Region Comparator",SUM(G$19-G7),IF($I$5="Scotland",SUM(G$20-G7),IF($I$5="United Kingdom",SUM(G$21-G7),SUM(G$17-G7))))))</f>
        <v>21.2811647399568</v>
      </c>
    </row>
    <row r="8" spans="2:12" s="137" customFormat="1" ht="19.5" customHeight="1">
      <c r="B8" s="216" t="s">
        <v>153</v>
      </c>
      <c r="C8" s="216" t="str">
        <f>IF(C$6="LGBF Family Group 1",Lookups!I29,IF(C$6="LGBF Family Group 2",Lookups!J29,IF(C$6="LGBF Family Group 3",Lookups!K29,Lookups!L29)))</f>
        <v>Falkirk</v>
      </c>
      <c r="D8" s="217">
        <f>VLOOKUP($C8,'Raw - SME Procurement'!$A:$P,2,FALSE)</f>
        <v>32.996319800000002</v>
      </c>
      <c r="E8" s="217">
        <f>VLOOKUP($C8,'Raw - SME Procurement'!$A:$P,3,FALSE)</f>
        <v>36.204939899999999</v>
      </c>
      <c r="F8" s="217">
        <f>VLOOKUP($C8,'Raw - SME Procurement'!$A:$P,4,FALSE)</f>
        <v>27.800000000000004</v>
      </c>
      <c r="G8" s="217">
        <f>VLOOKUP($C8,'Raw - SME Procurement'!$A:$P,5,FALSE)</f>
        <v>27.0371272419079</v>
      </c>
      <c r="H8" s="219">
        <f t="shared" ref="H8:H20" si="1">IFERROR(SUM(G8-D8),"-")</f>
        <v>-5.9591925580921021</v>
      </c>
      <c r="I8" s="221">
        <f t="shared" si="0"/>
        <v>22.0506607657824</v>
      </c>
    </row>
    <row r="9" spans="2:12" s="137" customFormat="1" ht="19.5" customHeight="1">
      <c r="B9" s="216" t="s">
        <v>153</v>
      </c>
      <c r="C9" s="216" t="str">
        <f>IF(C$6="LGBF Family Group 1",Lookups!I30,IF(C$6="LGBF Family Group 2",Lookups!J30,IF(C$6="LGBF Family Group 3",Lookups!K30,Lookups!L30)))</f>
        <v>East Dunbartonshire</v>
      </c>
      <c r="D9" s="217">
        <f>VLOOKUP($C9,'Raw - SME Procurement'!$A:$P,2,FALSE)</f>
        <v>18.270622700000001</v>
      </c>
      <c r="E9" s="217">
        <f>VLOOKUP($C9,'Raw - SME Procurement'!$A:$P,3,FALSE)</f>
        <v>12.2332637</v>
      </c>
      <c r="F9" s="217">
        <f>VLOOKUP($C9,'Raw - SME Procurement'!$A:$P,4,FALSE)</f>
        <v>12.19</v>
      </c>
      <c r="G9" s="217">
        <f>VLOOKUP($C9,'Raw - SME Procurement'!$A:$P,5,FALSE)</f>
        <v>12.1828387867206</v>
      </c>
      <c r="H9" s="219">
        <f t="shared" si="1"/>
        <v>-6.0877839132794005</v>
      </c>
      <c r="I9" s="221">
        <f t="shared" si="0"/>
        <v>36.904949220969698</v>
      </c>
    </row>
    <row r="10" spans="2:12" s="137" customFormat="1" ht="19.5" customHeight="1">
      <c r="B10" s="216" t="s">
        <v>153</v>
      </c>
      <c r="C10" s="216" t="str">
        <f>IF(C$6="LGBF Family Group 1",Lookups!I31,IF(C$6="LGBF Family Group 2",Lookups!J31,IF(C$6="LGBF Family Group 3",Lookups!K31,Lookups!L31)))</f>
        <v>Aberdeen City</v>
      </c>
      <c r="D10" s="217">
        <f>VLOOKUP($C10,'Raw - SME Procurement'!$A:$P,2,FALSE)</f>
        <v>32.2265625</v>
      </c>
      <c r="E10" s="217">
        <f>VLOOKUP($C10,'Raw - SME Procurement'!$A:$P,3,FALSE)</f>
        <v>37.525362299999998</v>
      </c>
      <c r="F10" s="217">
        <f>VLOOKUP($C10,'Raw - SME Procurement'!$A:$P,4,FALSE)</f>
        <v>38.369999999999997</v>
      </c>
      <c r="G10" s="217">
        <f>VLOOKUP($C10,'Raw - SME Procurement'!$A:$P,5,FALSE)</f>
        <v>35.651188629329603</v>
      </c>
      <c r="H10" s="219">
        <f t="shared" si="1"/>
        <v>3.424626129329603</v>
      </c>
      <c r="I10" s="221">
        <f t="shared" si="0"/>
        <v>13.436599378360697</v>
      </c>
    </row>
    <row r="11" spans="2:12" s="137" customFormat="1" ht="19.5" customHeight="1">
      <c r="B11" s="216" t="s">
        <v>153</v>
      </c>
      <c r="C11" s="216" t="str">
        <f>IF(C$6="LGBF Family Group 1",Lookups!I32,IF(C$6="LGBF Family Group 2",Lookups!J32,IF(C$6="LGBF Family Group 3",Lookups!K32,Lookups!L32)))</f>
        <v>Edinburgh, City of</v>
      </c>
      <c r="D11" s="217">
        <f>VLOOKUP($C11,'Raw - SME Procurement'!$A:$P,2,FALSE)</f>
        <v>39.032422400000002</v>
      </c>
      <c r="E11" s="217">
        <f>VLOOKUP($C11,'Raw - SME Procurement'!$A:$P,3,FALSE)</f>
        <v>40.898764</v>
      </c>
      <c r="F11" s="217">
        <f>VLOOKUP($C11,'Raw - SME Procurement'!$A:$P,4,FALSE)</f>
        <v>36.79</v>
      </c>
      <c r="G11" s="217">
        <f>VLOOKUP($C11,'Raw - SME Procurement'!$A:$P,5,FALSE)</f>
        <v>36.495360586318697</v>
      </c>
      <c r="H11" s="219">
        <f t="shared" si="1"/>
        <v>-2.537061813681305</v>
      </c>
      <c r="I11" s="221">
        <f t="shared" si="0"/>
        <v>12.592427421371603</v>
      </c>
    </row>
    <row r="12" spans="2:12" s="137" customFormat="1" ht="19.5" customHeight="1">
      <c r="B12" s="216" t="s">
        <v>153</v>
      </c>
      <c r="C12" s="216" t="str">
        <f>IF(C$6="LGBF Family Group 1",Lookups!I33,IF(C$6="LGBF Family Group 2",Lookups!J33,IF(C$6="LGBF Family Group 3",Lookups!K33,Lookups!L33)))</f>
        <v>West Dunbartonshire</v>
      </c>
      <c r="D12" s="217">
        <f>VLOOKUP($C12,'Raw - SME Procurement'!$A:$P,2,FALSE)</f>
        <v>8.232311000000001</v>
      </c>
      <c r="E12" s="217">
        <f>VLOOKUP($C12,'Raw - SME Procurement'!$A:$P,3,FALSE)</f>
        <v>9.4760051999999995</v>
      </c>
      <c r="F12" s="217">
        <f>VLOOKUP($C12,'Raw - SME Procurement'!$A:$P,4,FALSE)</f>
        <v>12.67</v>
      </c>
      <c r="G12" s="217">
        <f>VLOOKUP($C12,'Raw - SME Procurement'!$A:$P,5,FALSE)</f>
        <v>16.704052091068601</v>
      </c>
      <c r="H12" s="219">
        <f t="shared" si="1"/>
        <v>8.4717410910685995</v>
      </c>
      <c r="I12" s="221">
        <f t="shared" si="0"/>
        <v>32.383735916621703</v>
      </c>
    </row>
    <row r="13" spans="2:12" s="137" customFormat="1" ht="19.5" customHeight="1">
      <c r="B13" s="216" t="s">
        <v>153</v>
      </c>
      <c r="C13" s="216" t="str">
        <f>IF(C$6="LGBF Family Group 1",Lookups!I34,IF(C$6="LGBF Family Group 2",Lookups!J34,IF(C$6="LGBF Family Group 3",Lookups!K34,Lookups!L34)))</f>
        <v>Dundee City</v>
      </c>
      <c r="D13" s="217">
        <f>VLOOKUP($C13,'Raw - SME Procurement'!$A:$P,2,FALSE)</f>
        <v>39.395326400000002</v>
      </c>
      <c r="E13" s="217">
        <f>VLOOKUP($C13,'Raw - SME Procurement'!$A:$P,3,FALSE)</f>
        <v>37.490202700000005</v>
      </c>
      <c r="F13" s="217">
        <f>VLOOKUP($C13,'Raw - SME Procurement'!$A:$P,4,FALSE)</f>
        <v>36.01</v>
      </c>
      <c r="G13" s="217">
        <f>VLOOKUP($C13,'Raw - SME Procurement'!$A:$P,5,FALSE)</f>
        <v>38.854143976895799</v>
      </c>
      <c r="H13" s="219">
        <f t="shared" si="1"/>
        <v>-0.54118242310420328</v>
      </c>
      <c r="I13" s="221">
        <f t="shared" si="0"/>
        <v>10.233644030794501</v>
      </c>
    </row>
    <row r="14" spans="2:12" s="137" customFormat="1" ht="19.5" customHeight="1">
      <c r="B14" s="216" t="s">
        <v>153</v>
      </c>
      <c r="C14" s="216" t="str">
        <f>IF(C$6="LGBF Family Group 1",Lookups!I35,IF(C$6="LGBF Family Group 2",Lookups!J35,IF(C$6="LGBF Family Group 3",Lookups!K35,Lookups!L35)))</f>
        <v>Glasgow City</v>
      </c>
      <c r="D14" s="217">
        <f>VLOOKUP($C14,'Raw - SME Procurement'!$A:$P,2,FALSE)</f>
        <v>33.250495100000002</v>
      </c>
      <c r="E14" s="217">
        <f>VLOOKUP($C14,'Raw - SME Procurement'!$A:$P,3,FALSE)</f>
        <v>35.937619399999996</v>
      </c>
      <c r="F14" s="217">
        <f>VLOOKUP($C14,'Raw - SME Procurement'!$A:$P,4,FALSE)</f>
        <v>37.059999999999995</v>
      </c>
      <c r="G14" s="217">
        <f>VLOOKUP($C14,'Raw - SME Procurement'!$A:$P,5,FALSE)</f>
        <v>36.7532025012733</v>
      </c>
      <c r="H14" s="219">
        <f t="shared" si="1"/>
        <v>3.5027074012732982</v>
      </c>
      <c r="I14" s="221">
        <f t="shared" si="0"/>
        <v>12.334585506417</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5"/>
      <c r="I16" s="225"/>
    </row>
    <row r="17" spans="2:9" s="137" customFormat="1" ht="19.5" customHeight="1">
      <c r="B17" s="226" t="s">
        <v>52</v>
      </c>
      <c r="C17" s="216" t="str">
        <f>INDEX('Raw - SME Procurement'!$A$9:$A$40,MATCH(MAX('Raw - SME Procurement'!E9:E40),'Raw - SME Procurement'!E9:E40,0))</f>
        <v>Highland</v>
      </c>
      <c r="D17" s="217">
        <f>VLOOKUP($C17,'Raw - SME Procurement'!$A:$P,2,FALSE)</f>
        <v>47.2623897</v>
      </c>
      <c r="E17" s="217">
        <f>VLOOKUP($C17,'Raw - SME Procurement'!$A:$P,3,FALSE)</f>
        <v>46.994190000000003</v>
      </c>
      <c r="F17" s="217">
        <f>VLOOKUP($C17,'Raw - SME Procurement'!$A:$P,4,FALSE)</f>
        <v>49.76</v>
      </c>
      <c r="G17" s="217">
        <f>VLOOKUP($C17,'Raw - SME Procurement'!$A:$P,5,FALSE)</f>
        <v>49.0877880076903</v>
      </c>
      <c r="H17" s="219">
        <f t="shared" si="1"/>
        <v>1.8253983076902998</v>
      </c>
    </row>
    <row r="18" spans="2:9" s="137" customFormat="1" ht="19.5" customHeight="1">
      <c r="B18" s="226" t="s">
        <v>271</v>
      </c>
      <c r="C18" s="227" t="s">
        <v>248</v>
      </c>
      <c r="D18" s="217">
        <f>VLOOKUP($C18,'Raw - SME Procurement'!$A:$P,2,FALSE)</f>
        <v>20.45619915</v>
      </c>
      <c r="E18" s="217">
        <f>VLOOKUP($C18,'Raw - SME Procurement'!$A:$P,3,FALSE)</f>
        <v>20.263348337499998</v>
      </c>
      <c r="F18" s="217">
        <f>VLOOKUP($C18,'Raw - SME Procurement'!$A:$P,4,FALSE)</f>
        <v>21.9575</v>
      </c>
      <c r="G18" s="217">
        <f>VLOOKUP($C18,'Raw - SME Procurement'!$A:$P,5,FALSE)</f>
        <v>21.015897420016262</v>
      </c>
      <c r="H18" s="219">
        <f t="shared" si="1"/>
        <v>0.55969827001626271</v>
      </c>
    </row>
    <row r="19" spans="2:9" s="137" customFormat="1" ht="19.5" customHeight="1">
      <c r="B19" s="226" t="s">
        <v>270</v>
      </c>
      <c r="C19" s="216" t="s">
        <v>48</v>
      </c>
      <c r="D19" s="217">
        <f>VLOOKUP($C19,'Raw - SME Procurement'!$A:$P,2,FALSE)</f>
        <v>20.663230062499998</v>
      </c>
      <c r="E19" s="217">
        <f>VLOOKUP($C19,'Raw - SME Procurement'!$A:$P,3,FALSE)</f>
        <v>19.548374837499999</v>
      </c>
      <c r="F19" s="217">
        <f>VLOOKUP($C19,'Raw - SME Procurement'!$A:$P,4,FALSE)</f>
        <v>19.939999999999998</v>
      </c>
      <c r="G19" s="217">
        <f>VLOOKUP($C19,'Raw - SME Procurement'!$A:$P,5,FALSE)</f>
        <v>20.851827763251688</v>
      </c>
      <c r="H19" s="219">
        <f t="shared" si="1"/>
        <v>0.18859770075168925</v>
      </c>
    </row>
    <row r="20" spans="2:9" s="137" customFormat="1" ht="19.5" customHeight="1">
      <c r="B20" s="226" t="s">
        <v>164</v>
      </c>
      <c r="C20" s="216" t="s">
        <v>46</v>
      </c>
      <c r="D20" s="217">
        <f>VLOOKUP($C20,'Raw - SME Procurement'!$A:$P,2,FALSE)</f>
        <v>28.714844309823107</v>
      </c>
      <c r="E20" s="217">
        <f>VLOOKUP($C20,'Raw - SME Procurement'!$A:$P,3,FALSE)</f>
        <v>28.513663700000002</v>
      </c>
      <c r="F20" s="217">
        <f>VLOOKUP($C20,'Raw - SME Procurement'!$A:$P,4,FALSE)</f>
        <v>29.113044006897482</v>
      </c>
      <c r="G20" s="217">
        <f>VLOOKUP($C20,'Raw - SME Procurement'!$A:$P,5,FALSE)</f>
        <v>29.9</v>
      </c>
      <c r="H20" s="219">
        <f t="shared" si="1"/>
        <v>1.1851556901768916</v>
      </c>
    </row>
    <row r="21" spans="2:9" s="137" customFormat="1" ht="19.5" customHeight="1">
      <c r="B21" s="226" t="s">
        <v>164</v>
      </c>
      <c r="C21" s="216" t="s">
        <v>47</v>
      </c>
      <c r="D21" s="217" t="s">
        <v>71</v>
      </c>
      <c r="E21" s="217" t="s">
        <v>71</v>
      </c>
      <c r="F21" s="217" t="s">
        <v>71</v>
      </c>
      <c r="G21" s="217" t="s">
        <v>71</v>
      </c>
      <c r="H21" s="219" t="s">
        <v>71</v>
      </c>
    </row>
    <row r="22" spans="2:9" ht="19.5" customHeight="1">
      <c r="C22" s="189"/>
      <c r="D22" s="190"/>
      <c r="E22" s="190"/>
      <c r="F22" s="190"/>
      <c r="G22" s="190"/>
      <c r="H22" s="190"/>
      <c r="I22" s="190"/>
    </row>
    <row r="23" spans="2:9">
      <c r="D23" s="191"/>
      <c r="E23" s="191"/>
      <c r="F23" s="192" t="str">
        <f>CONCATENATE(G23,H23)</f>
        <v>% Point Change Required to match Geographic Area - Top Performing Scottish Local Authority</v>
      </c>
      <c r="G23" s="192" t="s">
        <v>241</v>
      </c>
      <c r="H23" s="192" t="str">
        <f>I5</f>
        <v>Top Performing Scottish Local Authority</v>
      </c>
    </row>
    <row r="24" spans="2:9">
      <c r="B24" s="193" t="s">
        <v>207</v>
      </c>
    </row>
    <row r="25" spans="2:9">
      <c r="H25" s="195"/>
      <c r="I25" s="195"/>
    </row>
  </sheetData>
  <sheetProtection algorithmName="SHA-512" hashValue="WkKBr2BVRH/gQU/rbRtzyAZOF8Z7NBZVYstUiCpzHx4qnRmeIDhXBHykBUTd5AvNz1gefIY9P2YBVotwu0ccXQ==" saltValue="DSWmMfnrJRdWdVc70W1xhw==" spinCount="100000" sheet="1" sort="0"/>
  <mergeCells count="1">
    <mergeCell ref="F2:G2"/>
  </mergeCells>
  <hyperlinks>
    <hyperlink ref="C3" r:id="rId1" xr:uid="{00000000-0004-0000-2900-000000000000}"/>
    <hyperlink ref="F2:G2" location="'Index RAG'!A1" display="Return to Index RAG" xr:uid="{00000000-0004-0000-29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EABC415-FBA5-4892-8FFC-15D2E9EECBB6}">
          <x14:formula1>
            <xm:f>Lookups!$B$27:$E$27</xm:f>
          </x14:formula1>
          <xm:sqref>C6</xm:sqref>
        </x14:dataValidation>
        <x14:dataValidation type="list" allowBlank="1" showInputMessage="1" showErrorMessage="1" xr:uid="{753DC11F-F76C-4DB1-A854-1E14B6B417DC}">
          <x14:formula1>
            <xm:f>Lookups!$B$9:$B$12</xm:f>
          </x14:formula1>
          <xm:sqref>I5</xm:sqref>
        </x14:dataValidation>
        <x14:dataValidation type="list" allowBlank="1" showInputMessage="1" showErrorMessage="1" xr:uid="{7423A830-B7E3-4B94-A894-9CDE7FDD6E6A}">
          <x14:formula1>
            <xm:f>Lookups!$B$36:$E$36</xm:f>
          </x14:formula1>
          <xm:sqref>C18</xm:sqref>
        </x14:dataValidation>
        <x14:dataValidation type="list" allowBlank="1" showInputMessage="1" showErrorMessage="1" xr:uid="{DCCCFEBF-BD58-4681-BF97-6EAF09420D21}">
          <x14:formula1>
            <xm:f>Lookups!$Q$3:$Q$7</xm:f>
          </x14:formula1>
          <xm:sqref>C19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B1:K24"/>
  <sheetViews>
    <sheetView topLeftCell="A6" zoomScaleNormal="100" workbookViewId="0">
      <selection activeCell="F2" sqref="F2:G2"/>
    </sheetView>
  </sheetViews>
  <sheetFormatPr defaultColWidth="9.140625" defaultRowHeight="12"/>
  <cols>
    <col min="1" max="1" width="9.140625" style="145"/>
    <col min="2" max="2" width="31.85546875" style="145" customWidth="1"/>
    <col min="3" max="3" width="24" style="145" customWidth="1" collapsed="1"/>
    <col min="4" max="6" width="14" style="145" customWidth="1" collapsed="1"/>
    <col min="7" max="11" width="14" style="145" customWidth="1"/>
    <col min="12" max="16384" width="9.140625" style="145"/>
  </cols>
  <sheetData>
    <row r="1" spans="2:11">
      <c r="C1" s="170" t="str">
        <f>CONCATENATE(C2,D1,C6)</f>
        <v>Social Enterprise Rate (per 10,000 total population) - LGBF Family Group 4</v>
      </c>
      <c r="D1" s="170" t="s">
        <v>290</v>
      </c>
    </row>
    <row r="2" spans="2:11" ht="12.75">
      <c r="B2" s="171" t="s">
        <v>49</v>
      </c>
      <c r="C2" s="172" t="s">
        <v>160</v>
      </c>
      <c r="F2" s="467" t="s">
        <v>216</v>
      </c>
      <c r="G2" s="468"/>
    </row>
    <row r="3" spans="2:11" ht="12.75">
      <c r="B3" s="171" t="s">
        <v>50</v>
      </c>
      <c r="C3" s="309" t="s">
        <v>161</v>
      </c>
    </row>
    <row r="4" spans="2:11" ht="12.75">
      <c r="B4" s="172"/>
      <c r="C4" s="175" t="s">
        <v>208</v>
      </c>
      <c r="D4" s="176"/>
      <c r="J4" s="463" t="s">
        <v>53</v>
      </c>
      <c r="K4" s="463"/>
    </row>
    <row r="5" spans="2:11" ht="21.95" customHeight="1">
      <c r="C5" s="177"/>
      <c r="D5" s="178"/>
      <c r="E5" s="178"/>
      <c r="F5" s="178"/>
      <c r="G5" s="178"/>
      <c r="H5" s="464" t="s">
        <v>51</v>
      </c>
      <c r="I5" s="465"/>
      <c r="J5" s="471" t="s">
        <v>52</v>
      </c>
      <c r="K5" s="472"/>
    </row>
    <row r="6" spans="2:11" ht="26.1" customHeight="1">
      <c r="B6" s="179" t="s">
        <v>166</v>
      </c>
      <c r="C6" s="180" t="s">
        <v>245</v>
      </c>
      <c r="D6" s="181">
        <v>2015</v>
      </c>
      <c r="E6" s="181">
        <v>2017</v>
      </c>
      <c r="F6" s="181">
        <v>2019</v>
      </c>
      <c r="G6" s="181">
        <v>2021</v>
      </c>
      <c r="H6" s="182" t="s">
        <v>54</v>
      </c>
      <c r="I6" s="182" t="s">
        <v>55</v>
      </c>
      <c r="J6" s="182" t="s">
        <v>57</v>
      </c>
      <c r="K6" s="182" t="s">
        <v>58</v>
      </c>
    </row>
    <row r="7" spans="2:11" s="137" customFormat="1" ht="19.5" customHeight="1">
      <c r="B7" s="216" t="s">
        <v>153</v>
      </c>
      <c r="C7" s="216" t="str">
        <f>IF(C$6="LGBF Family Group 1",Lookups!I28,IF(C$6="LGBF Family Group 2",Lookups!J28,IF(C$6="LGBF Family Group 3",Lookups!K28,Lookups!L28)))</f>
        <v>North Lanarkshire</v>
      </c>
      <c r="D7" s="217">
        <f>VLOOKUP($C7,'Raw - Social Enterprises'!$A:$Q,4,FALSE)</f>
        <v>3.1632472062910186</v>
      </c>
      <c r="E7" s="217">
        <f>VLOOKUP($C7,'Raw - Social Enterprises'!$A:$Q,8,FALSE)</f>
        <v>3.0591834333450993</v>
      </c>
      <c r="F7" s="217">
        <f>VLOOKUP($C7,'Raw - Social Enterprises'!$A:$Q,12,FALSE)</f>
        <v>3.193016375194071</v>
      </c>
      <c r="G7" s="217">
        <f>VLOOKUP($C7,'Raw - Social Enterprises'!$A:$Q,16,FALSE)</f>
        <v>3.3391915641476273</v>
      </c>
      <c r="H7" s="219">
        <f>SUM(G7-E7)</f>
        <v>0.28000813080252795</v>
      </c>
      <c r="I7" s="220">
        <f>SUM(VLOOKUP(C7,'Raw - Social Enterprises'!A:Q,14,FALSE)-VLOOKUP(C7,'Raw - Social Enterprises'!A:Q,2,FALSE))</f>
        <v>7</v>
      </c>
      <c r="J7" s="221">
        <f t="shared" ref="J7:J14" si="0">IF(IF($J$5="LGBF family Group Average",SUM(G$17-G7),IF($J$5="City Region Comparator",SUM(G$18-G7),IF($J$5="Scotland",SUM(G$19-G7),IF($J$5="United Kingdom",SUM(G$20-G7),SUM(G$16-G7)))))&lt;0,"",IF($J$5="LGBF family Group Average",SUM(G$17-G7),IF($J$5="City Region Comparator",SUM(G$18-G7),IF($J$5="Scotland",SUM(G$19-G7),IF($J$5="United Kingdom",SUM(G$20-G7),SUM(G$16-G7))))))</f>
        <v>43.304226047011923</v>
      </c>
      <c r="K7" s="222">
        <f>IF(J7="","",IF($J$5="lgbf family Group Average",SUM(MROUND(SUM(SUM(VLOOKUP(C$17,'Raw - Social Enterprises'!A:Q,16,FALSE)*VLOOKUP(C7,'Raw - Social Enterprises'!A:Q,15,FALSE))),100)-MROUND(SUM(SUM(VLOOKUP(C7,'Raw - Social Enterprises'!A:Q,16,FALSE)*VLOOKUP(C7,'Raw - Social Enterprises'!A:Q,15,FALSE))),100)),IF($J$5="City Region Comparator",SUM(MROUND(SUM(SUM(VLOOKUP(C$18,'Raw - Social Enterprises'!A:Q,16,FALSE)*VLOOKUP(C7,'Raw - Social Enterprises'!A:Q,15,FALSE))),100)-MROUND(SUM(SUM(VLOOKUP(C7,'Raw - Social Enterprises'!A:Q,16,FALSE)*VLOOKUP(C7,'Raw - Social Enterprises'!A:Q,15,FALSE))),100)),IF($J$5="Scotland",SUM(MROUND(SUM(SUM(VLOOKUP(C$19,'Raw - Social Enterprises'!A:Q,16,FALSE)*VLOOKUP(C7,'Raw - Social Enterprises'!A:Q,15,FALSE))),100)-MROUND(SUM(SUM(VLOOKUP(C7,'Raw - Social Enterprises'!A:Q,16,FALSE)*VLOOKUP(C7,'Raw - Social Enterprises'!A:Q,15,FALSE))),100)),IF($J$5="United Kingdom",SUM(MROUND(SUM(SUM(VLOOKUP(C$20,'Raw - Social Enterprises'!A:Q,16,FALSE)*VLOOKUP(C7,'Raw - Social Enterprises'!A:Q,15,FALSE))),100)-MROUND(SUM(SUM(VLOOKUP(C7,'Raw - Social Enterprises'!A:Q,16,FALSE)*VLOOKUP(C7,'Raw - Social Enterprises'!A:Q,15,FALSE))),100)),SUM(MROUND(SUM(SUM(VLOOKUP(C$16,'Raw - Social Enterprises'!A:Q,16,FALSE)*VLOOKUP(C7,'Raw - Social Enterprises'!A:Q,15,FALSE))),100)-MROUND(SUM(SUM(VLOOKUP(C7,'Raw - Social Enterprises'!A:Q,16,FALSE)*VLOOKUP(C7,'Raw - Social Enterprises'!A:Q,15,FALSE))),100)))))))</f>
        <v>1500</v>
      </c>
    </row>
    <row r="8" spans="2:11" s="137" customFormat="1" ht="19.5" customHeight="1">
      <c r="B8" s="216" t="s">
        <v>153</v>
      </c>
      <c r="C8" s="216" t="str">
        <f>IF(C$6="LGBF Family Group 1",Lookups!I29,IF(C$6="LGBF Family Group 2",Lookups!J29,IF(C$6="LGBF Family Group 3",Lookups!K29,Lookups!L29)))</f>
        <v>Falkirk</v>
      </c>
      <c r="D8" s="217">
        <f>VLOOKUP($C8,'Raw - Social Enterprises'!$A:$Q,4,FALSE)</f>
        <v>4.9854852959737475</v>
      </c>
      <c r="E8" s="217">
        <f>VLOOKUP($C8,'Raw - Social Enterprises'!$A:$Q,8,FALSE)</f>
        <v>5.4330856179354265</v>
      </c>
      <c r="F8" s="217">
        <f>VLOOKUP($C8,'Raw - Social Enterprises'!$A:$Q,12,FALSE)</f>
        <v>5.6560382870284052</v>
      </c>
      <c r="G8" s="217">
        <f>VLOOKUP($C8,'Raw - Social Enterprises'!$A:$Q,16,FALSE)</f>
        <v>5.8494088363410084</v>
      </c>
      <c r="H8" s="219">
        <f t="shared" ref="H8:H14" si="1">SUM(G8-E8)</f>
        <v>0.41632321840558184</v>
      </c>
      <c r="I8" s="220">
        <f>SUM(VLOOKUP(C8,'Raw - Social Enterprises'!A:Q,14,FALSE)-VLOOKUP(C8,'Raw - Social Enterprises'!A:Q,2,FALSE))</f>
        <v>15</v>
      </c>
      <c r="J8" s="221">
        <f t="shared" si="0"/>
        <v>40.794008774818543</v>
      </c>
      <c r="K8" s="222">
        <f>IF(J8="","",IF($J$5="lgbf family Group Average",SUM(MROUND(SUM(SUM(VLOOKUP(C$17,'Raw - Social Enterprises'!A:Q,16,FALSE)*VLOOKUP(C8,'Raw - Social Enterprises'!A:Q,15,FALSE))),100)-MROUND(SUM(SUM(VLOOKUP(C8,'Raw - Social Enterprises'!A:Q,16,FALSE)*VLOOKUP(C8,'Raw - Social Enterprises'!A:Q,15,FALSE))),100)),IF($J$5="City Region Comparator",SUM(MROUND(SUM(SUM(VLOOKUP(C$18,'Raw - Social Enterprises'!A:Q,16,FALSE)*VLOOKUP(C8,'Raw - Social Enterprises'!A:Q,15,FALSE))),100)-MROUND(SUM(SUM(VLOOKUP(C8,'Raw - Social Enterprises'!A:Q,16,FALSE)*VLOOKUP(C8,'Raw - Social Enterprises'!A:Q,15,FALSE))),100)),IF($J$5="Scotland",SUM(MROUND(SUM(SUM(VLOOKUP(C$19,'Raw - Social Enterprises'!A:Q,16,FALSE)*VLOOKUP(C8,'Raw - Social Enterprises'!A:Q,15,FALSE))),100)-MROUND(SUM(SUM(VLOOKUP(C8,'Raw - Social Enterprises'!A:Q,16,FALSE)*VLOOKUP(C8,'Raw - Social Enterprises'!A:Q,15,FALSE))),100)),IF($J$5="United Kingdom",SUM(MROUND(SUM(SUM(VLOOKUP(C$20,'Raw - Social Enterprises'!A:Q,16,FALSE)*VLOOKUP(C8,'Raw - Social Enterprises'!A:Q,15,FALSE))),100)-MROUND(SUM(SUM(VLOOKUP(C8,'Raw - Social Enterprises'!A:Q,16,FALSE)*VLOOKUP(C8,'Raw - Social Enterprises'!A:Q,15,FALSE))),100)),SUM(MROUND(SUM(SUM(VLOOKUP(C$16,'Raw - Social Enterprises'!A:Q,16,FALSE)*VLOOKUP(C8,'Raw - Social Enterprises'!A:Q,15,FALSE))),100)-MROUND(SUM(SUM(VLOOKUP(C8,'Raw - Social Enterprises'!A:Q,16,FALSE)*VLOOKUP(C8,'Raw - Social Enterprises'!A:Q,15,FALSE))),100)))))))</f>
        <v>600</v>
      </c>
    </row>
    <row r="9" spans="2:11" s="137" customFormat="1" ht="19.5" customHeight="1">
      <c r="B9" s="216" t="s">
        <v>153</v>
      </c>
      <c r="C9" s="216" t="str">
        <f>IF(C$6="LGBF Family Group 1",Lookups!I30,IF(C$6="LGBF Family Group 2",Lookups!J30,IF(C$6="LGBF Family Group 3",Lookups!K30,Lookups!L30)))</f>
        <v>East Dunbartonshire</v>
      </c>
      <c r="D9" s="217">
        <f>VLOOKUP($C9,'Raw - Social Enterprises'!$A:$Q,4,FALSE)</f>
        <v>4.7681376215407631</v>
      </c>
      <c r="E9" s="217">
        <f>VLOOKUP($C9,'Raw - Social Enterprises'!$A:$Q,8,FALSE)</f>
        <v>4.8090261722001291</v>
      </c>
      <c r="F9" s="217">
        <f>VLOOKUP($C9,'Raw - Social Enterprises'!$A:$Q,12,FALSE)</f>
        <v>5.5228276877761413</v>
      </c>
      <c r="G9" s="217">
        <f>VLOOKUP($C9,'Raw - Social Enterprises'!$A:$Q,16,FALSE)</f>
        <v>5.0505050505050502</v>
      </c>
      <c r="H9" s="219">
        <f t="shared" si="1"/>
        <v>0.2414788783049211</v>
      </c>
      <c r="I9" s="220">
        <f>SUM(VLOOKUP(C9,'Raw - Social Enterprises'!A:Q,14,FALSE)-VLOOKUP(C9,'Raw - Social Enterprises'!A:Q,2,FALSE))</f>
        <v>4</v>
      </c>
      <c r="J9" s="221">
        <f t="shared" si="0"/>
        <v>41.592912560654497</v>
      </c>
      <c r="K9" s="222">
        <f>IF(J9="","",IF($J$5="lgbf family Group Average",SUM(MROUND(SUM(SUM(VLOOKUP(C$17,'Raw - Social Enterprises'!A:Q,16,FALSE)*VLOOKUP(C9,'Raw - Social Enterprises'!A:Q,15,FALSE))),100)-MROUND(SUM(SUM(VLOOKUP(C9,'Raw - Social Enterprises'!A:Q,16,FALSE)*VLOOKUP(C9,'Raw - Social Enterprises'!A:Q,15,FALSE))),100)),IF($J$5="City Region Comparator",SUM(MROUND(SUM(SUM(VLOOKUP(C$18,'Raw - Social Enterprises'!A:Q,16,FALSE)*VLOOKUP(C9,'Raw - Social Enterprises'!A:Q,15,FALSE))),100)-MROUND(SUM(SUM(VLOOKUP(C9,'Raw - Social Enterprises'!A:Q,16,FALSE)*VLOOKUP(C9,'Raw - Social Enterprises'!A:Q,15,FALSE))),100)),IF($J$5="Scotland",SUM(MROUND(SUM(SUM(VLOOKUP(C$19,'Raw - Social Enterprises'!A:Q,16,FALSE)*VLOOKUP(C9,'Raw - Social Enterprises'!A:Q,15,FALSE))),100)-MROUND(SUM(SUM(VLOOKUP(C9,'Raw - Social Enterprises'!A:Q,16,FALSE)*VLOOKUP(C9,'Raw - Social Enterprises'!A:Q,15,FALSE))),100)),IF($J$5="United Kingdom",SUM(MROUND(SUM(SUM(VLOOKUP(C$20,'Raw - Social Enterprises'!A:Q,16,FALSE)*VLOOKUP(C9,'Raw - Social Enterprises'!A:Q,15,FALSE))),100)-MROUND(SUM(SUM(VLOOKUP(C9,'Raw - Social Enterprises'!A:Q,16,FALSE)*VLOOKUP(C9,'Raw - Social Enterprises'!A:Q,15,FALSE))),100)),SUM(MROUND(SUM(SUM(VLOOKUP(C$16,'Raw - Social Enterprises'!A:Q,16,FALSE)*VLOOKUP(C9,'Raw - Social Enterprises'!A:Q,15,FALSE))),100)-MROUND(SUM(SUM(VLOOKUP(C9,'Raw - Social Enterprises'!A:Q,16,FALSE)*VLOOKUP(C9,'Raw - Social Enterprises'!A:Q,15,FALSE))),100)))))))</f>
        <v>400</v>
      </c>
    </row>
    <row r="10" spans="2:11" s="137" customFormat="1" ht="19.5" customHeight="1">
      <c r="B10" s="216" t="s">
        <v>153</v>
      </c>
      <c r="C10" s="216" t="str">
        <f>IF(C$6="LGBF Family Group 1",Lookups!I31,IF(C$6="LGBF Family Group 2",Lookups!J31,IF(C$6="LGBF Family Group 3",Lookups!K31,Lookups!L31)))</f>
        <v>Aberdeen City</v>
      </c>
      <c r="D10" s="217">
        <f>VLOOKUP($C10,'Raw - Social Enterprises'!$A:$Q,4,FALSE)</f>
        <v>5.5133492511395703</v>
      </c>
      <c r="E10" s="217">
        <f>VLOOKUP($C10,'Raw - Social Enterprises'!$A:$Q,8,FALSE)</f>
        <v>6.0751748251748259</v>
      </c>
      <c r="F10" s="217">
        <f>VLOOKUP($C10,'Raw - Social Enterprises'!$A:$Q,12,FALSE)</f>
        <v>6.6034022827655567</v>
      </c>
      <c r="G10" s="217">
        <f>VLOOKUP($C10,'Raw - Social Enterprises'!$A:$Q,16,FALSE)</f>
        <v>6.5074968122059538</v>
      </c>
      <c r="H10" s="219">
        <f t="shared" si="1"/>
        <v>0.4323219870311279</v>
      </c>
      <c r="I10" s="220">
        <f>SUM(VLOOKUP(C10,'Raw - Social Enterprises'!A:Q,14,FALSE)-VLOOKUP(C10,'Raw - Social Enterprises'!A:Q,2,FALSE))</f>
        <v>21</v>
      </c>
      <c r="J10" s="221">
        <f t="shared" si="0"/>
        <v>40.135920798953592</v>
      </c>
      <c r="K10" s="222">
        <f>IF(J10="","",IF($J$5="lgbf family Group Average",SUM(MROUND(SUM(SUM(VLOOKUP(C$17,'Raw - Social Enterprises'!A:Q,16,FALSE)*VLOOKUP(C10,'Raw - Social Enterprises'!A:Q,15,FALSE))),100)-MROUND(SUM(SUM(VLOOKUP(C10,'Raw - Social Enterprises'!A:Q,16,FALSE)*VLOOKUP(C10,'Raw - Social Enterprises'!A:Q,15,FALSE))),100)),IF($J$5="City Region Comparator",SUM(MROUND(SUM(SUM(VLOOKUP(C$18,'Raw - Social Enterprises'!A:Q,16,FALSE)*VLOOKUP(C10,'Raw - Social Enterprises'!A:Q,15,FALSE))),100)-MROUND(SUM(SUM(VLOOKUP(C10,'Raw - Social Enterprises'!A:Q,16,FALSE)*VLOOKUP(C10,'Raw - Social Enterprises'!A:Q,15,FALSE))),100)),IF($J$5="Scotland",SUM(MROUND(SUM(SUM(VLOOKUP(C$19,'Raw - Social Enterprises'!A:Q,16,FALSE)*VLOOKUP(C10,'Raw - Social Enterprises'!A:Q,15,FALSE))),100)-MROUND(SUM(SUM(VLOOKUP(C10,'Raw - Social Enterprises'!A:Q,16,FALSE)*VLOOKUP(C10,'Raw - Social Enterprises'!A:Q,15,FALSE))),100)),IF($J$5="United Kingdom",SUM(MROUND(SUM(SUM(VLOOKUP(C$20,'Raw - Social Enterprises'!A:Q,16,FALSE)*VLOOKUP(C10,'Raw - Social Enterprises'!A:Q,15,FALSE))),100)-MROUND(SUM(SUM(VLOOKUP(C10,'Raw - Social Enterprises'!A:Q,16,FALSE)*VLOOKUP(C10,'Raw - Social Enterprises'!A:Q,15,FALSE))),100)),SUM(MROUND(SUM(SUM(VLOOKUP(C$16,'Raw - Social Enterprises'!A:Q,16,FALSE)*VLOOKUP(C10,'Raw - Social Enterprises'!A:Q,15,FALSE))),100)-MROUND(SUM(SUM(VLOOKUP(C10,'Raw - Social Enterprises'!A:Q,16,FALSE)*VLOOKUP(C10,'Raw - Social Enterprises'!A:Q,15,FALSE))),100)))))))</f>
        <v>1000</v>
      </c>
    </row>
    <row r="11" spans="2:11" s="137" customFormat="1" ht="19.5" customHeight="1">
      <c r="B11" s="216" t="s">
        <v>153</v>
      </c>
      <c r="C11" s="216" t="str">
        <f>IF(C$6="LGBF Family Group 1",Lookups!I32,IF(C$6="LGBF Family Group 2",Lookups!J32,IF(C$6="LGBF Family Group 3",Lookups!K32,Lookups!L32)))</f>
        <v>Edinburgh, City of</v>
      </c>
      <c r="D11" s="217">
        <f>VLOOKUP($C11,'Raw - Social Enterprises'!$A:$Q,4,FALSE)</f>
        <v>13.431968084040015</v>
      </c>
      <c r="E11" s="217">
        <f>VLOOKUP($C11,'Raw - Social Enterprises'!$A:$Q,8,FALSE)</f>
        <v>13.951403908731319</v>
      </c>
      <c r="F11" s="217">
        <f>VLOOKUP($C11,'Raw - Social Enterprises'!$A:$Q,12,FALSE)</f>
        <v>14.801973596479529</v>
      </c>
      <c r="G11" s="217">
        <f>VLOOKUP($C11,'Raw - Social Enterprises'!$A:$Q,16,FALSE)</f>
        <v>14.834653446540164</v>
      </c>
      <c r="H11" s="219">
        <f t="shared" si="1"/>
        <v>0.88324953780884563</v>
      </c>
      <c r="I11" s="220">
        <f>SUM(VLOOKUP(C11,'Raw - Social Enterprises'!A:Q,14,FALSE)-VLOOKUP(C11,'Raw - Social Enterprises'!A:Q,2,FALSE))</f>
        <v>111</v>
      </c>
      <c r="J11" s="221">
        <f t="shared" si="0"/>
        <v>31.808764164619383</v>
      </c>
      <c r="K11" s="222">
        <f>IF(J11="","",IF($J$5="lgbf family Group Average",SUM(MROUND(SUM(SUM(VLOOKUP(C$17,'Raw - Social Enterprises'!A:Q,16,FALSE)*VLOOKUP(C11,'Raw - Social Enterprises'!A:Q,15,FALSE))),100)-MROUND(SUM(SUM(VLOOKUP(C11,'Raw - Social Enterprises'!A:Q,16,FALSE)*VLOOKUP(C11,'Raw - Social Enterprises'!A:Q,15,FALSE))),100)),IF($J$5="City Region Comparator",SUM(MROUND(SUM(SUM(VLOOKUP(C$18,'Raw - Social Enterprises'!A:Q,16,FALSE)*VLOOKUP(C11,'Raw - Social Enterprises'!A:Q,15,FALSE))),100)-MROUND(SUM(SUM(VLOOKUP(C11,'Raw - Social Enterprises'!A:Q,16,FALSE)*VLOOKUP(C11,'Raw - Social Enterprises'!A:Q,15,FALSE))),100)),IF($J$5="Scotland",SUM(MROUND(SUM(SUM(VLOOKUP(C$19,'Raw - Social Enterprises'!A:Q,16,FALSE)*VLOOKUP(C11,'Raw - Social Enterprises'!A:Q,15,FALSE))),100)-MROUND(SUM(SUM(VLOOKUP(C11,'Raw - Social Enterprises'!A:Q,16,FALSE)*VLOOKUP(C11,'Raw - Social Enterprises'!A:Q,15,FALSE))),100)),IF($J$5="United Kingdom",SUM(MROUND(SUM(SUM(VLOOKUP(C$20,'Raw - Social Enterprises'!A:Q,16,FALSE)*VLOOKUP(C11,'Raw - Social Enterprises'!A:Q,15,FALSE))),100)-MROUND(SUM(SUM(VLOOKUP(C11,'Raw - Social Enterprises'!A:Q,16,FALSE)*VLOOKUP(C11,'Raw - Social Enterprises'!A:Q,15,FALSE))),100)),SUM(MROUND(SUM(SUM(VLOOKUP(C$16,'Raw - Social Enterprises'!A:Q,16,FALSE)*VLOOKUP(C11,'Raw - Social Enterprises'!A:Q,15,FALSE))),100)-MROUND(SUM(SUM(VLOOKUP(C11,'Raw - Social Enterprises'!A:Q,16,FALSE)*VLOOKUP(C11,'Raw - Social Enterprises'!A:Q,15,FALSE))),100)))))))</f>
        <v>1700</v>
      </c>
    </row>
    <row r="12" spans="2:11" s="137" customFormat="1" ht="19.5" customHeight="1">
      <c r="B12" s="216" t="s">
        <v>153</v>
      </c>
      <c r="C12" s="216" t="str">
        <f>IF(C$6="LGBF Family Group 1",Lookups!I33,IF(C$6="LGBF Family Group 2",Lookups!J33,IF(C$6="LGBF Family Group 3",Lookups!K33,Lookups!L33)))</f>
        <v>West Dunbartonshire</v>
      </c>
      <c r="D12" s="217">
        <f>VLOOKUP($C12,'Raw - Social Enterprises'!$A:$Q,4,FALSE)</f>
        <v>7.1436544257171564</v>
      </c>
      <c r="E12" s="217">
        <f>VLOOKUP($C12,'Raw - Social Enterprises'!$A:$Q,8,FALSE)</f>
        <v>7.8116281664992746</v>
      </c>
      <c r="F12" s="217">
        <f>VLOOKUP($C12,'Raw - Social Enterprises'!$A:$Q,12,FALSE)</f>
        <v>8.4335994602496331</v>
      </c>
      <c r="G12" s="217">
        <f>VLOOKUP($C12,'Raw - Social Enterprises'!$A:$Q,16,FALSE)</f>
        <v>7.9735732999202646</v>
      </c>
      <c r="H12" s="219">
        <f t="shared" si="1"/>
        <v>0.16194513342099004</v>
      </c>
      <c r="I12" s="220">
        <f>SUM(VLOOKUP(C12,'Raw - Social Enterprises'!A:Q,14,FALSE)-VLOOKUP(C12,'Raw - Social Enterprises'!A:Q,2,FALSE))</f>
        <v>6</v>
      </c>
      <c r="J12" s="221">
        <f t="shared" si="0"/>
        <v>38.669844311239288</v>
      </c>
      <c r="K12" s="222">
        <f>IF(J12="","",IF($J$5="lgbf family Group Average",SUM(MROUND(SUM(SUM(VLOOKUP(C$17,'Raw - Social Enterprises'!A:Q,16,FALSE)*VLOOKUP(C12,'Raw - Social Enterprises'!A:Q,15,FALSE))),100)-MROUND(SUM(SUM(VLOOKUP(C12,'Raw - Social Enterprises'!A:Q,16,FALSE)*VLOOKUP(C12,'Raw - Social Enterprises'!A:Q,15,FALSE))),100)),IF($J$5="City Region Comparator",SUM(MROUND(SUM(SUM(VLOOKUP(C$18,'Raw - Social Enterprises'!A:Q,16,FALSE)*VLOOKUP(C12,'Raw - Social Enterprises'!A:Q,15,FALSE))),100)-MROUND(SUM(SUM(VLOOKUP(C12,'Raw - Social Enterprises'!A:Q,16,FALSE)*VLOOKUP(C12,'Raw - Social Enterprises'!A:Q,15,FALSE))),100)),IF($J$5="Scotland",SUM(MROUND(SUM(SUM(VLOOKUP(C$19,'Raw - Social Enterprises'!A:Q,16,FALSE)*VLOOKUP(C12,'Raw - Social Enterprises'!A:Q,15,FALSE))),100)-MROUND(SUM(SUM(VLOOKUP(C12,'Raw - Social Enterprises'!A:Q,16,FALSE)*VLOOKUP(C12,'Raw - Social Enterprises'!A:Q,15,FALSE))),100)),IF($J$5="United Kingdom",SUM(MROUND(SUM(SUM(VLOOKUP(C$20,'Raw - Social Enterprises'!A:Q,16,FALSE)*VLOOKUP(C12,'Raw - Social Enterprises'!A:Q,15,FALSE))),100)-MROUND(SUM(SUM(VLOOKUP(C12,'Raw - Social Enterprises'!A:Q,16,FALSE)*VLOOKUP(C12,'Raw - Social Enterprises'!A:Q,15,FALSE))),100)),SUM(MROUND(SUM(SUM(VLOOKUP(C$16,'Raw - Social Enterprises'!A:Q,16,FALSE)*VLOOKUP(C12,'Raw - Social Enterprises'!A:Q,15,FALSE))),100)-MROUND(SUM(SUM(VLOOKUP(C12,'Raw - Social Enterprises'!A:Q,16,FALSE)*VLOOKUP(C12,'Raw - Social Enterprises'!A:Q,15,FALSE))),100)))))))</f>
        <v>300</v>
      </c>
    </row>
    <row r="13" spans="2:11" s="137" customFormat="1" ht="19.5" customHeight="1">
      <c r="B13" s="216" t="s">
        <v>153</v>
      </c>
      <c r="C13" s="216" t="str">
        <f>IF(C$6="LGBF Family Group 1",Lookups!I34,IF(C$6="LGBF Family Group 2",Lookups!J34,IF(C$6="LGBF Family Group 3",Lookups!K34,Lookups!L34)))</f>
        <v>Dundee City</v>
      </c>
      <c r="D13" s="217">
        <f>VLOOKUP($C13,'Raw - Social Enterprises'!$A:$Q,4,FALSE)</f>
        <v>8.9062816274205527</v>
      </c>
      <c r="E13" s="217">
        <f>VLOOKUP($C13,'Raw - Social Enterprises'!$A:$Q,8,FALSE)</f>
        <v>9.0780714141617906</v>
      </c>
      <c r="F13" s="217">
        <f>VLOOKUP($C13,'Raw - Social Enterprises'!$A:$Q,12,FALSE)</f>
        <v>9.241896597910527</v>
      </c>
      <c r="G13" s="217">
        <f>VLOOKUP($C13,'Raw - Social Enterprises'!$A:$Q,16,FALSE)</f>
        <v>9.2066070945031147</v>
      </c>
      <c r="H13" s="219">
        <f t="shared" si="1"/>
        <v>0.12853568034132401</v>
      </c>
      <c r="I13" s="220">
        <f>SUM(VLOOKUP(C13,'Raw - Social Enterprises'!A:Q,14,FALSE)-VLOOKUP(C13,'Raw - Social Enterprises'!A:Q,2,FALSE))</f>
        <v>4</v>
      </c>
      <c r="J13" s="221">
        <f t="shared" si="0"/>
        <v>37.436810516656436</v>
      </c>
      <c r="K13" s="222">
        <f>IF(J13="","",IF($J$5="lgbf family Group Average",SUM(MROUND(SUM(SUM(VLOOKUP(C$17,'Raw - Social Enterprises'!A:Q,16,FALSE)*VLOOKUP(C13,'Raw - Social Enterprises'!A:Q,15,FALSE))),100)-MROUND(SUM(SUM(VLOOKUP(C13,'Raw - Social Enterprises'!A:Q,16,FALSE)*VLOOKUP(C13,'Raw - Social Enterprises'!A:Q,15,FALSE))),100)),IF($J$5="City Region Comparator",SUM(MROUND(SUM(SUM(VLOOKUP(C$18,'Raw - Social Enterprises'!A:Q,16,FALSE)*VLOOKUP(C13,'Raw - Social Enterprises'!A:Q,15,FALSE))),100)-MROUND(SUM(SUM(VLOOKUP(C13,'Raw - Social Enterprises'!A:Q,16,FALSE)*VLOOKUP(C13,'Raw - Social Enterprises'!A:Q,15,FALSE))),100)),IF($J$5="Scotland",SUM(MROUND(SUM(SUM(VLOOKUP(C$19,'Raw - Social Enterprises'!A:Q,16,FALSE)*VLOOKUP(C13,'Raw - Social Enterprises'!A:Q,15,FALSE))),100)-MROUND(SUM(SUM(VLOOKUP(C13,'Raw - Social Enterprises'!A:Q,16,FALSE)*VLOOKUP(C13,'Raw - Social Enterprises'!A:Q,15,FALSE))),100)),IF($J$5="United Kingdom",SUM(MROUND(SUM(SUM(VLOOKUP(C$20,'Raw - Social Enterprises'!A:Q,16,FALSE)*VLOOKUP(C13,'Raw - Social Enterprises'!A:Q,15,FALSE))),100)-MROUND(SUM(SUM(VLOOKUP(C13,'Raw - Social Enterprises'!A:Q,16,FALSE)*VLOOKUP(C13,'Raw - Social Enterprises'!A:Q,15,FALSE))),100)),SUM(MROUND(SUM(SUM(VLOOKUP(C$16,'Raw - Social Enterprises'!A:Q,16,FALSE)*VLOOKUP(C13,'Raw - Social Enterprises'!A:Q,15,FALSE))),100)-MROUND(SUM(SUM(VLOOKUP(C13,'Raw - Social Enterprises'!A:Q,16,FALSE)*VLOOKUP(C13,'Raw - Social Enterprises'!A:Q,15,FALSE))),100)))))))</f>
        <v>600</v>
      </c>
    </row>
    <row r="14" spans="2:11" s="137" customFormat="1" ht="19.5" customHeight="1">
      <c r="B14" s="216" t="s">
        <v>153</v>
      </c>
      <c r="C14" s="216" t="str">
        <f>IF(C$6="LGBF Family Group 1",Lookups!I35,IF(C$6="LGBF Family Group 2",Lookups!J35,IF(C$6="LGBF Family Group 3",Lookups!K35,Lookups!L35)))</f>
        <v>Glasgow City</v>
      </c>
      <c r="D14" s="217">
        <f>VLOOKUP($C14,'Raw - Social Enterprises'!$A:$Q,4,FALSE)</f>
        <v>11.610647491506416</v>
      </c>
      <c r="E14" s="217">
        <f>VLOOKUP($C14,'Raw - Social Enterprises'!$A:$Q,8,FALSE)</f>
        <v>11.787059998067695</v>
      </c>
      <c r="F14" s="217">
        <f>VLOOKUP($C14,'Raw - Social Enterprises'!$A:$Q,12,FALSE)</f>
        <v>12.809577963103361</v>
      </c>
      <c r="G14" s="217">
        <f>VLOOKUP($C14,'Raw - Social Enterprises'!$A:$Q,16,FALSE)</f>
        <v>12.847763450002363</v>
      </c>
      <c r="H14" s="219">
        <f t="shared" si="1"/>
        <v>1.0607034519346676</v>
      </c>
      <c r="I14" s="220">
        <f>SUM(VLOOKUP(C14,'Raw - Social Enterprises'!A:Q,14,FALSE)-VLOOKUP(C14,'Raw - Social Enterprises'!A:Q,2,FALSE))</f>
        <v>112</v>
      </c>
      <c r="J14" s="221">
        <f t="shared" si="0"/>
        <v>33.795654161157188</v>
      </c>
      <c r="K14" s="222">
        <f>IF(J14="","",IF($J$5="lgbf family Group Average",SUM(MROUND(SUM(SUM(VLOOKUP(C$17,'Raw - Social Enterprises'!A:Q,16,FALSE)*VLOOKUP(C14,'Raw - Social Enterprises'!A:Q,15,FALSE))),100)-MROUND(SUM(SUM(VLOOKUP(C14,'Raw - Social Enterprises'!A:Q,16,FALSE)*VLOOKUP(C14,'Raw - Social Enterprises'!A:Q,15,FALSE))),100)),IF($J$5="City Region Comparator",SUM(MROUND(SUM(SUM(VLOOKUP(C$18,'Raw - Social Enterprises'!A:Q,16,FALSE)*VLOOKUP(C14,'Raw - Social Enterprises'!A:Q,15,FALSE))),100)-MROUND(SUM(SUM(VLOOKUP(C14,'Raw - Social Enterprises'!A:Q,16,FALSE)*VLOOKUP(C14,'Raw - Social Enterprises'!A:Q,15,FALSE))),100)),IF($J$5="Scotland",SUM(MROUND(SUM(SUM(VLOOKUP(C$19,'Raw - Social Enterprises'!A:Q,16,FALSE)*VLOOKUP(C14,'Raw - Social Enterprises'!A:Q,15,FALSE))),100)-MROUND(SUM(SUM(VLOOKUP(C14,'Raw - Social Enterprises'!A:Q,16,FALSE)*VLOOKUP(C14,'Raw - Social Enterprises'!A:Q,15,FALSE))),100)),IF($J$5="United Kingdom",SUM(MROUND(SUM(SUM(VLOOKUP(C$20,'Raw - Social Enterprises'!A:Q,16,FALSE)*VLOOKUP(C14,'Raw - Social Enterprises'!A:Q,15,FALSE))),100)-MROUND(SUM(SUM(VLOOKUP(C14,'Raw - Social Enterprises'!A:Q,16,FALSE)*VLOOKUP(C14,'Raw - Social Enterprises'!A:Q,15,FALSE))),100)),SUM(MROUND(SUM(SUM(VLOOKUP(C$16,'Raw - Social Enterprises'!A:Q,16,FALSE)*VLOOKUP(C14,'Raw - Social Enterprises'!A:Q,15,FALSE))),100)-MROUND(SUM(SUM(VLOOKUP(C14,'Raw - Social Enterprises'!A:Q,16,FALSE)*VLOOKUP(C14,'Raw - Social Enterprises'!A:Q,15,FALSE))),100)))))))</f>
        <v>2200</v>
      </c>
    </row>
    <row r="15" spans="2:11" s="137" customFormat="1" ht="19.5" customHeight="1">
      <c r="B15" s="223"/>
      <c r="C15" s="223"/>
      <c r="D15" s="224"/>
      <c r="E15" s="224"/>
      <c r="F15" s="224"/>
      <c r="G15" s="224"/>
      <c r="H15" s="225"/>
      <c r="I15" s="225"/>
      <c r="J15" s="225"/>
      <c r="K15" s="225"/>
    </row>
    <row r="16" spans="2:11" s="137" customFormat="1" ht="19.5" customHeight="1">
      <c r="B16" s="226" t="s">
        <v>52</v>
      </c>
      <c r="C16" s="216" t="str">
        <f>INDEX('Raw - Social Enterprises'!$A$9:$A$41,MATCH(MAX('Raw - Social Enterprises'!L9:L41),'Raw - Social Enterprises'!L9:L41,0))</f>
        <v>Shetland Islands</v>
      </c>
      <c r="D16" s="217">
        <f>VLOOKUP($C16,'Raw - Social Enterprises'!$A:$Q,4,FALSE)</f>
        <v>40.948275862068968</v>
      </c>
      <c r="E16" s="217">
        <f>VLOOKUP($C16,'Raw - Social Enterprises'!$A:$Q,8,FALSE)</f>
        <v>43.760831889081459</v>
      </c>
      <c r="F16" s="217">
        <f>VLOOKUP($C16,'Raw - Social Enterprises'!$A:$Q,12,FALSE)</f>
        <v>47.556719022687616</v>
      </c>
      <c r="G16" s="217">
        <f>VLOOKUP(C16,'Raw - Social Enterprises'!A:Q,16,FALSE)</f>
        <v>46.643417611159549</v>
      </c>
      <c r="H16" s="219">
        <f>SUM(G16-E16)</f>
        <v>2.8825857220780904</v>
      </c>
      <c r="I16" s="220">
        <f>SUM(VLOOKUP(C16,'Raw - Social Enterprises'!A:Q,14,FALSE)-VLOOKUP(C16,'Raw - Social Enterprises'!A:Q,2,FALSE))</f>
        <v>12</v>
      </c>
    </row>
    <row r="17" spans="2:11" s="137" customFormat="1" ht="19.5" customHeight="1">
      <c r="B17" s="226" t="s">
        <v>271</v>
      </c>
      <c r="C17" s="227" t="s">
        <v>246</v>
      </c>
      <c r="D17" s="217">
        <f>VLOOKUP($C17,'Raw - Social Enterprises'!$A:$Q,4,FALSE)</f>
        <v>18.103635967777052</v>
      </c>
      <c r="E17" s="217">
        <f>VLOOKUP($C17,'Raw - Social Enterprises'!$A:$Q,8,FALSE)</f>
        <v>19.466544932829009</v>
      </c>
      <c r="F17" s="217">
        <f>VLOOKUP($C17,'Raw - Social Enterprises'!$A:$Q,12,FALSE)</f>
        <v>20.561581392312799</v>
      </c>
      <c r="G17" s="217">
        <f>VLOOKUP(C17,'Raw - Social Enterprises'!A:Q,16,FALSE)</f>
        <v>20.435112025110939</v>
      </c>
      <c r="H17" s="219">
        <f t="shared" ref="H17:H19" si="2">SUM(G17-E17)</f>
        <v>0.96856709228192983</v>
      </c>
      <c r="I17" s="220">
        <f>SUM(VLOOKUP(C17,'Raw - Social Enterprises'!A:Q,14,FALSE)-VLOOKUP(C17,'Raw - Social Enterprises'!A:Q,2,FALSE))</f>
        <v>225</v>
      </c>
    </row>
    <row r="18" spans="2:11" s="137" customFormat="1" ht="19.5" customHeight="1">
      <c r="B18" s="226" t="s">
        <v>270</v>
      </c>
      <c r="C18" s="216" t="s">
        <v>156</v>
      </c>
      <c r="D18" s="217">
        <f>VLOOKUP($C18,'Raw - Social Enterprises'!$A:$Q,4,FALSE)</f>
        <v>7.5562145802441547</v>
      </c>
      <c r="E18" s="217">
        <f>VLOOKUP($C18,'Raw - Social Enterprises'!$A:$Q,8,FALSE)</f>
        <v>8.7647778230737874</v>
      </c>
      <c r="F18" s="217">
        <f>VLOOKUP($C18,'Raw - Social Enterprises'!$A:$Q,12,FALSE)</f>
        <v>9.0430309463542091</v>
      </c>
      <c r="G18" s="217">
        <f>VLOOKUP(C18,'Raw - Social Enterprises'!A:Q,16,FALSE)</f>
        <v>8.8753774585815712</v>
      </c>
      <c r="H18" s="219">
        <f>SUM(G18-E18)</f>
        <v>0.11059963550778384</v>
      </c>
      <c r="I18" s="220">
        <f>SUM(VLOOKUP(C18,'Raw - Social Enterprises'!A:Q,14,FALSE)-VLOOKUP(C18,'Raw - Social Enterprises'!A:Q,2,FALSE))</f>
        <v>63</v>
      </c>
    </row>
    <row r="19" spans="2:11" s="137" customFormat="1" ht="19.5" customHeight="1">
      <c r="B19" s="226" t="s">
        <v>164</v>
      </c>
      <c r="C19" s="216" t="s">
        <v>46</v>
      </c>
      <c r="D19" s="217">
        <f>VLOOKUP($C19,'Raw - Social Enterprises'!$A:$Q,4,FALSE)</f>
        <v>9.6798808859110377</v>
      </c>
      <c r="E19" s="217">
        <f>VLOOKUP($C19,'Raw - Social Enterprises'!$A:$Q,8,FALSE)</f>
        <v>10.322961215160005</v>
      </c>
      <c r="F19" s="217">
        <f>VLOOKUP($C19,'Raw - Social Enterprises'!$A:$Q,12,FALSE)</f>
        <v>11.028133179580106</v>
      </c>
      <c r="G19" s="217">
        <f>VLOOKUP(C19,'Raw - Social Enterprises'!A:Q,16,FALSE)</f>
        <v>11.034872899140495</v>
      </c>
      <c r="H19" s="219">
        <f t="shared" si="2"/>
        <v>0.71191168398049065</v>
      </c>
      <c r="I19" s="220">
        <f>SUM(VLOOKUP(C19,'Raw - Social Enterprises'!A:Q,14,FALSE)-VLOOKUP(C19,'Raw - Social Enterprises'!A:Q,2,FALSE))</f>
        <v>846</v>
      </c>
    </row>
    <row r="20" spans="2:11" s="137" customFormat="1" ht="19.5" customHeight="1">
      <c r="B20" s="226" t="s">
        <v>164</v>
      </c>
      <c r="C20" s="216" t="s">
        <v>47</v>
      </c>
      <c r="D20" s="217" t="s">
        <v>71</v>
      </c>
      <c r="E20" s="217" t="s">
        <v>71</v>
      </c>
      <c r="F20" s="217" t="s">
        <v>71</v>
      </c>
      <c r="G20" s="217" t="s">
        <v>71</v>
      </c>
      <c r="H20" s="219" t="s">
        <v>71</v>
      </c>
      <c r="I20" s="220" t="s">
        <v>71</v>
      </c>
    </row>
    <row r="21" spans="2:11" ht="19.5" customHeight="1">
      <c r="C21" s="189"/>
      <c r="D21" s="190"/>
      <c r="E21" s="190"/>
      <c r="F21" s="190"/>
      <c r="G21" s="190"/>
      <c r="H21" s="190"/>
      <c r="I21" s="190"/>
      <c r="J21" s="190"/>
      <c r="K21" s="190"/>
    </row>
    <row r="22" spans="2:11">
      <c r="D22" s="191"/>
      <c r="E22" s="191"/>
      <c r="F22" s="192" t="str">
        <f>CONCATENATE(G22,H22)</f>
        <v>Volume Change Required to match Geographic Area - Top Performing Scottish Local Authority</v>
      </c>
      <c r="G22" s="192" t="s">
        <v>225</v>
      </c>
      <c r="H22" s="192" t="str">
        <f>J5</f>
        <v>Top Performing Scottish Local Authority</v>
      </c>
    </row>
    <row r="23" spans="2:11">
      <c r="B23" s="193" t="s">
        <v>207</v>
      </c>
    </row>
    <row r="24" spans="2:11">
      <c r="H24" s="195"/>
      <c r="I24" s="195"/>
      <c r="J24" s="195"/>
      <c r="K24" s="191"/>
    </row>
  </sheetData>
  <sheetProtection sort="0"/>
  <mergeCells count="4">
    <mergeCell ref="J4:K4"/>
    <mergeCell ref="H5:I5"/>
    <mergeCell ref="J5:K5"/>
    <mergeCell ref="F2:G2"/>
  </mergeCells>
  <hyperlinks>
    <hyperlink ref="C3" r:id="rId1" xr:uid="{00000000-0004-0000-2A00-000000000000}"/>
    <hyperlink ref="F2:G2" location="'Index RAG'!A1" display="Return to Index RAG" xr:uid="{00000000-0004-0000-2A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10CA9D83-5AD1-4207-AB65-73CE61DC16CD}">
          <x14:formula1>
            <xm:f>Lookups!$B$27:$E$27</xm:f>
          </x14:formula1>
          <xm:sqref>C6</xm:sqref>
        </x14:dataValidation>
        <x14:dataValidation type="list" allowBlank="1" showInputMessage="1" showErrorMessage="1" xr:uid="{00000000-0002-0000-2A00-000002000000}">
          <x14:formula1>
            <xm:f>Lookups!$B$9:$B$12</xm:f>
          </x14:formula1>
          <xm:sqref>J5:K5</xm:sqref>
        </x14:dataValidation>
        <x14:dataValidation type="list" allowBlank="1" showInputMessage="1" showErrorMessage="1" xr:uid="{9D2533DD-B546-4189-80C0-B51BD592CF5C}">
          <x14:formula1>
            <xm:f>Lookups!$B$36:$E$36</xm:f>
          </x14:formula1>
          <xm:sqref>C17</xm:sqref>
        </x14:dataValidation>
        <x14:dataValidation type="list" allowBlank="1" showInputMessage="1" showErrorMessage="1" xr:uid="{D22E7694-B392-4145-B40A-3D5C0E57D4A5}">
          <x14:formula1>
            <xm:f>Lookups!$Q$3:$Q$7</xm:f>
          </x14:formula1>
          <xm:sqref>C18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sheetPr>
  <dimension ref="B1:L25"/>
  <sheetViews>
    <sheetView zoomScale="90" zoomScaleNormal="90" workbookViewId="0"/>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Total GVA (£m) - LGBF Family Group 1</v>
      </c>
      <c r="D1" s="170" t="s">
        <v>290</v>
      </c>
    </row>
    <row r="2" spans="2:12" ht="12.75">
      <c r="B2" s="171" t="s">
        <v>49</v>
      </c>
      <c r="C2" s="172" t="s">
        <v>88</v>
      </c>
      <c r="F2" s="467" t="s">
        <v>216</v>
      </c>
      <c r="G2" s="468"/>
    </row>
    <row r="3" spans="2:12" ht="12.75">
      <c r="B3" s="171" t="s">
        <v>50</v>
      </c>
      <c r="C3" s="174" t="s">
        <v>87</v>
      </c>
    </row>
    <row r="4" spans="2:12" ht="12.75">
      <c r="B4" s="172"/>
      <c r="C4" s="175" t="s">
        <v>208</v>
      </c>
      <c r="D4" s="176"/>
      <c r="J4" s="463" t="s">
        <v>53</v>
      </c>
      <c r="K4" s="463"/>
    </row>
    <row r="5" spans="2:12" ht="21.95" customHeight="1">
      <c r="C5" s="177"/>
      <c r="D5" s="178"/>
      <c r="E5" s="178"/>
      <c r="F5" s="178"/>
      <c r="G5" s="178"/>
      <c r="H5" s="469" t="s">
        <v>51</v>
      </c>
      <c r="I5" s="470"/>
      <c r="J5" s="471" t="s">
        <v>52</v>
      </c>
      <c r="K5" s="472"/>
    </row>
    <row r="6" spans="2:12" ht="26.1" customHeight="1">
      <c r="B6" s="179" t="s">
        <v>166</v>
      </c>
      <c r="C6" s="180" t="s">
        <v>242</v>
      </c>
      <c r="D6" s="181">
        <v>2019</v>
      </c>
      <c r="E6" s="181">
        <v>2020</v>
      </c>
      <c r="F6" s="181">
        <v>2021</v>
      </c>
      <c r="G6" s="181">
        <v>2022</v>
      </c>
      <c r="H6" s="182" t="s">
        <v>54</v>
      </c>
      <c r="I6" s="182" t="s">
        <v>55</v>
      </c>
      <c r="J6" s="182" t="s">
        <v>80</v>
      </c>
      <c r="K6" s="182" t="s">
        <v>58</v>
      </c>
    </row>
    <row r="7" spans="2:12" s="137" customFormat="1" ht="19.5" customHeight="1">
      <c r="B7" s="216" t="s">
        <v>153</v>
      </c>
      <c r="C7" s="216" t="str">
        <f>IF(C$6="LGBF Family Group 1",Lookups!I28,IF(C$6="LGBF Family Group 2",Lookups!J28,IF(C$6="LGBF Family Group 3",Lookups!K28,Lookups!L28)))</f>
        <v>Na h-Eileanan Siar</v>
      </c>
      <c r="D7" s="218">
        <f>VLOOKUP($C7,'Raw - GVA'!$A:$M,2,FALSE)</f>
        <v>565</v>
      </c>
      <c r="E7" s="218">
        <f>VLOOKUP($C7,'Raw - GVA'!$A:$M,3,FALSE)</f>
        <v>549</v>
      </c>
      <c r="F7" s="218">
        <f>VLOOKUP($C7,'Raw - GVA'!$A:$M,4,FALSE)</f>
        <v>581</v>
      </c>
      <c r="G7" s="218">
        <f>VLOOKUP($C7,'Raw - GVA'!$A:$M,5,FALSE)</f>
        <v>583</v>
      </c>
      <c r="H7" s="228">
        <f>IFERROR(SUM(G7-D7)/D7,"-")</f>
        <v>3.1858407079646017E-2</v>
      </c>
      <c r="I7" s="220">
        <f>IFERROR(G7-D7,"-")</f>
        <v>18</v>
      </c>
      <c r="J7" s="230">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49.965694682675817</v>
      </c>
      <c r="K7" s="222">
        <f t="shared" ref="K7:K14" si="1">IF(J7="","",IF($J$5="lgbf family Group Average",SUM(G$18-G7),IF($J$5="City Region Comparator",SUM(G$19-G7),IF($J$5="Scotland",SUM(G$20-G7),IF($J$5="United Kingdom",SUM(G$21-G7),SUM(G$17-G7))))))</f>
        <v>29130</v>
      </c>
    </row>
    <row r="8" spans="2:12" s="137" customFormat="1" ht="19.5" customHeight="1">
      <c r="B8" s="216" t="s">
        <v>153</v>
      </c>
      <c r="C8" s="216" t="str">
        <f>IF(C$6="LGBF Family Group 1",Lookups!I29,IF(C$6="LGBF Family Group 2",Lookups!J29,IF(C$6="LGBF Family Group 3",Lookups!K29,Lookups!L29)))</f>
        <v>Argyll and Bute</v>
      </c>
      <c r="D8" s="218">
        <f>VLOOKUP($C8,'Raw - GVA'!$A:$M,2,FALSE)</f>
        <v>2151</v>
      </c>
      <c r="E8" s="218">
        <f>VLOOKUP($C8,'Raw - GVA'!$A:$M,3,FALSE)</f>
        <v>2000</v>
      </c>
      <c r="F8" s="218">
        <f>VLOOKUP($C8,'Raw - GVA'!$A:$M,4,FALSE)</f>
        <v>2185</v>
      </c>
      <c r="G8" s="218">
        <f>VLOOKUP($C8,'Raw - GVA'!$A:$M,5,FALSE)</f>
        <v>2383</v>
      </c>
      <c r="H8" s="228">
        <f t="shared" ref="H8:H14" si="2">IFERROR(SUM(G8-D8)/D8,"-")</f>
        <v>0.10785681078568107</v>
      </c>
      <c r="I8" s="220">
        <f t="shared" ref="I8:I14" si="3">IFERROR(G8-D8,"-")</f>
        <v>232</v>
      </c>
      <c r="J8" s="230">
        <f t="shared" si="0"/>
        <v>11.468736886277801</v>
      </c>
      <c r="K8" s="222">
        <f t="shared" si="1"/>
        <v>27330</v>
      </c>
    </row>
    <row r="9" spans="2:12" s="137" customFormat="1" ht="19.5" customHeight="1">
      <c r="B9" s="216" t="s">
        <v>153</v>
      </c>
      <c r="C9" s="216" t="str">
        <f>IF(C$6="LGBF Family Group 1",Lookups!I30,IF(C$6="LGBF Family Group 2",Lookups!J30,IF(C$6="LGBF Family Group 3",Lookups!K30,Lookups!L30)))</f>
        <v>Shetland Islands</v>
      </c>
      <c r="D9" s="218">
        <f>VLOOKUP($C9,'Raw - GVA'!$A:$M,2,FALSE)</f>
        <v>810</v>
      </c>
      <c r="E9" s="218">
        <f>VLOOKUP($C9,'Raw - GVA'!$A:$M,3,FALSE)</f>
        <v>739</v>
      </c>
      <c r="F9" s="218">
        <f>VLOOKUP($C9,'Raw - GVA'!$A:$M,4,FALSE)</f>
        <v>759</v>
      </c>
      <c r="G9" s="218">
        <f>VLOOKUP($C9,'Raw - GVA'!$A:$M,5,FALSE)</f>
        <v>770</v>
      </c>
      <c r="H9" s="228">
        <f t="shared" si="2"/>
        <v>-4.9382716049382713E-2</v>
      </c>
      <c r="I9" s="220">
        <f t="shared" si="3"/>
        <v>-40</v>
      </c>
      <c r="J9" s="230">
        <f t="shared" si="0"/>
        <v>37.588311688311691</v>
      </c>
      <c r="K9" s="222">
        <f t="shared" si="1"/>
        <v>28943</v>
      </c>
    </row>
    <row r="10" spans="2:12" s="137" customFormat="1" ht="19.5" customHeight="1">
      <c r="B10" s="216" t="s">
        <v>153</v>
      </c>
      <c r="C10" s="216" t="str">
        <f>IF(C$6="LGBF Family Group 1",Lookups!I31,IF(C$6="LGBF Family Group 2",Lookups!J31,IF(C$6="LGBF Family Group 3",Lookups!K31,Lookups!L31)))</f>
        <v>Highland</v>
      </c>
      <c r="D10" s="218">
        <f>VLOOKUP($C10,'Raw - GVA'!$A:$M,2,FALSE)</f>
        <v>6373</v>
      </c>
      <c r="E10" s="218">
        <f>VLOOKUP($C10,'Raw - GVA'!$A:$M,3,FALSE)</f>
        <v>5894</v>
      </c>
      <c r="F10" s="218">
        <f>VLOOKUP($C10,'Raw - GVA'!$A:$M,4,FALSE)</f>
        <v>6298</v>
      </c>
      <c r="G10" s="218">
        <f>VLOOKUP($C10,'Raw - GVA'!$A:$M,5,FALSE)</f>
        <v>6957</v>
      </c>
      <c r="H10" s="228">
        <f t="shared" si="2"/>
        <v>9.1636591871959827E-2</v>
      </c>
      <c r="I10" s="220">
        <f t="shared" si="3"/>
        <v>584</v>
      </c>
      <c r="J10" s="230">
        <f t="shared" si="0"/>
        <v>3.2709501221791002</v>
      </c>
      <c r="K10" s="222">
        <f t="shared" si="1"/>
        <v>22756</v>
      </c>
    </row>
    <row r="11" spans="2:12" s="137" customFormat="1" ht="19.5" customHeight="1">
      <c r="B11" s="216" t="s">
        <v>153</v>
      </c>
      <c r="C11" s="216" t="str">
        <f>IF(C$6="LGBF Family Group 1",Lookups!I32,IF(C$6="LGBF Family Group 2",Lookups!J32,IF(C$6="LGBF Family Group 3",Lookups!K32,Lookups!L32)))</f>
        <v>Orkney Islands</v>
      </c>
      <c r="D11" s="218">
        <f>VLOOKUP($C11,'Raw - GVA'!$A:$M,2,FALSE)</f>
        <v>555</v>
      </c>
      <c r="E11" s="218">
        <f>VLOOKUP($C11,'Raw - GVA'!$A:$M,3,FALSE)</f>
        <v>512</v>
      </c>
      <c r="F11" s="218">
        <f>VLOOKUP($C11,'Raw - GVA'!$A:$M,4,FALSE)</f>
        <v>553</v>
      </c>
      <c r="G11" s="218">
        <f>VLOOKUP($C11,'Raw - GVA'!$A:$M,5,FALSE)</f>
        <v>603</v>
      </c>
      <c r="H11" s="228">
        <f t="shared" si="2"/>
        <v>8.6486486486486491E-2</v>
      </c>
      <c r="I11" s="220">
        <f t="shared" si="3"/>
        <v>48</v>
      </c>
      <c r="J11" s="230">
        <f t="shared" si="0"/>
        <v>48.275290215588726</v>
      </c>
      <c r="K11" s="222">
        <f t="shared" si="1"/>
        <v>29110</v>
      </c>
    </row>
    <row r="12" spans="2:12" s="137" customFormat="1" ht="19.5" customHeight="1">
      <c r="B12" s="216" t="s">
        <v>153</v>
      </c>
      <c r="C12" s="216" t="str">
        <f>IF(C$6="LGBF Family Group 1",Lookups!I33,IF(C$6="LGBF Family Group 2",Lookups!J33,IF(C$6="LGBF Family Group 3",Lookups!K33,Lookups!L33)))</f>
        <v>Scottish Borders</v>
      </c>
      <c r="D12" s="218">
        <f>VLOOKUP($C12,'Raw - GVA'!$A:$M,2,FALSE)</f>
        <v>2422</v>
      </c>
      <c r="E12" s="218">
        <f>VLOOKUP($C12,'Raw - GVA'!$A:$M,3,FALSE)</f>
        <v>2335</v>
      </c>
      <c r="F12" s="218">
        <f>VLOOKUP($C12,'Raw - GVA'!$A:$M,4,FALSE)</f>
        <v>2512</v>
      </c>
      <c r="G12" s="218">
        <f>VLOOKUP($C12,'Raw - GVA'!$A:$M,5,FALSE)</f>
        <v>2506</v>
      </c>
      <c r="H12" s="228">
        <f t="shared" si="2"/>
        <v>3.4682080924855488E-2</v>
      </c>
      <c r="I12" s="220">
        <f t="shared" si="3"/>
        <v>84</v>
      </c>
      <c r="J12" s="230">
        <f t="shared" si="0"/>
        <v>10.856743814844373</v>
      </c>
      <c r="K12" s="222">
        <f t="shared" si="1"/>
        <v>27207</v>
      </c>
    </row>
    <row r="13" spans="2:12" s="137" customFormat="1" ht="19.5" customHeight="1">
      <c r="B13" s="216" t="s">
        <v>153</v>
      </c>
      <c r="C13" s="216" t="str">
        <f>IF(C$6="LGBF Family Group 1",Lookups!I34,IF(C$6="LGBF Family Group 2",Lookups!J34,IF(C$6="LGBF Family Group 3",Lookups!K34,Lookups!L34)))</f>
        <v>Dumfries and Galloway</v>
      </c>
      <c r="D13" s="218">
        <f>VLOOKUP($C13,'Raw - GVA'!$A:$M,2,FALSE)</f>
        <v>3559</v>
      </c>
      <c r="E13" s="218">
        <f>VLOOKUP($C13,'Raw - GVA'!$A:$M,3,FALSE)</f>
        <v>3397</v>
      </c>
      <c r="F13" s="218">
        <f>VLOOKUP($C13,'Raw - GVA'!$A:$M,4,FALSE)</f>
        <v>3537</v>
      </c>
      <c r="G13" s="218">
        <f>VLOOKUP($C13,'Raw - GVA'!$A:$M,5,FALSE)</f>
        <v>3782</v>
      </c>
      <c r="H13" s="228">
        <f t="shared" si="2"/>
        <v>6.2658050014048894E-2</v>
      </c>
      <c r="I13" s="220">
        <f t="shared" si="3"/>
        <v>223</v>
      </c>
      <c r="J13" s="230">
        <f t="shared" si="0"/>
        <v>6.8564251718667375</v>
      </c>
      <c r="K13" s="222">
        <f t="shared" si="1"/>
        <v>25931</v>
      </c>
    </row>
    <row r="14" spans="2:12" s="137" customFormat="1" ht="19.5" customHeight="1">
      <c r="B14" s="216" t="s">
        <v>153</v>
      </c>
      <c r="C14" s="216" t="str">
        <f>IF(C$6="LGBF Family Group 1",Lookups!I35,IF(C$6="LGBF Family Group 2",Lookups!J35,IF(C$6="LGBF Family Group 3",Lookups!K35,Lookups!L35)))</f>
        <v>Aberdeenshire</v>
      </c>
      <c r="D14" s="218">
        <f>VLOOKUP($C14,'Raw - GVA'!$A:$M,2,FALSE)</f>
        <v>6656</v>
      </c>
      <c r="E14" s="218">
        <f>VLOOKUP($C14,'Raw - GVA'!$A:$M,3,FALSE)</f>
        <v>6153</v>
      </c>
      <c r="F14" s="218">
        <f>VLOOKUP($C14,'Raw - GVA'!$A:$M,4,FALSE)</f>
        <v>6545</v>
      </c>
      <c r="G14" s="218">
        <f>VLOOKUP($C14,'Raw - GVA'!$A:$M,5,FALSE)</f>
        <v>7059</v>
      </c>
      <c r="H14" s="228">
        <f t="shared" si="2"/>
        <v>6.0546875E-2</v>
      </c>
      <c r="I14" s="220">
        <f t="shared" si="3"/>
        <v>403</v>
      </c>
      <c r="J14" s="230">
        <f t="shared" si="0"/>
        <v>3.2092364357557726</v>
      </c>
      <c r="K14" s="222">
        <f t="shared" si="1"/>
        <v>22654</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5"/>
      <c r="I16" s="225"/>
      <c r="J16" s="225"/>
      <c r="K16" s="225"/>
      <c r="L16" s="225"/>
    </row>
    <row r="17" spans="2:12" s="137" customFormat="1" ht="19.5" customHeight="1">
      <c r="B17" s="226" t="s">
        <v>52</v>
      </c>
      <c r="C17" s="216" t="str">
        <f>INDEX('Raw - GVA'!$A$3:$A$34,MATCH(MAX('Raw - GVA'!E3:PE34),'Raw - GVA'!E3:E34,0))</f>
        <v>Edinburgh, City of</v>
      </c>
      <c r="D17" s="218">
        <f>VLOOKUP($C17,'Raw - GVA'!$A:$M,2,FALSE)</f>
        <v>25759</v>
      </c>
      <c r="E17" s="218">
        <f>VLOOKUP($C17,'Raw - GVA'!$A:$M,3,FALSE)</f>
        <v>24200</v>
      </c>
      <c r="F17" s="218">
        <f>VLOOKUP($C17,'Raw - GVA'!$A:$M,4,FALSE)</f>
        <v>26582</v>
      </c>
      <c r="G17" s="218">
        <f>VLOOKUP($C17,'Raw - GVA'!$A:$M,5,FALSE)</f>
        <v>29713</v>
      </c>
      <c r="H17" s="228">
        <f t="shared" ref="H17" si="4">IFERROR(SUM(G17-D17)/D17,"-")</f>
        <v>0.15349974766101168</v>
      </c>
      <c r="I17" s="220">
        <f t="shared" ref="I17" si="5">IFERROR(G17-D17,"-")</f>
        <v>3954</v>
      </c>
      <c r="J17" s="231"/>
    </row>
    <row r="18" spans="2:12" s="137" customFormat="1" ht="19.5" customHeight="1">
      <c r="B18" s="226" t="s">
        <v>271</v>
      </c>
      <c r="C18" s="227" t="s">
        <v>246</v>
      </c>
      <c r="D18" s="218">
        <f>VLOOKUP($C18,'Raw - GVA'!$A:$M,2,FALSE)</f>
        <v>2886.375</v>
      </c>
      <c r="E18" s="218">
        <f>VLOOKUP($C18,'Raw - GVA'!$A:$M,3,FALSE)</f>
        <v>2697.375</v>
      </c>
      <c r="F18" s="218">
        <f>VLOOKUP($C18,'Raw - GVA'!$A:$M,4,FALSE)</f>
        <v>2871.25</v>
      </c>
      <c r="G18" s="218">
        <f>VLOOKUP($C18,'Raw - GVA'!$A:$M,5,FALSE)</f>
        <v>3080.375</v>
      </c>
      <c r="H18" s="228">
        <f t="shared" ref="H18:H21" si="6">IFERROR(SUM(G18-D18)/D18,"-")</f>
        <v>6.721233380970941E-2</v>
      </c>
      <c r="I18" s="220">
        <f t="shared" ref="I18:I21" si="7">IFERROR(G18-D18,"-")</f>
        <v>194</v>
      </c>
    </row>
    <row r="19" spans="2:12" s="137" customFormat="1" ht="19.5" customHeight="1">
      <c r="B19" s="226" t="s">
        <v>270</v>
      </c>
      <c r="C19" s="216" t="s">
        <v>156</v>
      </c>
      <c r="D19" s="218">
        <f>VLOOKUP($C19,'Raw - GVA'!$A:$M,2,FALSE)</f>
        <v>16932</v>
      </c>
      <c r="E19" s="218">
        <f>VLOOKUP($C19,'Raw - GVA'!$A:$M,3,FALSE)</f>
        <v>15383</v>
      </c>
      <c r="F19" s="218">
        <f>VLOOKUP($C19,'Raw - GVA'!$A:$M,4,FALSE)</f>
        <v>16089</v>
      </c>
      <c r="G19" s="218">
        <f>VLOOKUP($C19,'Raw - GVA'!$A:$M,5,FALSE)</f>
        <v>17906</v>
      </c>
      <c r="H19" s="228">
        <f t="shared" si="6"/>
        <v>5.7524214505079142E-2</v>
      </c>
      <c r="I19" s="220">
        <f t="shared" si="7"/>
        <v>974</v>
      </c>
      <c r="J19" s="231"/>
    </row>
    <row r="20" spans="2:12" s="137" customFormat="1" ht="19.5" customHeight="1">
      <c r="B20" s="226" t="s">
        <v>164</v>
      </c>
      <c r="C20" s="216" t="s">
        <v>46</v>
      </c>
      <c r="D20" s="218">
        <f>VLOOKUP($C20,'Raw - GVA'!$A:$M,2,FALSE)</f>
        <v>148903</v>
      </c>
      <c r="E20" s="218">
        <f>VLOOKUP($C20,'Raw - GVA'!$A:$M,3,FALSE)</f>
        <v>140724</v>
      </c>
      <c r="F20" s="218">
        <f>VLOOKUP($C20,'Raw - GVA'!$A:$M,4,FALSE)</f>
        <v>151499</v>
      </c>
      <c r="G20" s="218">
        <f>VLOOKUP($C20,'Raw - GVA'!$A:$M,5,FALSE)</f>
        <v>165714</v>
      </c>
      <c r="H20" s="228">
        <f t="shared" si="6"/>
        <v>0.11289900136330362</v>
      </c>
      <c r="I20" s="220">
        <f t="shared" si="7"/>
        <v>16811</v>
      </c>
      <c r="J20" s="231"/>
    </row>
    <row r="21" spans="2:12" s="137" customFormat="1" ht="19.5" customHeight="1">
      <c r="B21" s="226" t="s">
        <v>164</v>
      </c>
      <c r="C21" s="216" t="s">
        <v>47</v>
      </c>
      <c r="D21" s="218">
        <f>VLOOKUP($C21,'Raw - GVA'!$A:$M,2,FALSE)</f>
        <v>1995708</v>
      </c>
      <c r="E21" s="218">
        <f>VLOOKUP($C21,'Raw - GVA'!$A:$M,3,FALSE)</f>
        <v>1897957</v>
      </c>
      <c r="F21" s="218">
        <f>VLOOKUP($C21,'Raw - GVA'!$A:$M,4,FALSE)</f>
        <v>2046636</v>
      </c>
      <c r="G21" s="218">
        <f>VLOOKUP($C21,'Raw - GVA'!$A:$M,5,FALSE)</f>
        <v>2246047</v>
      </c>
      <c r="H21" s="228">
        <f t="shared" si="6"/>
        <v>0.12543869143181266</v>
      </c>
      <c r="I21" s="220">
        <f t="shared" si="7"/>
        <v>250339</v>
      </c>
      <c r="J21" s="231"/>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- 0</v>
      </c>
      <c r="G23" s="192" t="s">
        <v>225</v>
      </c>
      <c r="H23" s="192">
        <f>K5</f>
        <v>0</v>
      </c>
    </row>
    <row r="24" spans="2:12">
      <c r="B24" s="193" t="s">
        <v>207</v>
      </c>
    </row>
    <row r="25" spans="2:12">
      <c r="H25" s="195"/>
      <c r="I25" s="195"/>
      <c r="J25" s="195"/>
      <c r="K25" s="195"/>
      <c r="L25" s="191"/>
    </row>
  </sheetData>
  <sheetProtection algorithmName="SHA-512" hashValue="vKtMh7FYu8IDOg1U75Zoslpv26sOu6aOOMnrgT2GGxwI98Oz9XrVqicSQ6KcOCCD6XJ8d6xG8oJki3rTrgt0iQ==" saltValue="lFWiB9VmJcz7VPdKuXEOpw==" spinCount="100000" sheet="1" sort="0"/>
  <mergeCells count="4">
    <mergeCell ref="J4:K4"/>
    <mergeCell ref="H5:I5"/>
    <mergeCell ref="J5:K5"/>
    <mergeCell ref="F2:G2"/>
  </mergeCells>
  <hyperlinks>
    <hyperlink ref="C3" r:id="rId1" xr:uid="{00000000-0004-0000-2B00-000000000000}"/>
    <hyperlink ref="F2:G2" location="'Index RAG'!A1" display="Return to Index RAG" xr:uid="{00000000-0004-0000-2B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F11D7D2-8E68-414A-82D9-D8731EF84223}">
          <x14:formula1>
            <xm:f>Lookups!$B$27:$E$27</xm:f>
          </x14:formula1>
          <xm:sqref>C6</xm:sqref>
        </x14:dataValidation>
        <x14:dataValidation type="list" allowBlank="1" showInputMessage="1" showErrorMessage="1" xr:uid="{EB1FB665-951F-48CC-8E31-70E46819BA82}">
          <x14:formula1>
            <xm:f>Lookups!$B$36:$E$36</xm:f>
          </x14:formula1>
          <xm:sqref>C18</xm:sqref>
        </x14:dataValidation>
        <x14:dataValidation type="list" allowBlank="1" showInputMessage="1" showErrorMessage="1" xr:uid="{FD98010D-1E3A-4D8C-842D-8832287F20CE}">
          <x14:formula1>
            <xm:f>Lookups!$B$9:$B$13</xm:f>
          </x14:formula1>
          <xm:sqref>J5:K5</xm:sqref>
        </x14:dataValidation>
        <x14:dataValidation type="list" allowBlank="1" showInputMessage="1" showErrorMessage="1" xr:uid="{6C21BE53-35D9-47C5-A9F2-6C50D0431B3D}">
          <x14:formula1>
            <xm:f>Lookups!$Q$3:$Q$7</xm:f>
          </x14:formula1>
          <xm:sqref>C19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B1:L25"/>
  <sheetViews>
    <sheetView zoomScale="90" zoomScaleNormal="90" workbookViewId="0">
      <selection activeCell="E9" sqref="E9"/>
    </sheetView>
  </sheetViews>
  <sheetFormatPr defaultColWidth="9.140625" defaultRowHeight="12"/>
  <cols>
    <col min="1" max="1" width="9.140625" style="145"/>
    <col min="2" max="2" width="31.85546875" style="145" customWidth="1"/>
    <col min="3" max="3" width="24" style="145" customWidth="1" collapsed="1"/>
    <col min="4" max="7" width="14" style="145" customWidth="1" collapsed="1"/>
    <col min="8" max="12" width="14" style="145" customWidth="1"/>
    <col min="13" max="16384" width="9.140625" style="145"/>
  </cols>
  <sheetData>
    <row r="1" spans="2:12">
      <c r="C1" s="170" t="str">
        <f>CONCATENATE(C2,D1,C6)</f>
        <v>GVA per hour worked (£) - LGBF Family Group 1</v>
      </c>
      <c r="D1" s="170" t="s">
        <v>290</v>
      </c>
    </row>
    <row r="2" spans="2:12" ht="12.75">
      <c r="B2" s="171" t="s">
        <v>49</v>
      </c>
      <c r="C2" s="172" t="s">
        <v>92</v>
      </c>
      <c r="F2" s="467" t="s">
        <v>216</v>
      </c>
      <c r="G2" s="468"/>
    </row>
    <row r="3" spans="2:12" ht="12.75">
      <c r="B3" s="171" t="s">
        <v>50</v>
      </c>
      <c r="C3" s="321" t="s">
        <v>93</v>
      </c>
    </row>
    <row r="4" spans="2:12" ht="12.75">
      <c r="B4" s="172"/>
      <c r="C4" s="175" t="s">
        <v>208</v>
      </c>
      <c r="D4" s="176"/>
      <c r="J4" s="463" t="s">
        <v>53</v>
      </c>
      <c r="K4" s="463"/>
    </row>
    <row r="5" spans="2:12" ht="21.95" customHeight="1">
      <c r="C5" s="177"/>
      <c r="D5" s="178"/>
      <c r="E5" s="178"/>
      <c r="F5" s="178"/>
      <c r="G5" s="178"/>
      <c r="H5" s="469" t="s">
        <v>51</v>
      </c>
      <c r="I5" s="470"/>
      <c r="J5" s="471" t="s">
        <v>52</v>
      </c>
      <c r="K5" s="472"/>
    </row>
    <row r="6" spans="2:12" ht="26.1" customHeight="1">
      <c r="B6" s="179" t="s">
        <v>166</v>
      </c>
      <c r="C6" s="180" t="s">
        <v>242</v>
      </c>
      <c r="D6" s="181">
        <v>2019</v>
      </c>
      <c r="E6" s="181">
        <v>2020</v>
      </c>
      <c r="F6" s="181">
        <v>2021</v>
      </c>
      <c r="G6" s="181">
        <v>2022</v>
      </c>
      <c r="H6" s="182" t="s">
        <v>54</v>
      </c>
      <c r="I6" s="182" t="s">
        <v>55</v>
      </c>
      <c r="J6" s="182" t="s">
        <v>80</v>
      </c>
      <c r="K6" s="182" t="s">
        <v>58</v>
      </c>
    </row>
    <row r="7" spans="2:12" s="137" customFormat="1" ht="19.5" customHeight="1">
      <c r="B7" s="216" t="s">
        <v>153</v>
      </c>
      <c r="C7" s="216" t="str">
        <f>IF(C$6="LGBF Family Group 1",Lookups!I28,IF(C$6="LGBF Family Group 2",Lookups!J28,IF(C$6="LGBF Family Group 3",Lookups!K28,Lookups!L28)))</f>
        <v>Na h-Eileanan Siar</v>
      </c>
      <c r="D7" s="217">
        <f>INDEX('Raw - GVA phw'!$A$4:$F$49,MATCH('GVA phw'!$C7,'Raw - GVA phw'!$A$4:$A$37,0),MATCH('GVA phw'!D$6,'Raw - GVA phw'!$A$4:$F$4,0))</f>
        <v>28.5</v>
      </c>
      <c r="E7" s="217">
        <f>INDEX('Raw - GVA phw'!$A$4:$F$49,MATCH('GVA phw'!$C7,'Raw - GVA phw'!$A$4:$A$37,0),MATCH('GVA phw'!E$6,'Raw - GVA phw'!$A$4:$F$4,0))</f>
        <v>28.8</v>
      </c>
      <c r="F7" s="217">
        <f>INDEX('Raw - GVA phw'!$A$4:$F$49,MATCH('GVA phw'!$C7,'Raw - GVA phw'!$A$4:$A$37,0),MATCH('GVA phw'!F$6,'Raw - GVA phw'!$A$4:$F$4,0))</f>
        <v>28.8</v>
      </c>
      <c r="G7" s="217">
        <f>INDEX('Raw - GVA phw'!$A$4:$F$49,MATCH('GVA phw'!$C7,'Raw - GVA phw'!$A$4:$A$37,0),MATCH('GVA phw'!G$6,'Raw - GVA phw'!$A$4:$F$4,0))</f>
        <v>28.6</v>
      </c>
      <c r="H7" s="228">
        <f>IFERROR(SUM(G7-D7)/D7,"-")</f>
        <v>3.5087719298246113E-3</v>
      </c>
      <c r="I7" s="229">
        <f>IFERROR(G7-D7,"-")</f>
        <v>0.10000000000000142</v>
      </c>
      <c r="J7" s="230">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0.75524475524475521</v>
      </c>
      <c r="K7" s="221">
        <f t="shared" ref="K7:K14" si="1">IF(J7="","",IF($J$5="lgbf family Group Average",SUM(G$18-G7),IF($J$5="City Region Comparator",SUM(G$19-G7),IF($J$5="Scotland",SUM(G$20-G7),IF($J$5="United Kingdom",SUM(G$21-G7),SUM(G$17-G7))))))</f>
        <v>21.6</v>
      </c>
    </row>
    <row r="8" spans="2:12" s="137" customFormat="1" ht="19.5" customHeight="1">
      <c r="B8" s="216" t="s">
        <v>153</v>
      </c>
      <c r="C8" s="216" t="str">
        <f>IF(C$6="LGBF Family Group 1",Lookups!I29,IF(C$6="LGBF Family Group 2",Lookups!J29,IF(C$6="LGBF Family Group 3",Lookups!K29,Lookups!L29)))</f>
        <v>Argyll and Bute</v>
      </c>
      <c r="D8" s="217">
        <f>INDEX('Raw - GVA phw'!$A$4:$F$49,MATCH('GVA phw'!$C8,'Raw - GVA phw'!$A$4:$A$37,0),MATCH('GVA phw'!D$6,'Raw - GVA phw'!$A$4:$F$4,0))</f>
        <v>33.799999999999997</v>
      </c>
      <c r="E8" s="217">
        <f>INDEX('Raw - GVA phw'!$A$4:$F$49,MATCH('GVA phw'!$C8,'Raw - GVA phw'!$A$4:$A$37,0),MATCH('GVA phw'!E$6,'Raw - GVA phw'!$A$4:$F$4,0))</f>
        <v>35.799999999999997</v>
      </c>
      <c r="F8" s="217">
        <f>INDEX('Raw - GVA phw'!$A$4:$F$49,MATCH('GVA phw'!$C8,'Raw - GVA phw'!$A$4:$A$37,0),MATCH('GVA phw'!F$6,'Raw - GVA phw'!$A$4:$F$4,0))</f>
        <v>37.1</v>
      </c>
      <c r="G8" s="217">
        <f>INDEX('Raw - GVA phw'!$A$4:$F$49,MATCH('GVA phw'!$C8,'Raw - GVA phw'!$A$4:$A$37,0),MATCH('GVA phw'!G$6,'Raw - GVA phw'!$A$4:$F$4,0))</f>
        <v>37.9</v>
      </c>
      <c r="H8" s="228">
        <f t="shared" ref="H8:H14" si="2">IFERROR(SUM(G8-D8)/D8,"-")</f>
        <v>0.12130177514792904</v>
      </c>
      <c r="I8" s="229">
        <f t="shared" ref="I8:I14" si="3">IFERROR(G8-D8,"-")</f>
        <v>4.1000000000000014</v>
      </c>
      <c r="J8" s="230">
        <f t="shared" si="0"/>
        <v>0.32453825857519802</v>
      </c>
      <c r="K8" s="221">
        <f t="shared" si="1"/>
        <v>12.300000000000004</v>
      </c>
    </row>
    <row r="9" spans="2:12" s="137" customFormat="1" ht="19.5" customHeight="1">
      <c r="B9" s="216" t="s">
        <v>153</v>
      </c>
      <c r="C9" s="216" t="str">
        <f>IF(C$6="LGBF Family Group 1",Lookups!I30,IF(C$6="LGBF Family Group 2",Lookups!J30,IF(C$6="LGBF Family Group 3",Lookups!K30,Lookups!L30)))</f>
        <v>Shetland Islands</v>
      </c>
      <c r="D9" s="217">
        <f>INDEX('Raw - GVA phw'!$A$4:$F$49,MATCH('GVA phw'!$C9,'Raw - GVA phw'!$A$4:$A$37,0),MATCH('GVA phw'!D$6,'Raw - GVA phw'!$A$4:$F$4,0))</f>
        <v>35</v>
      </c>
      <c r="E9" s="217">
        <f>INDEX('Raw - GVA phw'!$A$4:$F$49,MATCH('GVA phw'!$C9,'Raw - GVA phw'!$A$4:$A$37,0),MATCH('GVA phw'!E$6,'Raw - GVA phw'!$A$4:$F$4,0))</f>
        <v>36</v>
      </c>
      <c r="F9" s="217">
        <f>INDEX('Raw - GVA phw'!$A$4:$F$49,MATCH('GVA phw'!$C9,'Raw - GVA phw'!$A$4:$A$37,0),MATCH('GVA phw'!F$6,'Raw - GVA phw'!$A$4:$F$4,0))</f>
        <v>37.9</v>
      </c>
      <c r="G9" s="217">
        <f>INDEX('Raw - GVA phw'!$A$4:$F$49,MATCH('GVA phw'!$C9,'Raw - GVA phw'!$A$4:$A$37,0),MATCH('GVA phw'!G$6,'Raw - GVA phw'!$A$4:$F$4,0))</f>
        <v>39.9</v>
      </c>
      <c r="H9" s="228">
        <f t="shared" si="2"/>
        <v>0.13999999999999996</v>
      </c>
      <c r="I9" s="229">
        <f t="shared" si="3"/>
        <v>4.8999999999999986</v>
      </c>
      <c r="J9" s="230">
        <f t="shared" si="0"/>
        <v>0.2581453634085214</v>
      </c>
      <c r="K9" s="221">
        <f t="shared" si="1"/>
        <v>10.300000000000004</v>
      </c>
    </row>
    <row r="10" spans="2:12" s="137" customFormat="1" ht="19.5" customHeight="1">
      <c r="B10" s="216" t="s">
        <v>153</v>
      </c>
      <c r="C10" s="216" t="str">
        <f>IF(C$6="LGBF Family Group 1",Lookups!I31,IF(C$6="LGBF Family Group 2",Lookups!J31,IF(C$6="LGBF Family Group 3",Lookups!K31,Lookups!L31)))</f>
        <v>Highland</v>
      </c>
      <c r="D10" s="217">
        <f>INDEX('Raw - GVA phw'!$A$4:$F$49,MATCH('GVA phw'!$C10,'Raw - GVA phw'!$A$4:$A$37,0),MATCH('GVA phw'!D$6,'Raw - GVA phw'!$A$4:$F$4,0))</f>
        <v>34.6</v>
      </c>
      <c r="E10" s="217">
        <f>INDEX('Raw - GVA phw'!$A$4:$F$49,MATCH('GVA phw'!$C10,'Raw - GVA phw'!$A$4:$A$37,0),MATCH('GVA phw'!E$6,'Raw - GVA phw'!$A$4:$F$4,0))</f>
        <v>36</v>
      </c>
      <c r="F10" s="217">
        <f>INDEX('Raw - GVA phw'!$A$4:$F$49,MATCH('GVA phw'!$C10,'Raw - GVA phw'!$A$4:$A$37,0),MATCH('GVA phw'!F$6,'Raw - GVA phw'!$A$4:$F$4,0))</f>
        <v>36.6</v>
      </c>
      <c r="G10" s="217">
        <f>INDEX('Raw - GVA phw'!$A$4:$F$49,MATCH('GVA phw'!$C10,'Raw - GVA phw'!$A$4:$A$37,0),MATCH('GVA phw'!G$6,'Raw - GVA phw'!$A$4:$F$4,0))</f>
        <v>36.799999999999997</v>
      </c>
      <c r="H10" s="228">
        <f t="shared" si="2"/>
        <v>6.3583815028901605E-2</v>
      </c>
      <c r="I10" s="229">
        <f t="shared" si="3"/>
        <v>2.1999999999999957</v>
      </c>
      <c r="J10" s="230">
        <f t="shared" si="0"/>
        <v>0.36413043478260887</v>
      </c>
      <c r="K10" s="221">
        <f t="shared" si="1"/>
        <v>13.400000000000006</v>
      </c>
    </row>
    <row r="11" spans="2:12" s="137" customFormat="1" ht="19.5" customHeight="1">
      <c r="B11" s="216" t="s">
        <v>153</v>
      </c>
      <c r="C11" s="216" t="str">
        <f>IF(C$6="LGBF Family Group 1",Lookups!I32,IF(C$6="LGBF Family Group 2",Lookups!J32,IF(C$6="LGBF Family Group 3",Lookups!K32,Lookups!L32)))</f>
        <v>Orkney Islands</v>
      </c>
      <c r="D11" s="217">
        <f>INDEX('Raw - GVA phw'!$A$4:$F$49,MATCH('GVA phw'!$C11,'Raw - GVA phw'!$A$4:$A$37,0),MATCH('GVA phw'!D$6,'Raw - GVA phw'!$A$4:$F$4,0))</f>
        <v>34.700000000000003</v>
      </c>
      <c r="E11" s="217">
        <f>INDEX('Raw - GVA phw'!$A$4:$F$49,MATCH('GVA phw'!$C11,'Raw - GVA phw'!$A$4:$A$37,0),MATCH('GVA phw'!E$6,'Raw - GVA phw'!$A$4:$F$4,0))</f>
        <v>39.4</v>
      </c>
      <c r="F11" s="217">
        <f>INDEX('Raw - GVA phw'!$A$4:$F$49,MATCH('GVA phw'!$C11,'Raw - GVA phw'!$A$4:$A$37,0),MATCH('GVA phw'!F$6,'Raw - GVA phw'!$A$4:$F$4,0))</f>
        <v>44</v>
      </c>
      <c r="G11" s="217">
        <f>INDEX('Raw - GVA phw'!$A$4:$F$49,MATCH('GVA phw'!$C11,'Raw - GVA phw'!$A$4:$A$37,0),MATCH('GVA phw'!G$6,'Raw - GVA phw'!$A$4:$F$4,0))</f>
        <v>46.2</v>
      </c>
      <c r="H11" s="228">
        <f t="shared" si="2"/>
        <v>0.33141210374639768</v>
      </c>
      <c r="I11" s="229">
        <f t="shared" si="3"/>
        <v>11.5</v>
      </c>
      <c r="J11" s="230">
        <f t="shared" si="0"/>
        <v>8.6580086580086577E-2</v>
      </c>
      <c r="K11" s="221">
        <f t="shared" si="1"/>
        <v>4</v>
      </c>
    </row>
    <row r="12" spans="2:12" s="137" customFormat="1" ht="19.5" customHeight="1">
      <c r="B12" s="216" t="s">
        <v>153</v>
      </c>
      <c r="C12" s="216" t="str">
        <f>IF(C$6="LGBF Family Group 1",Lookups!I33,IF(C$6="LGBF Family Group 2",Lookups!J33,IF(C$6="LGBF Family Group 3",Lookups!K33,Lookups!L33)))</f>
        <v>Scottish Borders</v>
      </c>
      <c r="D12" s="217">
        <f>INDEX('Raw - GVA phw'!$A$4:$F$49,MATCH('GVA phw'!$C12,'Raw - GVA phw'!$A$4:$A$37,0),MATCH('GVA phw'!D$6,'Raw - GVA phw'!$A$4:$F$4,0))</f>
        <v>31</v>
      </c>
      <c r="E12" s="217">
        <f>INDEX('Raw - GVA phw'!$A$4:$F$49,MATCH('GVA phw'!$C12,'Raw - GVA phw'!$A$4:$A$37,0),MATCH('GVA phw'!E$6,'Raw - GVA phw'!$A$4:$F$4,0))</f>
        <v>32.1</v>
      </c>
      <c r="F12" s="217">
        <f>INDEX('Raw - GVA phw'!$A$4:$F$49,MATCH('GVA phw'!$C12,'Raw - GVA phw'!$A$4:$A$37,0),MATCH('GVA phw'!F$6,'Raw - GVA phw'!$A$4:$F$4,0))</f>
        <v>32.700000000000003</v>
      </c>
      <c r="G12" s="217">
        <f>INDEX('Raw - GVA phw'!$A$4:$F$49,MATCH('GVA phw'!$C12,'Raw - GVA phw'!$A$4:$A$37,0),MATCH('GVA phw'!G$6,'Raw - GVA phw'!$A$4:$F$4,0))</f>
        <v>33</v>
      </c>
      <c r="H12" s="228">
        <f t="shared" si="2"/>
        <v>6.4516129032258063E-2</v>
      </c>
      <c r="I12" s="229">
        <f t="shared" si="3"/>
        <v>2</v>
      </c>
      <c r="J12" s="230">
        <f t="shared" si="0"/>
        <v>0.52121212121212135</v>
      </c>
      <c r="K12" s="221">
        <f t="shared" si="1"/>
        <v>17.200000000000003</v>
      </c>
    </row>
    <row r="13" spans="2:12" s="137" customFormat="1" ht="19.5" customHeight="1">
      <c r="B13" s="216" t="s">
        <v>153</v>
      </c>
      <c r="C13" s="216" t="str">
        <f>IF(C$6="LGBF Family Group 1",Lookups!I34,IF(C$6="LGBF Family Group 2",Lookups!J34,IF(C$6="LGBF Family Group 3",Lookups!K34,Lookups!L34)))</f>
        <v>Dumfries and Galloway</v>
      </c>
      <c r="D13" s="217">
        <f>INDEX('Raw - GVA phw'!$A$4:$F$49,MATCH('GVA phw'!$C13,'Raw - GVA phw'!$A$4:$A$37,0),MATCH('GVA phw'!D$6,'Raw - GVA phw'!$A$4:$F$4,0))</f>
        <v>33.700000000000003</v>
      </c>
      <c r="E13" s="217">
        <f>INDEX('Raw - GVA phw'!$A$4:$F$49,MATCH('GVA phw'!$C13,'Raw - GVA phw'!$A$4:$A$37,0),MATCH('GVA phw'!E$6,'Raw - GVA phw'!$A$4:$F$4,0))</f>
        <v>35.299999999999997</v>
      </c>
      <c r="F13" s="217">
        <f>INDEX('Raw - GVA phw'!$A$4:$F$49,MATCH('GVA phw'!$C13,'Raw - GVA phw'!$A$4:$A$37,0),MATCH('GVA phw'!F$6,'Raw - GVA phw'!$A$4:$F$4,0))</f>
        <v>35.700000000000003</v>
      </c>
      <c r="G13" s="217">
        <f>INDEX('Raw - GVA phw'!$A$4:$F$49,MATCH('GVA phw'!$C13,'Raw - GVA phw'!$A$4:$A$37,0),MATCH('GVA phw'!G$6,'Raw - GVA phw'!$A$4:$F$4,0))</f>
        <v>35.9</v>
      </c>
      <c r="H13" s="228">
        <f t="shared" si="2"/>
        <v>6.5281899109792152E-2</v>
      </c>
      <c r="I13" s="229">
        <f t="shared" si="3"/>
        <v>2.1999999999999957</v>
      </c>
      <c r="J13" s="230">
        <f t="shared" si="0"/>
        <v>0.39832869080779959</v>
      </c>
      <c r="K13" s="221">
        <f t="shared" si="1"/>
        <v>14.300000000000004</v>
      </c>
    </row>
    <row r="14" spans="2:12" s="137" customFormat="1" ht="19.5" customHeight="1">
      <c r="B14" s="216" t="s">
        <v>153</v>
      </c>
      <c r="C14" s="216" t="str">
        <f>IF(C$6="LGBF Family Group 1",Lookups!I35,IF(C$6="LGBF Family Group 2",Lookups!J35,IF(C$6="LGBF Family Group 3",Lookups!K35,Lookups!L35)))</f>
        <v>Aberdeenshire</v>
      </c>
      <c r="D14" s="217">
        <f>INDEX('Raw - GVA phw'!$A$4:$F$49,MATCH('GVA phw'!$C14,'Raw - GVA phw'!$A$4:$A$37,0),MATCH('GVA phw'!D$6,'Raw - GVA phw'!$A$4:$F$4,0))</f>
        <v>36.4</v>
      </c>
      <c r="E14" s="217">
        <f>INDEX('Raw - GVA phw'!$A$4:$F$49,MATCH('GVA phw'!$C14,'Raw - GVA phw'!$A$4:$A$37,0),MATCH('GVA phw'!E$6,'Raw - GVA phw'!$A$4:$F$4,0))</f>
        <v>37.1</v>
      </c>
      <c r="F14" s="217">
        <f>INDEX('Raw - GVA phw'!$A$4:$F$49,MATCH('GVA phw'!$C14,'Raw - GVA phw'!$A$4:$A$37,0),MATCH('GVA phw'!F$6,'Raw - GVA phw'!$A$4:$F$4,0))</f>
        <v>37.5</v>
      </c>
      <c r="G14" s="217">
        <f>INDEX('Raw - GVA phw'!$A$4:$F$49,MATCH('GVA phw'!$C14,'Raw - GVA phw'!$A$4:$A$37,0),MATCH('GVA phw'!G$6,'Raw - GVA phw'!$A$4:$F$4,0))</f>
        <v>37.6</v>
      </c>
      <c r="H14" s="228">
        <f t="shared" si="2"/>
        <v>3.2967032967033044E-2</v>
      </c>
      <c r="I14" s="229">
        <f t="shared" si="3"/>
        <v>1.2000000000000028</v>
      </c>
      <c r="J14" s="230">
        <f t="shared" si="0"/>
        <v>0.33510638297872342</v>
      </c>
      <c r="K14" s="221">
        <f t="shared" si="1"/>
        <v>12.600000000000001</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5"/>
      <c r="I16" s="225"/>
      <c r="J16" s="225"/>
      <c r="K16" s="225"/>
      <c r="L16" s="225"/>
    </row>
    <row r="17" spans="2:12" s="137" customFormat="1" ht="19.5" customHeight="1">
      <c r="B17" s="226" t="s">
        <v>52</v>
      </c>
      <c r="C17" s="216" t="str">
        <f>INDEX('Raw - GVA phw'!$A$6:$A$37,MATCH(MAX('Raw - GVA phw'!F6:F37),'Raw - GVA phw'!F6:F37,0))</f>
        <v>Clackmannanshire</v>
      </c>
      <c r="D17" s="217">
        <f>INDEX('Raw - GVA phw'!$A$4:$F$49,MATCH('GVA phw'!$C17,'Raw - GVA phw'!$A$4:$A$37,0),MATCH('GVA phw'!D$6,'Raw - GVA phw'!$A$4:$F$4,0))</f>
        <v>47</v>
      </c>
      <c r="E17" s="217">
        <f>INDEX('Raw - GVA phw'!$A$4:$F$49,MATCH('GVA phw'!$C17,'Raw - GVA phw'!$A$4:$A$37,0),MATCH('GVA phw'!E$6,'Raw - GVA phw'!$A$4:$F$4,0))</f>
        <v>48.7</v>
      </c>
      <c r="F17" s="217">
        <f>INDEX('Raw - GVA phw'!$A$4:$F$49,MATCH('GVA phw'!$C17,'Raw - GVA phw'!$A$4:$A$37,0),MATCH('GVA phw'!F$6,'Raw - GVA phw'!$A$4:$F$4,0))</f>
        <v>49.6</v>
      </c>
      <c r="G17" s="217">
        <f>INDEX('Raw - GVA phw'!$A$4:$F$49,MATCH('GVA phw'!$C17,'Raw - GVA phw'!$A$4:$A$37,0),MATCH('GVA phw'!G$6,'Raw - GVA phw'!$A$4:$F$4,0))</f>
        <v>50.2</v>
      </c>
      <c r="H17" s="228">
        <f t="shared" ref="H17" si="4">IFERROR(SUM(G17-D17)/D17,"-")</f>
        <v>6.808510638297878E-2</v>
      </c>
      <c r="I17" s="229">
        <f t="shared" ref="I17" si="5">IFERROR(G17-D17,"-")</f>
        <v>3.2000000000000028</v>
      </c>
      <c r="J17" s="231"/>
    </row>
    <row r="18" spans="2:12" s="137" customFormat="1" ht="19.5" customHeight="1">
      <c r="B18" s="226" t="s">
        <v>271</v>
      </c>
      <c r="C18" s="227" t="s">
        <v>246</v>
      </c>
      <c r="D18" s="217">
        <f>INDEX('Raw - GVA phw'!$A$4:$F$49,MATCH('GVA phw'!$C18,'Raw - GVA phw'!$A$4:$A$49,0),MATCH('GVA phw'!D$6,'Raw - GVA phw'!$A$4:$F$4,0))</f>
        <v>33.462499999999999</v>
      </c>
      <c r="E18" s="217">
        <f>INDEX('Raw - GVA phw'!$A$4:$F$49,MATCH('GVA phw'!$C18,'Raw - GVA phw'!$A$4:$A$49,0),MATCH('GVA phw'!E$6,'Raw - GVA phw'!$A$4:$F$4,0))</f>
        <v>35.0625</v>
      </c>
      <c r="F18" s="217">
        <f>INDEX('Raw - GVA phw'!$A$4:$F$49,MATCH('GVA phw'!$C18,'Raw - GVA phw'!$A$4:$A$49,0),MATCH('GVA phw'!F$6,'Raw - GVA phw'!$A$4:$F$4,0))</f>
        <v>36.287500000000001</v>
      </c>
      <c r="G18" s="217">
        <f>INDEX('Raw - GVA phw'!$A$4:$F$49,MATCH('GVA phw'!$C18,'Raw - GVA phw'!$A$4:$A$49,0),MATCH('GVA phw'!G$6,'Raw - GVA phw'!$A$4:$F$4,0))</f>
        <v>36.987499999999997</v>
      </c>
      <c r="H18" s="228">
        <f t="shared" ref="H18:H21" si="6">IFERROR(SUM(G18-D18)/D18,"-")</f>
        <v>0.10534180052297344</v>
      </c>
      <c r="I18" s="229">
        <f t="shared" ref="I18:I21" si="7">IFERROR(G18-D18,"-")</f>
        <v>3.5249999999999986</v>
      </c>
    </row>
    <row r="19" spans="2:12" s="137" customFormat="1" ht="19.5" customHeight="1">
      <c r="B19" s="226" t="s">
        <v>270</v>
      </c>
      <c r="C19" s="216" t="s">
        <v>156</v>
      </c>
      <c r="D19" s="217">
        <f>INDEX('Raw - GVA phw'!$A$4:$F$49,MATCH('GVA phw'!$C19,'Raw - GVA phw'!$A$4:$A$49,0),MATCH('GVA phw'!D$6,'Raw - GVA phw'!$A$4:$F$4,0))</f>
        <v>36</v>
      </c>
      <c r="E19" s="217">
        <f>INDEX('Raw - GVA phw'!$A$4:$F$49,MATCH('GVA phw'!$C19,'Raw - GVA phw'!$A$4:$A$49,0),MATCH('GVA phw'!E$6,'Raw - GVA phw'!$A$4:$F$4,0))</f>
        <v>37.150000000000006</v>
      </c>
      <c r="F19" s="217">
        <f>INDEX('Raw - GVA phw'!$A$4:$F$49,MATCH('GVA phw'!$C19,'Raw - GVA phw'!$A$4:$A$49,0),MATCH('GVA phw'!F$6,'Raw - GVA phw'!$A$4:$F$4,0))</f>
        <v>37.85</v>
      </c>
      <c r="G19" s="217">
        <f>INDEX('Raw - GVA phw'!$A$4:$F$49,MATCH('GVA phw'!$C19,'Raw - GVA phw'!$A$4:$A$49,0),MATCH('GVA phw'!G$6,'Raw - GVA phw'!$A$4:$F$4,0))</f>
        <v>38.25</v>
      </c>
      <c r="H19" s="228">
        <f t="shared" si="6"/>
        <v>6.25E-2</v>
      </c>
      <c r="I19" s="229">
        <f t="shared" si="7"/>
        <v>2.25</v>
      </c>
      <c r="J19" s="231"/>
    </row>
    <row r="20" spans="2:12" s="137" customFormat="1" ht="19.5" customHeight="1">
      <c r="B20" s="226" t="s">
        <v>164</v>
      </c>
      <c r="C20" s="216" t="s">
        <v>46</v>
      </c>
      <c r="D20" s="217">
        <f>INDEX('Raw - GVA phw'!$A$4:$F$49,MATCH('GVA phw'!$C20,'Raw - GVA phw'!$A$4:$A$49,0),MATCH('GVA phw'!D$6,'Raw - GVA phw'!$A$4:$F$4,0))</f>
        <v>36.06</v>
      </c>
      <c r="E20" s="217">
        <f>INDEX('Raw - GVA phw'!$A$4:$F$49,MATCH('GVA phw'!$C20,'Raw - GVA phw'!$A$4:$A$49,0),MATCH('GVA phw'!E$6,'Raw - GVA phw'!$A$4:$F$4,0))</f>
        <v>36.869999999999997</v>
      </c>
      <c r="F20" s="217">
        <f>INDEX('Raw - GVA phw'!$A$4:$F$49,MATCH('GVA phw'!$C20,'Raw - GVA phw'!$A$4:$A$49,0),MATCH('GVA phw'!F$6,'Raw - GVA phw'!$A$4:$F$4,0))</f>
        <v>36.950000000000003</v>
      </c>
      <c r="G20" s="217">
        <f>INDEX('Raw - GVA phw'!$A$4:$F$49,MATCH('GVA phw'!$C20,'Raw - GVA phw'!$A$4:$A$49,0),MATCH('GVA phw'!G$6,'Raw - GVA phw'!$A$4:$F$4,0))</f>
        <v>38.5</v>
      </c>
      <c r="H20" s="228">
        <f t="shared" si="6"/>
        <v>6.7665002773155777E-2</v>
      </c>
      <c r="I20" s="229">
        <f t="shared" si="7"/>
        <v>2.4399999999999977</v>
      </c>
      <c r="J20" s="231"/>
    </row>
    <row r="21" spans="2:12" s="137" customFormat="1" ht="19.5" customHeight="1">
      <c r="B21" s="226" t="s">
        <v>164</v>
      </c>
      <c r="C21" s="216" t="s">
        <v>47</v>
      </c>
      <c r="D21" s="217">
        <f>INDEX('Raw - GVA phw'!$A$4:$F$49,MATCH('GVA phw'!$C21,'Raw - GVA phw'!$A$4:$A$49,0),MATCH('GVA phw'!D$6,'Raw - GVA phw'!$A$4:$F$4,0))</f>
        <v>36.950000000000003</v>
      </c>
      <c r="E21" s="217">
        <f>INDEX('Raw - GVA phw'!$A$4:$F$49,MATCH('GVA phw'!$C21,'Raw - GVA phw'!$A$4:$A$49,0),MATCH('GVA phw'!E$6,'Raw - GVA phw'!$A$4:$F$4,0))</f>
        <v>37.729999999999997</v>
      </c>
      <c r="F21" s="217">
        <f>INDEX('Raw - GVA phw'!$A$4:$F$49,MATCH('GVA phw'!$C21,'Raw - GVA phw'!$A$4:$A$49,0),MATCH('GVA phw'!F$6,'Raw - GVA phw'!$A$4:$F$4,0))</f>
        <v>38.33</v>
      </c>
      <c r="G21" s="217">
        <f>INDEX('Raw - GVA phw'!$A$4:$F$49,MATCH('GVA phw'!$C21,'Raw - GVA phw'!$A$4:$A$49,0),MATCH('GVA phw'!G$6,'Raw - GVA phw'!$A$4:$F$4,0))</f>
        <v>39.700000000000003</v>
      </c>
      <c r="H21" s="228">
        <f t="shared" si="6"/>
        <v>7.4424898511502025E-2</v>
      </c>
      <c r="I21" s="229">
        <f t="shared" si="7"/>
        <v>2.75</v>
      </c>
      <c r="J21" s="231"/>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J5</f>
        <v>Top Performing Scottish Local Authority</v>
      </c>
    </row>
    <row r="24" spans="2:12">
      <c r="B24" s="193" t="s">
        <v>207</v>
      </c>
    </row>
    <row r="25" spans="2:12">
      <c r="H25" s="195"/>
      <c r="I25" s="195"/>
      <c r="J25" s="195"/>
      <c r="K25" s="195"/>
      <c r="L25" s="191"/>
    </row>
  </sheetData>
  <sheetProtection algorithmName="SHA-512" hashValue="XzhEz+6WV5hIqinstbGbhyuEJHKtSOQcCTS8h8VuFfl2/qijTNzR45/ougiYzva7JNnHEp6hqsLh+cfaf526oA==" saltValue="+eJGEufLzCHaK5YH0pcV9w==" spinCount="100000" sheet="1" sort="0"/>
  <mergeCells count="4">
    <mergeCell ref="J4:K4"/>
    <mergeCell ref="H5:I5"/>
    <mergeCell ref="J5:K5"/>
    <mergeCell ref="F2:G2"/>
  </mergeCells>
  <hyperlinks>
    <hyperlink ref="F2:G2" location="'Index RAG'!A1" display="Return to Index RAG" xr:uid="{00000000-0004-0000-2C00-000001000000}"/>
    <hyperlink ref="C3" r:id="rId1" xr:uid="{D7082CDE-282A-41BB-8B65-BB992E28E579}"/>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02E21BF-DF08-422E-8B09-7A918E1F3807}">
          <x14:formula1>
            <xm:f>Lookups!$B$27:$E$27</xm:f>
          </x14:formula1>
          <xm:sqref>C6</xm:sqref>
        </x14:dataValidation>
        <x14:dataValidation type="list" allowBlank="1" showInputMessage="1" showErrorMessage="1" xr:uid="{9FDF9AEE-B046-45F6-A108-3E58AB1FFFF0}">
          <x14:formula1>
            <xm:f>Lookups!$B$36:$E$36</xm:f>
          </x14:formula1>
          <xm:sqref>C18</xm:sqref>
        </x14:dataValidation>
        <x14:dataValidation type="list" allowBlank="1" showInputMessage="1" showErrorMessage="1" xr:uid="{3561C674-8AB4-4E76-B92B-5FD720E7A219}">
          <x14:formula1>
            <xm:f>Lookups!$B$9:$B$13</xm:f>
          </x14:formula1>
          <xm:sqref>J5:K5</xm:sqref>
        </x14:dataValidation>
        <x14:dataValidation type="list" allowBlank="1" showInputMessage="1" showErrorMessage="1" xr:uid="{D674D9E2-9F36-45C1-9983-FA8EF2CBC956}">
          <x14:formula1>
            <xm:f>Lookups!$Q$3:$Q$7</xm:f>
          </x14:formula1>
          <xm:sqref>C19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2CC"/>
    <pageSetUpPr autoPageBreaks="0"/>
  </sheetPr>
  <dimension ref="A1:S59"/>
  <sheetViews>
    <sheetView topLeftCell="A37" workbookViewId="0">
      <selection activeCell="T38" sqref="T38"/>
    </sheetView>
  </sheetViews>
  <sheetFormatPr defaultColWidth="8.7109375" defaultRowHeight="15"/>
  <cols>
    <col min="1" max="1" width="25.28515625" customWidth="1" collapsed="1"/>
    <col min="2" max="17" width="14.7109375" customWidth="1" collapsed="1"/>
  </cols>
  <sheetData>
    <row r="1" spans="1:19">
      <c r="A1" s="11" t="s">
        <v>60</v>
      </c>
    </row>
    <row r="2" spans="1:19">
      <c r="A2" s="2"/>
    </row>
    <row r="4" spans="1:19">
      <c r="A4" s="3" t="s">
        <v>2</v>
      </c>
      <c r="B4" s="10" t="s">
        <v>59</v>
      </c>
    </row>
    <row r="5" spans="1:19">
      <c r="A5" s="3" t="s">
        <v>4</v>
      </c>
      <c r="B5" s="3"/>
    </row>
    <row r="7" spans="1:19" ht="21.95" customHeight="1">
      <c r="A7" s="5" t="s">
        <v>7</v>
      </c>
      <c r="B7" s="473" t="s">
        <v>262</v>
      </c>
      <c r="C7" s="473"/>
      <c r="D7" s="473"/>
      <c r="E7" s="473"/>
      <c r="F7" s="473" t="s">
        <v>354</v>
      </c>
      <c r="G7" s="473"/>
      <c r="H7" s="473"/>
      <c r="I7" s="473"/>
      <c r="J7" s="473" t="s">
        <v>405</v>
      </c>
      <c r="K7" s="473"/>
      <c r="L7" s="473"/>
      <c r="M7" s="473"/>
      <c r="N7" s="473" t="s">
        <v>476</v>
      </c>
      <c r="O7" s="473"/>
      <c r="P7" s="473"/>
      <c r="Q7" s="473"/>
    </row>
    <row r="8" spans="1:19" ht="26.1" customHeight="1">
      <c r="B8" s="4" t="s">
        <v>8</v>
      </c>
      <c r="C8" s="4" t="s">
        <v>9</v>
      </c>
      <c r="D8" s="4" t="s">
        <v>10</v>
      </c>
      <c r="E8" s="4" t="s">
        <v>11</v>
      </c>
      <c r="F8" s="4" t="s">
        <v>8</v>
      </c>
      <c r="G8" s="4" t="s">
        <v>9</v>
      </c>
      <c r="H8" s="4" t="s">
        <v>10</v>
      </c>
      <c r="I8" s="4" t="s">
        <v>11</v>
      </c>
      <c r="J8" s="4" t="s">
        <v>8</v>
      </c>
      <c r="K8" s="4" t="s">
        <v>9</v>
      </c>
      <c r="L8" s="4" t="s">
        <v>10</v>
      </c>
      <c r="M8" s="4" t="s">
        <v>11</v>
      </c>
      <c r="N8" s="4" t="s">
        <v>8</v>
      </c>
      <c r="O8" s="4" t="s">
        <v>9</v>
      </c>
      <c r="P8" s="4" t="s">
        <v>10</v>
      </c>
      <c r="Q8" s="4" t="s">
        <v>11</v>
      </c>
    </row>
    <row r="9" spans="1:19">
      <c r="A9" s="10" t="s">
        <v>15</v>
      </c>
      <c r="B9" s="15">
        <v>7279</v>
      </c>
      <c r="C9" s="15">
        <v>34103.363086828358</v>
      </c>
      <c r="D9" s="14">
        <v>21.343936026096344</v>
      </c>
      <c r="E9" s="14"/>
      <c r="F9" s="15">
        <v>7456</v>
      </c>
      <c r="G9" s="15">
        <v>40661.931476585429</v>
      </c>
      <c r="H9" s="14">
        <v>18.336561322212219</v>
      </c>
      <c r="I9" s="14"/>
      <c r="J9" s="15">
        <v>7994</v>
      </c>
      <c r="K9" s="15">
        <v>39016.662214406955</v>
      </c>
      <c r="L9" s="14">
        <v>20.488682389259338</v>
      </c>
      <c r="M9" s="14"/>
      <c r="N9" s="15">
        <v>8476</v>
      </c>
      <c r="O9" s="15">
        <v>38868.787092507577</v>
      </c>
      <c r="P9" s="14">
        <v>21.806700527667999</v>
      </c>
      <c r="Q9" s="7"/>
      <c r="S9" s="60"/>
    </row>
    <row r="10" spans="1:19">
      <c r="A10" s="10" t="s">
        <v>16</v>
      </c>
      <c r="B10" s="15">
        <v>9210</v>
      </c>
      <c r="C10" s="15">
        <v>55243.69414964741</v>
      </c>
      <c r="D10" s="14">
        <v>16.671586036682129</v>
      </c>
      <c r="E10" s="14"/>
      <c r="F10" s="15">
        <v>8074</v>
      </c>
      <c r="G10" s="15">
        <v>56988.25404088886</v>
      </c>
      <c r="H10" s="14">
        <v>14.167831838130951</v>
      </c>
      <c r="I10" s="14"/>
      <c r="J10" s="15">
        <v>8799</v>
      </c>
      <c r="K10" s="15">
        <v>54929.160693295766</v>
      </c>
      <c r="L10" s="14">
        <v>16.018813848495483</v>
      </c>
      <c r="M10" s="14"/>
      <c r="N10" s="15">
        <v>8846</v>
      </c>
      <c r="O10" s="15">
        <v>53666.488510085888</v>
      </c>
      <c r="P10" s="14">
        <v>16.483284533023834</v>
      </c>
      <c r="Q10" s="7"/>
    </row>
    <row r="11" spans="1:19">
      <c r="A11" s="10" t="s">
        <v>17</v>
      </c>
      <c r="B11" s="15">
        <v>5019</v>
      </c>
      <c r="C11" s="15">
        <v>20872.284120378059</v>
      </c>
      <c r="D11" s="14">
        <v>24.046242237091064</v>
      </c>
      <c r="E11" s="14"/>
      <c r="F11" s="15">
        <v>4600</v>
      </c>
      <c r="G11" s="15">
        <v>22329.103718390419</v>
      </c>
      <c r="H11" s="14">
        <v>20.60091644525528</v>
      </c>
      <c r="I11" s="14"/>
      <c r="J11" s="15">
        <v>5067</v>
      </c>
      <c r="K11" s="15">
        <v>20943.671571499315</v>
      </c>
      <c r="L11" s="14">
        <v>24.193465709686279</v>
      </c>
      <c r="M11" s="14"/>
      <c r="N11" s="15">
        <v>5147</v>
      </c>
      <c r="O11" s="15">
        <v>20660.242805013426</v>
      </c>
      <c r="P11" s="14">
        <v>24.912582337856293</v>
      </c>
      <c r="Q11" s="7"/>
    </row>
    <row r="12" spans="1:19">
      <c r="A12" s="10" t="s">
        <v>18</v>
      </c>
      <c r="B12" s="15">
        <v>3684</v>
      </c>
      <c r="C12" s="15">
        <v>15816.082052788543</v>
      </c>
      <c r="D12" s="14">
        <v>23.292747139930725</v>
      </c>
      <c r="E12" s="14"/>
      <c r="F12" s="15">
        <v>2813</v>
      </c>
      <c r="G12" s="15">
        <v>14913.100916752821</v>
      </c>
      <c r="H12" s="14">
        <v>18.862609565258026</v>
      </c>
      <c r="I12" s="14"/>
      <c r="J12" s="15">
        <v>3062</v>
      </c>
      <c r="K12" s="15">
        <v>14102.343031973662</v>
      </c>
      <c r="L12" s="14">
        <v>21.712704002857208</v>
      </c>
      <c r="M12" s="14"/>
      <c r="N12" s="15">
        <v>3258</v>
      </c>
      <c r="O12" s="15">
        <v>13870.85206646442</v>
      </c>
      <c r="P12" s="14">
        <v>23.488102853298187</v>
      </c>
      <c r="Q12" s="7"/>
    </row>
    <row r="13" spans="1:19">
      <c r="A13" s="10" t="s">
        <v>126</v>
      </c>
      <c r="B13" s="15">
        <v>17980</v>
      </c>
      <c r="C13" s="15">
        <v>88770.461088441429</v>
      </c>
      <c r="D13" s="14">
        <v>20.254485309123993</v>
      </c>
      <c r="E13" s="14"/>
      <c r="F13" s="15">
        <v>16142</v>
      </c>
      <c r="G13" s="15">
        <v>93618.589904704932</v>
      </c>
      <c r="H13" s="14">
        <v>17.242302000522614</v>
      </c>
      <c r="I13" s="14"/>
      <c r="J13" s="15">
        <v>17339</v>
      </c>
      <c r="K13" s="15">
        <v>88730.628247452783</v>
      </c>
      <c r="L13" s="14">
        <v>19.541166722774506</v>
      </c>
      <c r="M13" s="14"/>
      <c r="N13" s="15">
        <v>17907</v>
      </c>
      <c r="O13" s="15">
        <v>87796.818588413618</v>
      </c>
      <c r="P13" s="14">
        <v>20.395955443382263</v>
      </c>
      <c r="Q13" s="7"/>
    </row>
    <row r="14" spans="1:19">
      <c r="A14" s="10" t="s">
        <v>19</v>
      </c>
      <c r="B14" s="15">
        <v>2640</v>
      </c>
      <c r="C14" s="15">
        <v>9661.4721950344847</v>
      </c>
      <c r="D14" s="14">
        <v>27.32502818107605</v>
      </c>
      <c r="E14" s="14"/>
      <c r="F14" s="15">
        <v>2480</v>
      </c>
      <c r="G14" s="15">
        <v>10359.622200853817</v>
      </c>
      <c r="H14" s="14">
        <v>23.939096927642822</v>
      </c>
      <c r="I14" s="14"/>
      <c r="J14" s="15">
        <v>2764</v>
      </c>
      <c r="K14" s="15">
        <v>9779.7211434828423</v>
      </c>
      <c r="L14" s="14">
        <v>28.262564539909363</v>
      </c>
      <c r="M14" s="14"/>
      <c r="N14" s="15">
        <v>2813</v>
      </c>
      <c r="O14" s="15">
        <v>9640.7742409936745</v>
      </c>
      <c r="P14" s="14">
        <v>29.178154468536377</v>
      </c>
      <c r="Q14" s="7"/>
    </row>
    <row r="15" spans="1:19">
      <c r="A15" s="10" t="s">
        <v>20</v>
      </c>
      <c r="B15" s="15">
        <v>6926</v>
      </c>
      <c r="C15" s="15">
        <v>25974.86742610651</v>
      </c>
      <c r="D15" s="14">
        <v>26.664236187934875</v>
      </c>
      <c r="E15" s="14"/>
      <c r="F15" s="15">
        <v>6243</v>
      </c>
      <c r="G15" s="15">
        <v>27278.954949358926</v>
      </c>
      <c r="H15" s="14">
        <v>22.885774075984955</v>
      </c>
      <c r="I15" s="14"/>
      <c r="J15" s="15">
        <v>6751</v>
      </c>
      <c r="K15" s="15">
        <v>25929.226755711043</v>
      </c>
      <c r="L15" s="14">
        <v>26.036256551742554</v>
      </c>
      <c r="M15" s="14"/>
      <c r="N15" s="15">
        <v>6841</v>
      </c>
      <c r="O15" s="15">
        <v>25477.006774863672</v>
      </c>
      <c r="P15" s="14">
        <v>26.851662993431091</v>
      </c>
      <c r="Q15" s="7"/>
    </row>
    <row r="16" spans="1:19">
      <c r="A16" s="10" t="s">
        <v>21</v>
      </c>
      <c r="B16" s="15">
        <v>7082</v>
      </c>
      <c r="C16" s="15">
        <v>26462.562422285202</v>
      </c>
      <c r="D16" s="14">
        <v>26.762336492538452</v>
      </c>
      <c r="E16" s="14"/>
      <c r="F16" s="15">
        <v>6392</v>
      </c>
      <c r="G16" s="15">
        <v>28382.94375396712</v>
      </c>
      <c r="H16" s="14">
        <v>22.52056747674942</v>
      </c>
      <c r="I16" s="14"/>
      <c r="J16" s="15">
        <v>7208</v>
      </c>
      <c r="K16" s="15">
        <v>26582.953000250047</v>
      </c>
      <c r="L16" s="14">
        <v>27.115121483802795</v>
      </c>
      <c r="M16" s="14"/>
      <c r="N16" s="15">
        <v>7391</v>
      </c>
      <c r="O16" s="15">
        <v>26232.712055034357</v>
      </c>
      <c r="P16" s="14">
        <v>28.174746036529541</v>
      </c>
      <c r="Q16" s="7"/>
    </row>
    <row r="17" spans="1:17">
      <c r="A17" s="10" t="s">
        <v>22</v>
      </c>
      <c r="B17" s="15">
        <v>6582</v>
      </c>
      <c r="C17" s="15">
        <v>24131.267402041794</v>
      </c>
      <c r="D17" s="14">
        <v>27.275815606117249</v>
      </c>
      <c r="E17" s="14"/>
      <c r="F17" s="15">
        <v>5882</v>
      </c>
      <c r="G17" s="15">
        <v>24484.977105901682</v>
      </c>
      <c r="H17" s="14">
        <v>24.022893607616425</v>
      </c>
      <c r="I17" s="14"/>
      <c r="J17" s="15">
        <v>6314</v>
      </c>
      <c r="K17" s="15">
        <v>23218.495002048279</v>
      </c>
      <c r="L17" s="14">
        <v>27.193838357925415</v>
      </c>
      <c r="M17" s="14"/>
      <c r="N17" s="15">
        <v>6342</v>
      </c>
      <c r="O17" s="15">
        <v>22767.824918954659</v>
      </c>
      <c r="P17" s="14">
        <v>27.855098247528076</v>
      </c>
      <c r="Q17" s="7"/>
    </row>
    <row r="18" spans="1:17">
      <c r="A18" s="10" t="s">
        <v>23</v>
      </c>
      <c r="B18" s="15">
        <v>3784</v>
      </c>
      <c r="C18" s="15">
        <v>23247.448000690631</v>
      </c>
      <c r="D18" s="14">
        <v>16.277055442333221</v>
      </c>
      <c r="E18" s="14"/>
      <c r="F18" s="15">
        <v>2963</v>
      </c>
      <c r="G18" s="15">
        <v>23712.381272610819</v>
      </c>
      <c r="H18" s="14">
        <v>12.495581805706024</v>
      </c>
      <c r="I18" s="14"/>
      <c r="J18" s="15">
        <v>3367</v>
      </c>
      <c r="K18" s="15">
        <v>22541.081730689617</v>
      </c>
      <c r="L18" s="14">
        <v>14.937171339988708</v>
      </c>
      <c r="M18" s="14"/>
      <c r="N18" s="15">
        <v>3440</v>
      </c>
      <c r="O18" s="15">
        <v>21869.436383914301</v>
      </c>
      <c r="P18" s="14">
        <v>15.729714930057526</v>
      </c>
      <c r="Q18" s="7"/>
    </row>
    <row r="19" spans="1:17">
      <c r="A19" s="10" t="s">
        <v>24</v>
      </c>
      <c r="B19" s="15">
        <v>5589</v>
      </c>
      <c r="C19" s="15">
        <v>22848.038854004717</v>
      </c>
      <c r="D19" s="14">
        <v>24.461618065834045</v>
      </c>
      <c r="E19" s="14"/>
      <c r="F19" s="15">
        <v>4390</v>
      </c>
      <c r="G19" s="15">
        <v>23242.971119845621</v>
      </c>
      <c r="H19" s="14">
        <v>18.887430429458618</v>
      </c>
      <c r="I19" s="14"/>
      <c r="J19" s="15">
        <v>4765</v>
      </c>
      <c r="K19" s="15">
        <v>22550.45722797282</v>
      </c>
      <c r="L19" s="14">
        <v>21.130391955375671</v>
      </c>
      <c r="M19" s="14"/>
      <c r="N19" s="15">
        <v>4679</v>
      </c>
      <c r="O19" s="15">
        <v>21944.906028709313</v>
      </c>
      <c r="P19" s="14">
        <v>21.321576833724976</v>
      </c>
      <c r="Q19" s="7"/>
    </row>
    <row r="20" spans="1:17">
      <c r="A20" s="10" t="s">
        <v>25</v>
      </c>
      <c r="B20" s="15">
        <v>3649</v>
      </c>
      <c r="C20" s="15">
        <v>23141.116608412311</v>
      </c>
      <c r="D20" s="14">
        <v>15.768469870090485</v>
      </c>
      <c r="E20" s="14"/>
      <c r="F20" s="15">
        <v>3064</v>
      </c>
      <c r="G20" s="15">
        <v>23948.653611360161</v>
      </c>
      <c r="H20" s="14">
        <v>12.794038653373718</v>
      </c>
      <c r="I20" s="14"/>
      <c r="J20" s="15">
        <v>3288</v>
      </c>
      <c r="K20" s="15">
        <v>22773.810290378693</v>
      </c>
      <c r="L20" s="14">
        <v>14.437636733055115</v>
      </c>
      <c r="M20" s="14"/>
      <c r="N20" s="15">
        <v>3247</v>
      </c>
      <c r="O20" s="15">
        <v>23191.761048609016</v>
      </c>
      <c r="P20" s="14">
        <v>14.000661671161652</v>
      </c>
      <c r="Q20" s="7"/>
    </row>
    <row r="21" spans="1:17">
      <c r="A21" s="10" t="s">
        <v>26</v>
      </c>
      <c r="B21" s="15">
        <v>7686</v>
      </c>
      <c r="C21" s="15">
        <v>31017.037746769616</v>
      </c>
      <c r="D21" s="14">
        <v>24.779929220676422</v>
      </c>
      <c r="E21" s="14"/>
      <c r="F21" s="15">
        <v>7009</v>
      </c>
      <c r="G21" s="15">
        <v>32576.349079682837</v>
      </c>
      <c r="H21" s="14">
        <v>21.515609323978424</v>
      </c>
      <c r="I21" s="14"/>
      <c r="J21" s="15">
        <v>7771</v>
      </c>
      <c r="K21" s="15">
        <v>30662.779217492702</v>
      </c>
      <c r="L21" s="14">
        <v>25.343430042266846</v>
      </c>
      <c r="M21" s="14"/>
      <c r="N21" s="15">
        <v>7882</v>
      </c>
      <c r="O21" s="15">
        <v>30138.114931547232</v>
      </c>
      <c r="P21" s="14">
        <v>26.152929663658142</v>
      </c>
      <c r="Q21" s="7"/>
    </row>
    <row r="22" spans="1:17">
      <c r="A22" s="10" t="s">
        <v>27</v>
      </c>
      <c r="B22" s="15">
        <v>18902</v>
      </c>
      <c r="C22" s="15">
        <v>71720.035012043503</v>
      </c>
      <c r="D22" s="14">
        <v>26.355257630348206</v>
      </c>
      <c r="E22" s="14"/>
      <c r="F22" s="15">
        <v>16646</v>
      </c>
      <c r="G22" s="15">
        <v>75404.312273363161</v>
      </c>
      <c r="H22" s="14">
        <v>22.075660526752472</v>
      </c>
      <c r="I22" s="14"/>
      <c r="J22" s="15">
        <v>18602</v>
      </c>
      <c r="K22" s="15">
        <v>71188.011288722017</v>
      </c>
      <c r="L22" s="14">
        <v>26.130804419517517</v>
      </c>
      <c r="M22" s="14"/>
      <c r="N22" s="15">
        <v>18711</v>
      </c>
      <c r="O22" s="15">
        <v>70214.733618216735</v>
      </c>
      <c r="P22" s="14">
        <v>26.648253202438354</v>
      </c>
      <c r="Q22" s="7"/>
    </row>
    <row r="23" spans="1:17">
      <c r="A23" s="10" t="s">
        <v>28</v>
      </c>
      <c r="B23" s="15">
        <v>33734</v>
      </c>
      <c r="C23" s="15">
        <v>104611.64603142624</v>
      </c>
      <c r="D23" s="14">
        <v>32.246887683868408</v>
      </c>
      <c r="E23" s="14"/>
      <c r="F23" s="15">
        <v>34829</v>
      </c>
      <c r="G23" s="15">
        <v>118436.33239513298</v>
      </c>
      <c r="H23" s="14">
        <v>29.407361149787903</v>
      </c>
      <c r="I23" s="14"/>
      <c r="J23" s="15">
        <v>35891</v>
      </c>
      <c r="K23" s="15">
        <v>112072.8393921704</v>
      </c>
      <c r="L23" s="14">
        <v>32.024708390235901</v>
      </c>
      <c r="M23" s="14"/>
      <c r="N23" s="15">
        <v>36348</v>
      </c>
      <c r="O23" s="15">
        <v>110444.41811324813</v>
      </c>
      <c r="P23" s="14">
        <v>32.910671830177307</v>
      </c>
      <c r="Q23" s="7"/>
    </row>
    <row r="24" spans="1:17">
      <c r="A24" s="10" t="s">
        <v>29</v>
      </c>
      <c r="B24" s="15">
        <v>11136</v>
      </c>
      <c r="C24" s="15">
        <v>47221.172690103267</v>
      </c>
      <c r="D24" s="14">
        <v>23.582641780376434</v>
      </c>
      <c r="E24" s="14"/>
      <c r="F24" s="15">
        <v>9404</v>
      </c>
      <c r="G24" s="15">
        <v>45788.781526252671</v>
      </c>
      <c r="H24" s="14">
        <v>20.537781715393066</v>
      </c>
      <c r="I24" s="14"/>
      <c r="J24" s="15">
        <v>9799</v>
      </c>
      <c r="K24" s="15">
        <v>42994.603922592163</v>
      </c>
      <c r="L24" s="14">
        <v>22.791232168674469</v>
      </c>
      <c r="M24" s="14"/>
      <c r="N24" s="15">
        <v>9776</v>
      </c>
      <c r="O24" s="15">
        <v>42012.918278560697</v>
      </c>
      <c r="P24" s="14">
        <v>23.269033432006836</v>
      </c>
      <c r="Q24" s="7"/>
    </row>
    <row r="25" spans="1:17">
      <c r="A25" s="10" t="s">
        <v>30</v>
      </c>
      <c r="B25" s="15">
        <v>3942</v>
      </c>
      <c r="C25" s="15">
        <v>16556.273537632595</v>
      </c>
      <c r="D25" s="14">
        <v>23.809705674648285</v>
      </c>
      <c r="E25" s="14"/>
      <c r="F25" s="15">
        <v>2821</v>
      </c>
      <c r="G25" s="15">
        <v>15462.241686805695</v>
      </c>
      <c r="H25" s="14">
        <v>18.244443833827972</v>
      </c>
      <c r="I25" s="14"/>
      <c r="J25" s="15">
        <v>3427</v>
      </c>
      <c r="K25" s="15">
        <v>14060.730639539814</v>
      </c>
      <c r="L25" s="14">
        <v>24.372844398021698</v>
      </c>
      <c r="M25" s="14"/>
      <c r="N25" s="15">
        <v>3600</v>
      </c>
      <c r="O25" s="15">
        <v>13814.639662563841</v>
      </c>
      <c r="P25" s="14">
        <v>26.059311628341675</v>
      </c>
      <c r="Q25" s="7"/>
    </row>
    <row r="26" spans="1:17">
      <c r="A26" s="10" t="s">
        <v>31</v>
      </c>
      <c r="B26" s="15">
        <v>4583</v>
      </c>
      <c r="C26" s="15">
        <v>19178.237852236369</v>
      </c>
      <c r="D26" s="14">
        <v>23.896877467632294</v>
      </c>
      <c r="E26" s="14"/>
      <c r="F26" s="15">
        <v>4180</v>
      </c>
      <c r="G26" s="15">
        <v>20909.946959417051</v>
      </c>
      <c r="H26" s="14">
        <v>19.990485906600952</v>
      </c>
      <c r="I26" s="14"/>
      <c r="J26" s="15">
        <v>4590</v>
      </c>
      <c r="K26" s="15">
        <v>20185.987147745876</v>
      </c>
      <c r="L26" s="14">
        <v>22.738546133041382</v>
      </c>
      <c r="M26" s="14"/>
      <c r="N26" s="15">
        <v>4592</v>
      </c>
      <c r="O26" s="15">
        <v>19807.862025487644</v>
      </c>
      <c r="P26" s="14">
        <v>23.182713985443115</v>
      </c>
      <c r="Q26" s="7"/>
    </row>
    <row r="27" spans="1:17">
      <c r="A27" s="10" t="s">
        <v>32</v>
      </c>
      <c r="B27" s="15">
        <v>4248</v>
      </c>
      <c r="C27" s="15">
        <v>18161.508355721584</v>
      </c>
      <c r="D27" s="14">
        <v>23.390127718448639</v>
      </c>
      <c r="E27" s="14"/>
      <c r="F27" s="15">
        <v>3973</v>
      </c>
      <c r="G27" s="15">
        <v>18611.33157511551</v>
      </c>
      <c r="H27" s="14">
        <v>21.347209811210632</v>
      </c>
      <c r="I27" s="14"/>
      <c r="J27" s="15">
        <v>4228</v>
      </c>
      <c r="K27" s="15">
        <v>17566.291704439889</v>
      </c>
      <c r="L27" s="14">
        <v>24.068824946880341</v>
      </c>
      <c r="M27" s="14"/>
      <c r="N27" s="15">
        <v>4182</v>
      </c>
      <c r="O27" s="15">
        <v>17467.647532639348</v>
      </c>
      <c r="P27" s="14">
        <v>23.94140362739563</v>
      </c>
      <c r="Q27" s="7"/>
    </row>
    <row r="28" spans="1:17">
      <c r="A28" s="10" t="s">
        <v>33</v>
      </c>
      <c r="B28" s="15">
        <v>1143</v>
      </c>
      <c r="C28" s="15">
        <v>5509.1732768712982</v>
      </c>
      <c r="D28" s="14">
        <v>20.747214555740356</v>
      </c>
      <c r="E28" s="14"/>
      <c r="F28" s="15">
        <v>836</v>
      </c>
      <c r="G28" s="15">
        <v>5011.8478105876884</v>
      </c>
      <c r="H28" s="14">
        <v>16.680474579334259</v>
      </c>
      <c r="I28" s="14"/>
      <c r="J28" s="15">
        <v>913</v>
      </c>
      <c r="K28" s="15">
        <v>4610.9466522085404</v>
      </c>
      <c r="L28" s="14">
        <v>19.800706207752228</v>
      </c>
      <c r="M28" s="14"/>
      <c r="N28" s="15">
        <v>860</v>
      </c>
      <c r="O28" s="15">
        <v>4642.7561132555438</v>
      </c>
      <c r="P28" s="14">
        <v>18.523479998111725</v>
      </c>
      <c r="Q28" s="7"/>
    </row>
    <row r="29" spans="1:17">
      <c r="A29" s="10" t="s">
        <v>34</v>
      </c>
      <c r="B29" s="15">
        <v>6932</v>
      </c>
      <c r="C29" s="15">
        <v>24825.926905683616</v>
      </c>
      <c r="D29" s="14">
        <v>27.92242169380188</v>
      </c>
      <c r="E29" s="14"/>
      <c r="F29" s="15">
        <v>6585</v>
      </c>
      <c r="G29" s="15">
        <v>26628.588793804931</v>
      </c>
      <c r="H29" s="14">
        <v>24.729061126708984</v>
      </c>
      <c r="I29" s="14"/>
      <c r="J29" s="15">
        <v>7141</v>
      </c>
      <c r="K29" s="15">
        <v>24658.838149520452</v>
      </c>
      <c r="L29" s="14">
        <v>28.959190845489502</v>
      </c>
      <c r="M29" s="14"/>
      <c r="N29" s="15">
        <v>7181</v>
      </c>
      <c r="O29" s="15">
        <v>24610.015823048874</v>
      </c>
      <c r="P29" s="14">
        <v>29.179176688194275</v>
      </c>
      <c r="Q29" s="7"/>
    </row>
    <row r="30" spans="1:17">
      <c r="A30" s="10" t="s">
        <v>35</v>
      </c>
      <c r="B30" s="15">
        <v>19372</v>
      </c>
      <c r="C30" s="15">
        <v>73174.695739325456</v>
      </c>
      <c r="D30" s="14">
        <v>26.473632454872131</v>
      </c>
      <c r="E30" s="14"/>
      <c r="F30" s="15">
        <v>17043</v>
      </c>
      <c r="G30" s="15">
        <v>73366.167716384662</v>
      </c>
      <c r="H30" s="14">
        <v>23.23005348443985</v>
      </c>
      <c r="I30" s="14"/>
      <c r="J30" s="15">
        <v>18252</v>
      </c>
      <c r="K30" s="15">
        <v>68557.703273619714</v>
      </c>
      <c r="L30" s="14">
        <v>26.622828841209412</v>
      </c>
      <c r="M30" s="14"/>
      <c r="N30" s="15">
        <v>18264</v>
      </c>
      <c r="O30" s="15">
        <v>67860.501539389632</v>
      </c>
      <c r="P30" s="14">
        <v>26.914036273956299</v>
      </c>
      <c r="Q30" s="7"/>
    </row>
    <row r="31" spans="1:17">
      <c r="A31" s="10" t="s">
        <v>36</v>
      </c>
      <c r="B31" s="15">
        <v>879</v>
      </c>
      <c r="C31" s="15">
        <v>3873.3868490247833</v>
      </c>
      <c r="D31" s="14">
        <v>22.693318128585815</v>
      </c>
      <c r="E31" s="14"/>
      <c r="F31" s="15">
        <v>779</v>
      </c>
      <c r="G31" s="15">
        <v>4288.5671462932032</v>
      </c>
      <c r="H31" s="14">
        <v>18.164575099945068</v>
      </c>
      <c r="I31" s="14"/>
      <c r="J31" s="15">
        <v>824</v>
      </c>
      <c r="K31" s="15">
        <v>4102.0766594979959</v>
      </c>
      <c r="L31" s="14">
        <v>20.087386667728424</v>
      </c>
      <c r="M31" s="14"/>
      <c r="N31" s="15">
        <v>786</v>
      </c>
      <c r="O31" s="15">
        <v>4064.3050568451058</v>
      </c>
      <c r="P31" s="14">
        <v>19.339099526405334</v>
      </c>
      <c r="Q31" s="7"/>
    </row>
    <row r="32" spans="1:17">
      <c r="A32" s="10" t="s">
        <v>37</v>
      </c>
      <c r="B32" s="15">
        <v>6089</v>
      </c>
      <c r="C32" s="15">
        <v>26907.076171967343</v>
      </c>
      <c r="D32" s="14">
        <v>22.629734873771667</v>
      </c>
      <c r="E32" s="14"/>
      <c r="F32" s="15">
        <v>5285</v>
      </c>
      <c r="G32" s="15">
        <v>28217.696707196035</v>
      </c>
      <c r="H32" s="14">
        <v>18.729381263256073</v>
      </c>
      <c r="I32" s="14"/>
      <c r="J32" s="15">
        <v>5914</v>
      </c>
      <c r="K32" s="15">
        <v>27010.230785464766</v>
      </c>
      <c r="L32" s="14">
        <v>21.895407140254974</v>
      </c>
      <c r="M32" s="14"/>
      <c r="N32" s="15">
        <v>5750</v>
      </c>
      <c r="O32" s="15">
        <v>26471.046869910748</v>
      </c>
      <c r="P32" s="14">
        <v>21.721845865249634</v>
      </c>
      <c r="Q32" s="7"/>
    </row>
    <row r="33" spans="1:17">
      <c r="A33" s="10" t="s">
        <v>38</v>
      </c>
      <c r="B33" s="15">
        <v>7038</v>
      </c>
      <c r="C33" s="15">
        <v>30456.254573930375</v>
      </c>
      <c r="D33" s="14">
        <v>23.108553886413574</v>
      </c>
      <c r="E33" s="14"/>
      <c r="F33" s="15">
        <v>6919</v>
      </c>
      <c r="G33" s="15">
        <v>35489.955374914949</v>
      </c>
      <c r="H33" s="14">
        <v>19.495657086372375</v>
      </c>
      <c r="I33" s="14"/>
      <c r="J33" s="15">
        <v>7840</v>
      </c>
      <c r="K33" s="15">
        <v>33595.835439032133</v>
      </c>
      <c r="L33" s="14">
        <v>23.336225748062134</v>
      </c>
      <c r="M33" s="14"/>
      <c r="N33" s="15">
        <v>7944</v>
      </c>
      <c r="O33" s="15">
        <v>33087.454887757965</v>
      </c>
      <c r="P33" s="14">
        <v>24.00909960269928</v>
      </c>
      <c r="Q33" s="7"/>
    </row>
    <row r="34" spans="1:17">
      <c r="A34" s="10" t="s">
        <v>39</v>
      </c>
      <c r="B34" s="15">
        <v>5292</v>
      </c>
      <c r="C34" s="15">
        <v>21884.505153185019</v>
      </c>
      <c r="D34" s="14">
        <v>24.181492626667023</v>
      </c>
      <c r="E34" s="14"/>
      <c r="F34" s="15">
        <v>4445</v>
      </c>
      <c r="G34" s="15">
        <v>22753.249480346054</v>
      </c>
      <c r="H34" s="14">
        <v>19.535671174526215</v>
      </c>
      <c r="I34" s="14"/>
      <c r="J34" s="15">
        <v>4963</v>
      </c>
      <c r="K34" s="15">
        <v>21223.697067023379</v>
      </c>
      <c r="L34" s="14">
        <v>23.38423877954483</v>
      </c>
      <c r="M34" s="14"/>
      <c r="N34" s="15">
        <v>4937</v>
      </c>
      <c r="O34" s="15">
        <v>20902.098160284062</v>
      </c>
      <c r="P34" s="14">
        <v>23.619638383388519</v>
      </c>
      <c r="Q34" s="7"/>
    </row>
    <row r="35" spans="1:17">
      <c r="A35" s="10" t="s">
        <v>40</v>
      </c>
      <c r="B35" s="15">
        <v>743</v>
      </c>
      <c r="C35" s="15">
        <v>4708.171092205278</v>
      </c>
      <c r="D35" s="14">
        <v>15.78107476234436</v>
      </c>
      <c r="E35" s="14"/>
      <c r="F35" s="15">
        <v>906</v>
      </c>
      <c r="G35" s="15">
        <v>4838.4823735438349</v>
      </c>
      <c r="H35" s="14">
        <v>18.724879622459412</v>
      </c>
      <c r="I35" s="14"/>
      <c r="J35" s="15">
        <v>700</v>
      </c>
      <c r="K35" s="15">
        <v>4532.389501296534</v>
      </c>
      <c r="L35" s="14">
        <v>15.444391965866089</v>
      </c>
      <c r="M35" s="14"/>
      <c r="N35" s="15">
        <v>765</v>
      </c>
      <c r="O35" s="15">
        <v>4671.5072430350674</v>
      </c>
      <c r="P35" s="14">
        <v>16.375871002674103</v>
      </c>
      <c r="Q35" s="7"/>
    </row>
    <row r="36" spans="1:17">
      <c r="A36" s="10" t="s">
        <v>41</v>
      </c>
      <c r="B36" s="15">
        <v>5006</v>
      </c>
      <c r="C36" s="15">
        <v>20160.641655123476</v>
      </c>
      <c r="D36" s="14">
        <v>24.830558896064758</v>
      </c>
      <c r="E36" s="14"/>
      <c r="F36" s="15">
        <v>4270</v>
      </c>
      <c r="G36" s="15">
        <v>20737.517212282222</v>
      </c>
      <c r="H36" s="14">
        <v>20.590700209140778</v>
      </c>
      <c r="I36" s="14"/>
      <c r="J36" s="15">
        <v>4807</v>
      </c>
      <c r="K36" s="15">
        <v>19686.481298586903</v>
      </c>
      <c r="L36" s="14">
        <v>24.417771399021149</v>
      </c>
      <c r="M36" s="14"/>
      <c r="N36" s="15">
        <v>4871</v>
      </c>
      <c r="O36" s="15">
        <v>19458.203743477916</v>
      </c>
      <c r="P36" s="14">
        <v>25.033143162727356</v>
      </c>
      <c r="Q36" s="7"/>
    </row>
    <row r="37" spans="1:17">
      <c r="A37" s="10" t="s">
        <v>42</v>
      </c>
      <c r="B37" s="15">
        <v>14723</v>
      </c>
      <c r="C37" s="15">
        <v>63788.314606805405</v>
      </c>
      <c r="D37" s="14">
        <v>23.081029951572418</v>
      </c>
      <c r="E37" s="14"/>
      <c r="F37" s="15">
        <v>12971</v>
      </c>
      <c r="G37" s="15">
        <v>66184.389869938677</v>
      </c>
      <c r="H37" s="14">
        <v>19.598276913166046</v>
      </c>
      <c r="I37" s="14"/>
      <c r="J37" s="15">
        <v>14292</v>
      </c>
      <c r="K37" s="15">
        <v>62576.531467885419</v>
      </c>
      <c r="L37" s="14">
        <v>22.83923327922821</v>
      </c>
      <c r="M37" s="14"/>
      <c r="N37" s="15">
        <v>14641</v>
      </c>
      <c r="O37" s="15">
        <v>62073.213261293917</v>
      </c>
      <c r="P37" s="14">
        <v>23.586663603782654</v>
      </c>
      <c r="Q37" s="7"/>
    </row>
    <row r="38" spans="1:17">
      <c r="A38" s="10" t="s">
        <v>43</v>
      </c>
      <c r="B38" s="15">
        <v>3628</v>
      </c>
      <c r="C38" s="15">
        <v>17041.091047726557</v>
      </c>
      <c r="D38" s="14">
        <v>21.28971666097641</v>
      </c>
      <c r="E38" s="14"/>
      <c r="F38" s="15">
        <v>3211</v>
      </c>
      <c r="G38" s="15">
        <v>17693.553044638651</v>
      </c>
      <c r="H38" s="14">
        <v>18.147853016853333</v>
      </c>
      <c r="I38" s="14"/>
      <c r="J38" s="15">
        <v>3529</v>
      </c>
      <c r="K38" s="15">
        <v>16970.725065248818</v>
      </c>
      <c r="L38" s="14">
        <v>20.794633030891418</v>
      </c>
      <c r="M38" s="14"/>
      <c r="N38" s="15">
        <v>3499</v>
      </c>
      <c r="O38" s="15">
        <v>16854.18214731089</v>
      </c>
      <c r="P38" s="14">
        <v>20.760425925254822</v>
      </c>
      <c r="Q38" s="7"/>
    </row>
    <row r="39" spans="1:17">
      <c r="A39" s="10" t="s">
        <v>44</v>
      </c>
      <c r="B39" s="15">
        <v>4374</v>
      </c>
      <c r="C39" s="15">
        <v>16351.320912381048</v>
      </c>
      <c r="D39" s="14">
        <v>26.750132441520691</v>
      </c>
      <c r="E39" s="14"/>
      <c r="F39" s="15">
        <v>4258</v>
      </c>
      <c r="G39" s="15">
        <v>18188.895107163476</v>
      </c>
      <c r="H39" s="14">
        <v>23.4098881483078</v>
      </c>
      <c r="I39" s="14"/>
      <c r="J39" s="15">
        <v>4696</v>
      </c>
      <c r="K39" s="15">
        <v>16991.265786419484</v>
      </c>
      <c r="L39" s="14">
        <v>27.637729048728943</v>
      </c>
      <c r="M39" s="14"/>
      <c r="N39" s="15">
        <v>4728</v>
      </c>
      <c r="O39" s="15">
        <v>16857.408130917203</v>
      </c>
      <c r="P39" s="14">
        <v>28.047016263008118</v>
      </c>
      <c r="Q39" s="7"/>
    </row>
    <row r="40" spans="1:17">
      <c r="A40" s="10" t="s">
        <v>45</v>
      </c>
      <c r="B40" s="15">
        <v>9326</v>
      </c>
      <c r="C40" s="15">
        <v>37845.215480239836</v>
      </c>
      <c r="D40" s="14">
        <v>24.642480909824371</v>
      </c>
      <c r="E40" s="14"/>
      <c r="F40" s="15">
        <v>8723</v>
      </c>
      <c r="G40" s="15">
        <v>41353.025761355733</v>
      </c>
      <c r="H40" s="14">
        <v>21.093982458114624</v>
      </c>
      <c r="I40" s="14"/>
      <c r="J40" s="15">
        <v>9364</v>
      </c>
      <c r="K40" s="15">
        <v>39164.314331925991</v>
      </c>
      <c r="L40" s="14">
        <v>23.909521102905273</v>
      </c>
      <c r="M40" s="14"/>
      <c r="N40" s="15">
        <v>9440</v>
      </c>
      <c r="O40" s="15">
        <v>38398.637774673458</v>
      </c>
      <c r="P40" s="14">
        <v>24.584205448627472</v>
      </c>
      <c r="Q40" s="7"/>
    </row>
    <row r="41" spans="1:17">
      <c r="A41" s="10"/>
      <c r="B41" s="15"/>
      <c r="C41" s="15"/>
      <c r="D41" s="322"/>
      <c r="E41" s="14"/>
      <c r="F41" s="15"/>
      <c r="G41" s="15"/>
      <c r="H41" s="322"/>
      <c r="I41" s="14"/>
      <c r="J41" s="15"/>
      <c r="K41" s="15"/>
      <c r="L41" s="322"/>
      <c r="M41" s="14"/>
      <c r="N41" s="15"/>
      <c r="O41" s="15"/>
      <c r="P41" s="14"/>
      <c r="Q41" s="7"/>
    </row>
    <row r="42" spans="1:17">
      <c r="A42" s="10" t="s">
        <v>46</v>
      </c>
      <c r="B42" s="15">
        <v>240333.99999999997</v>
      </c>
      <c r="C42" s="15">
        <v>989687.14014790999</v>
      </c>
      <c r="D42" s="14">
        <v>24.283835795227343</v>
      </c>
      <c r="E42" s="14"/>
      <c r="F42" s="15">
        <v>244156.99999999997</v>
      </c>
      <c r="G42" s="15">
        <v>990925.68341569405</v>
      </c>
      <c r="H42" s="14">
        <v>24.639284669501894</v>
      </c>
      <c r="I42" s="14"/>
      <c r="J42" s="15">
        <v>245889.49999999997</v>
      </c>
      <c r="K42" s="15">
        <v>1004362.9111162497</v>
      </c>
      <c r="L42" s="14">
        <v>24.482136614017158</v>
      </c>
      <c r="M42" s="14"/>
      <c r="N42" s="15">
        <v>247144</v>
      </c>
      <c r="O42" s="15">
        <v>1009825.6406738396</v>
      </c>
      <c r="P42" s="14">
        <v>24.473927977812586</v>
      </c>
      <c r="Q42" s="7"/>
    </row>
    <row r="43" spans="1:17" ht="15" customHeight="1">
      <c r="A43" s="10" t="s">
        <v>47</v>
      </c>
      <c r="B43" s="15">
        <v>4281101</v>
      </c>
      <c r="C43" s="15">
        <v>13952495</v>
      </c>
      <c r="D43" s="14">
        <v>30.683408236304686</v>
      </c>
      <c r="E43" s="14"/>
      <c r="F43" s="15">
        <v>3876115</v>
      </c>
      <c r="G43" s="15">
        <v>14292972.000000002</v>
      </c>
      <c r="H43" s="14">
        <v>27.119027449294659</v>
      </c>
      <c r="I43" s="14"/>
      <c r="J43" s="15">
        <v>4224793</v>
      </c>
      <c r="K43" s="15">
        <v>14481734</v>
      </c>
      <c r="L43" s="14">
        <v>29.17325370014392</v>
      </c>
      <c r="M43" s="14"/>
      <c r="N43" s="15">
        <v>3072241</v>
      </c>
      <c r="O43" s="15">
        <v>10617358.159207674</v>
      </c>
      <c r="P43" s="14">
        <v>28.936021126269207</v>
      </c>
      <c r="Q43" s="7"/>
    </row>
    <row r="44" spans="1:17">
      <c r="A44" s="10" t="s">
        <v>246</v>
      </c>
      <c r="B44" s="285" cm="1">
        <f t="array" ref="B44">SUM(SUMIFS(B$9:B$41,$A$9:$A$41,{"East Renfrewshire","East Dunbartonshire","Aberdeenshire","Edinburgh, City of","Perth and Kinross","Aberdeen City","Shetland Islands","Orkney Islands"}))</f>
        <v>49613</v>
      </c>
      <c r="C44" s="285" cm="1">
        <f t="array" ref="C44">SUM(SUMIFS(C$9:C$41,$A$9:$A$41,{"East Renfrewshire","East Dunbartonshire","Aberdeenshire","Edinburgh, City of","Perth and Kinross","Aberdeen City","Shetland Islands","Orkney Islands"}))</f>
        <v>259994.71704721751</v>
      </c>
      <c r="D44" s="288">
        <f>SUM(B44/C44)*100</f>
        <v>19.082310811334604</v>
      </c>
      <c r="E44" s="7"/>
      <c r="F44" s="285" cm="1">
        <f t="array" ref="F44">SUM(SUMIFS(F$9:F$41,$A$9:$A$41,{"East Renfrewshire","East Dunbartonshire","Aberdeenshire","Edinburgh, City of","Perth and Kinross","Aberdeen City","Shetland Islands","Orkney Islands"}))</f>
        <v>44669</v>
      </c>
      <c r="G44" s="285" cm="1">
        <f t="array" ref="G44">SUM(SUMIFS(G$9:G$41,$A$9:$A$41,{"East Renfrewshire","East Dunbartonshire","Aberdeenshire","Edinburgh, City of","Perth and Kinross","Aberdeen City","Shetland Islands","Orkney Islands"}))</f>
        <v>276274.55653318326</v>
      </c>
      <c r="H44" s="288">
        <f t="shared" ref="H44:H47" si="0">SUM(F44/G44)*100</f>
        <v>16.168336512969777</v>
      </c>
      <c r="I44" s="7"/>
      <c r="J44" s="285" cm="1">
        <f t="array" ref="J44">SUM(SUMIFS(J$9:J$41,$A$9:$A$41,{"East Renfrewshire","East Dunbartonshire","Aberdeenshire","Edinburgh, City of","Perth and Kinross","Aberdeen City","Shetland Islands","Orkney Islands"}))</f>
        <v>48225</v>
      </c>
      <c r="K44" s="285" cm="1">
        <f t="array" ref="K44">SUM(SUMIFS(K$9:K$41,$A$9:$A$41,{"East Renfrewshire","East Dunbartonshire","Aberdeenshire","Edinburgh, City of","Perth and Kinross","Aberdeen City","Shetland Islands","Orkney Islands"}))</f>
        <v>263636.0401224831</v>
      </c>
      <c r="L44" s="288">
        <f t="shared" ref="L44:L47" si="1">SUM(J44/K44)*100</f>
        <v>18.292263826142687</v>
      </c>
      <c r="M44" s="7"/>
      <c r="N44" s="285" cm="1">
        <f t="array" ref="N44">SUM(SUMIFS(N$9:N$41,$A$9:$A$41,{"East Renfrewshire","East Dunbartonshire","Aberdeenshire","Edinburgh, City of","Perth and Kinross","Aberdeen City","Shetland Islands","Orkney Islands"}))</f>
        <v>49217</v>
      </c>
      <c r="O44" s="285" cm="1">
        <f t="array" ref="O44">SUM(SUMIFS(O$9:O$41,$A$9:$A$41,{"East Renfrewshire","East Dunbartonshire","Aberdeenshire","Edinburgh, City of","Perth and Kinross","Aberdeen City","Shetland Islands","Orkney Islands"}))</f>
        <v>260600.15079332134</v>
      </c>
      <c r="P44" s="288">
        <f t="shared" ref="P44:P47" si="2">SUM(N44/O44)*100</f>
        <v>18.886021305119417</v>
      </c>
      <c r="Q44" s="7"/>
    </row>
    <row r="45" spans="1:17">
      <c r="A45" s="10" t="s">
        <v>247</v>
      </c>
      <c r="B45" s="285" cm="1">
        <f t="array" ref="B45">SUM(SUMIFS(B$9:B$41,$A$9:$A$41,{"Moray","Stirling","East Lothian","Angus","Scottish Borders","Highland","Argyll and Bute","Midlothian"}))</f>
        <v>43179</v>
      </c>
      <c r="C45" s="285" cm="1">
        <f t="array" ref="C45">SUM(SUMIFS(C$9:C$41,$A$9:$A$41,{"Moray","Stirling","East Lothian","Angus","Scottish Borders","Highland","Argyll and Bute","Midlothian"}))</f>
        <v>183022.9201261441</v>
      </c>
      <c r="D45" s="288">
        <f t="shared" ref="D45:D51" si="3">SUM(B45/C45)*100</f>
        <v>23.592127133716325</v>
      </c>
      <c r="E45" s="7"/>
      <c r="F45" s="285" cm="1">
        <f t="array" ref="F45">SUM(SUMIFS(F$9:F$41,$A$9:$A$41,{"Moray","Stirling","East Lothian","Angus","Scottish Borders","Highland","Argyll and Bute","Midlothian"}))</f>
        <v>37016</v>
      </c>
      <c r="G45" s="285" cm="1">
        <f t="array" ref="G45">SUM(SUMIFS(G$9:G$41,$A$9:$A$41,{"Moray","Stirling","East Lothian","Angus","Scottish Borders","Highland","Argyll and Bute","Midlothian"}))</f>
        <v>186242.03834075879</v>
      </c>
      <c r="H45" s="288">
        <f t="shared" si="0"/>
        <v>19.875212025049613</v>
      </c>
      <c r="I45" s="7"/>
      <c r="J45" s="285" cm="1">
        <f t="array" ref="J45">SUM(SUMIFS(J$9:J$41,$A$9:$A$41,{"Moray","Stirling","East Lothian","Angus","Scottish Borders","Highland","Argyll and Bute","Midlothian"}))</f>
        <v>40003</v>
      </c>
      <c r="K45" s="285" cm="1">
        <f t="array" ref="K45">SUM(SUMIFS(K$9:K$41,$A$9:$A$41,{"Moray","Stirling","East Lothian","Angus","Scottish Borders","Highland","Argyll and Bute","Midlothian"}))</f>
        <v>176537.77673849592</v>
      </c>
      <c r="L45" s="288">
        <f t="shared" si="1"/>
        <v>22.659739314184378</v>
      </c>
      <c r="M45" s="7"/>
      <c r="N45" s="285" cm="1">
        <f t="array" ref="N45">SUM(SUMIFS(N$9:N$41,$A$9:$A$41,{"Moray","Stirling","East Lothian","Angus","Scottish Borders","Highland","Argyll and Bute","Midlothian"}))</f>
        <v>40070</v>
      </c>
      <c r="O45" s="285" cm="1">
        <f t="array" ref="O45">SUM(SUMIFS(O$9:O$41,$A$9:$A$41,{"Moray","Stirling","East Lothian","Angus","Scottish Borders","Highland","Argyll and Bute","Midlothian"}))</f>
        <v>173520.70904446981</v>
      </c>
      <c r="P45" s="288">
        <f t="shared" si="2"/>
        <v>23.092344551065015</v>
      </c>
      <c r="Q45" s="7"/>
    </row>
    <row r="46" spans="1:17">
      <c r="A46" s="10" t="s">
        <v>248</v>
      </c>
      <c r="B46" s="285" cm="1">
        <f t="array" ref="B46">SUM(SUMIFS(B$9:B$41,$A$9:$A$41,{"Falkirk","Dumfries and Galloway","Fife","South Ayrshire","West Lothian","South Lanarkshire","Renfrewshire","Clackmannanshire"}))</f>
        <v>72247</v>
      </c>
      <c r="C46" s="285" cm="1">
        <f t="array" ref="C46">SUM(SUMIFS(C$9:C$41,$A$9:$A$41,{"Falkirk","Dumfries and Galloway","Fife","South Ayrshire","West Lothian","South Lanarkshire","Renfrewshire","Clackmannanshire"}))</f>
        <v>290623.83869605325</v>
      </c>
      <c r="D46" s="288">
        <f t="shared" si="3"/>
        <v>24.859282130520263</v>
      </c>
      <c r="E46" s="7"/>
      <c r="F46" s="285" cm="1">
        <f t="array" ref="F46">SUM(SUMIFS(F$9:F$41,$A$9:$A$41,{"Falkirk","Dumfries and Galloway","Fife","South Ayrshire","West Lothian","South Lanarkshire","Renfrewshire","Clackmannanshire"}))</f>
        <v>65261</v>
      </c>
      <c r="G46" s="285" cm="1">
        <f t="array" ref="G46">SUM(SUMIFS(G$9:G$41,$A$9:$A$41,{"Falkirk","Dumfries and Galloway","Fife","South Ayrshire","West Lothian","South Lanarkshire","Renfrewshire","Clackmannanshire"}))</f>
        <v>309384.1267217503</v>
      </c>
      <c r="H46" s="288">
        <f t="shared" si="0"/>
        <v>21.093842367256791</v>
      </c>
      <c r="I46" s="7"/>
      <c r="J46" s="285" cm="1">
        <f t="array" ref="J46">SUM(SUMIFS(J$9:J$41,$A$9:$A$41,{"Falkirk","Dumfries and Galloway","Fife","South Ayrshire","West Lothian","South Lanarkshire","Renfrewshire","Clackmannanshire"}))</f>
        <v>72191</v>
      </c>
      <c r="K46" s="285" cm="1">
        <f t="array" ref="K46">SUM(SUMIFS(K$9:K$41,$A$9:$A$41,{"Falkirk","Dumfries and Galloway","Fife","South Ayrshire","West Lothian","South Lanarkshire","Renfrewshire","Clackmannanshire"}))</f>
        <v>292582.90094283904</v>
      </c>
      <c r="L46" s="288">
        <f t="shared" si="1"/>
        <v>24.673690693258838</v>
      </c>
      <c r="M46" s="7"/>
      <c r="N46" s="285" cm="1">
        <f t="array" ref="N46">SUM(SUMIFS(N$9:N$41,$A$9:$A$41,{"Falkirk","Dumfries and Galloway","Fife","South Ayrshire","West Lothian","South Lanarkshire","Renfrewshire","Clackmannanshire"}))</f>
        <v>73143</v>
      </c>
      <c r="O46" s="285" cm="1">
        <f t="array" ref="O46">SUM(SUMIFS(O$9:O$41,$A$9:$A$41,{"Falkirk","Dumfries and Galloway","Fife","South Ayrshire","West Lothian","South Lanarkshire","Renfrewshire","Clackmannanshire"}))</f>
        <v>288488.13923282456</v>
      </c>
      <c r="P46" s="288">
        <f t="shared" si="2"/>
        <v>25.353901964395803</v>
      </c>
      <c r="Q46" s="7"/>
    </row>
    <row r="47" spans="1:17">
      <c r="A47" s="10" t="s">
        <v>249</v>
      </c>
      <c r="B47" s="285" cm="1">
        <f t="array" ref="B47">SUM(SUMIFS(B$9:B$41,$A$9:$A$41,{"Na h-Eileanan Siar","Dundee City","East Ayrshire","North Ayrshire","North Lanarkshire","Inverclyde","West Dunbartonshire","Glasgow City"}))</f>
        <v>83161</v>
      </c>
      <c r="C47" s="285" cm="1">
        <f t="array" ref="C47">SUM(SUMIFS(C$9:C$41,$A$9:$A$41,{"Na h-Eileanan Siar","Dundee City","East Ayrshire","North Ayrshire","North Lanarkshire","Inverclyde","West Dunbartonshire","Glasgow City"}))</f>
        <v>291622.86622764729</v>
      </c>
      <c r="D47" s="288">
        <f t="shared" si="3"/>
        <v>28.516625282423043</v>
      </c>
      <c r="E47" s="7"/>
      <c r="F47" s="285" cm="1">
        <f t="array" ref="F47">SUM(SUMIFS(F$9:F$41,$A$9:$A$41,{"Na h-Eileanan Siar","Dundee City","East Ayrshire","North Ayrshire","North Lanarkshire","Inverclyde","West Dunbartonshire","Glasgow City"}))</f>
        <v>78646</v>
      </c>
      <c r="G47" s="285" cm="1">
        <f t="array" ref="G47">SUM(SUMIFS(G$9:G$41,$A$9:$A$41,{"Na h-Eileanan Siar","Dundee City","East Ayrshire","North Ayrshire","North Lanarkshire","Inverclyde","West Dunbartonshire","Glasgow City"}))</f>
        <v>309961.99436974822</v>
      </c>
      <c r="H47" s="288">
        <f t="shared" si="0"/>
        <v>25.372788092911986</v>
      </c>
      <c r="I47" s="7"/>
      <c r="J47" s="285" cm="1">
        <f t="array" ref="J47">SUM(SUMIFS(J$9:J$41,$A$9:$A$41,{"Na h-Eileanan Siar","Dundee City","East Ayrshire","North Ayrshire","North Lanarkshire","Inverclyde","West Dunbartonshire","Glasgow City"}))</f>
        <v>83842</v>
      </c>
      <c r="K47" s="285" cm="1">
        <f t="array" ref="K47">SUM(SUMIFS(K$9:K$41,$A$9:$A$41,{"Na h-Eileanan Siar","Dundee City","East Ayrshire","North Ayrshire","North Lanarkshire","Inverclyde","West Dunbartonshire","Glasgow City"}))</f>
        <v>290753.77189577674</v>
      </c>
      <c r="L47" s="288">
        <f t="shared" si="1"/>
        <v>28.836083347546015</v>
      </c>
      <c r="M47" s="7"/>
      <c r="N47" s="285" cm="1">
        <f t="array" ref="N47">SUM(SUMIFS(N$9:N$41,$A$9:$A$41,{"Na h-Eileanan Siar","Dundee City","East Ayrshire","North Ayrshire","North Lanarkshire","Inverclyde","West Dunbartonshire","Glasgow City"}))</f>
        <v>84714</v>
      </c>
      <c r="O47" s="285" cm="1">
        <f t="array" ref="O47">SUM(SUMIFS(O$9:O$41,$A$9:$A$41,{"Na h-Eileanan Siar","Dundee City","East Ayrshire","North Ayrshire","North Lanarkshire","Inverclyde","West Dunbartonshire","Glasgow City"}))</f>
        <v>287230.27635641221</v>
      </c>
      <c r="P47" s="288">
        <f t="shared" si="2"/>
        <v>29.493408938158694</v>
      </c>
      <c r="Q47" s="7"/>
    </row>
    <row r="48" spans="1:17">
      <c r="A48" s="10" t="s">
        <v>156</v>
      </c>
      <c r="B48" s="297">
        <f>SUM(B9:B10)</f>
        <v>16489</v>
      </c>
      <c r="C48" s="297">
        <f>SUM(C9:C10)</f>
        <v>89347.057236475768</v>
      </c>
      <c r="D48" s="288">
        <f t="shared" si="3"/>
        <v>18.455000656998021</v>
      </c>
      <c r="E48" s="7"/>
      <c r="F48" s="297">
        <f>SUM(F9:F10)</f>
        <v>15530</v>
      </c>
      <c r="G48" s="297">
        <f>SUM(G9:G10)</f>
        <v>97650.185517474281</v>
      </c>
      <c r="H48" s="288">
        <f t="shared" ref="H48:H52" si="4">SUM(F48/G48)*100</f>
        <v>15.903707625031538</v>
      </c>
      <c r="I48" s="7"/>
      <c r="J48" s="297">
        <f>SUM(J9:J10)</f>
        <v>16793</v>
      </c>
      <c r="K48" s="297">
        <f>SUM(K9:K10)</f>
        <v>93945.822907702721</v>
      </c>
      <c r="L48" s="288">
        <f t="shared" ref="L48:L52" si="5">SUM(J48/K48)*100</f>
        <v>17.875196022816596</v>
      </c>
      <c r="M48" s="7"/>
      <c r="N48" s="297">
        <f>SUM(N9:N10)</f>
        <v>17322</v>
      </c>
      <c r="O48" s="297">
        <f>SUM(O9:O10)</f>
        <v>92535.275602593465</v>
      </c>
      <c r="P48" s="288">
        <f t="shared" ref="P48:P52" si="6">SUM(N48/O48)*100</f>
        <v>18.719347715990938</v>
      </c>
      <c r="Q48" s="7"/>
    </row>
    <row r="49" spans="1:17">
      <c r="A49" s="10" t="s">
        <v>359</v>
      </c>
      <c r="B49" s="285" cm="1">
        <f t="array" ref="B49">SUM(SUMIFS(B$9:B$41,$A$9:$A$41,{"Falkirk","Stirling","Clackmannanshire"}))</f>
        <v>13954</v>
      </c>
      <c r="C49" s="285" cm="1">
        <f t="array" ref="C49">SUM(SUMIFS(C$9:C$41,$A$9:$A$41,{"Falkirk","Stirling","Clackmannanshire"}))</f>
        <v>57719.600989530656</v>
      </c>
      <c r="D49" s="288">
        <f t="shared" si="3"/>
        <v>24.175496297230147</v>
      </c>
      <c r="E49" s="7"/>
      <c r="F49" s="285" cm="1">
        <f t="array" ref="F49">SUM(SUMIFS(F$9:F$41,$A$9:$A$41,{"Falkirk","Stirling","Clackmannanshire"}))</f>
        <v>12700</v>
      </c>
      <c r="G49" s="285" cm="1">
        <f t="array" ref="G49">SUM(SUMIFS(G$9:G$41,$A$9:$A$41,{"Falkirk","Stirling","Clackmannanshire"}))</f>
        <v>60629.524325175305</v>
      </c>
      <c r="H49" s="288">
        <f t="shared" si="4"/>
        <v>20.946890382787576</v>
      </c>
      <c r="I49" s="7"/>
      <c r="J49" s="285" cm="1">
        <f t="array" ref="J49">SUM(SUMIFS(J$9:J$41,$A$9:$A$41,{"Falkirk","Stirling","Clackmannanshire"}))</f>
        <v>14064</v>
      </c>
      <c r="K49" s="285" cm="1">
        <f t="array" ref="K49">SUM(SUMIFS(K$9:K$41,$A$9:$A$41,{"Falkirk","Stirling","Clackmannanshire"}))</f>
        <v>57413.225426224359</v>
      </c>
      <c r="L49" s="288">
        <f t="shared" si="5"/>
        <v>24.496098060319138</v>
      </c>
      <c r="M49" s="7"/>
      <c r="N49" s="285" cm="1">
        <f t="array" ref="N49">SUM(SUMIFS(N$9:N$41,$A$9:$A$41,{"Falkirk","Stirling","Clackmannanshire"}))</f>
        <v>14194</v>
      </c>
      <c r="O49" s="285" cm="1">
        <f t="array" ref="O49">SUM(SUMIFS(O$9:O$41,$A$9:$A$41,{"Falkirk","Stirling","Clackmannanshire"}))</f>
        <v>56633.071319851799</v>
      </c>
      <c r="P49" s="288">
        <f t="shared" si="6"/>
        <v>25.06309417660794</v>
      </c>
      <c r="Q49" s="7"/>
    </row>
    <row r="50" spans="1:17">
      <c r="A50" s="10" t="s">
        <v>157</v>
      </c>
      <c r="B50" s="297">
        <f>SUM(B40+B34+B26+B19+B22+B13)</f>
        <v>61672</v>
      </c>
      <c r="C50" s="297">
        <f>SUM(C40+C34+C26+C19+C22+C13)</f>
        <v>262246.49344015087</v>
      </c>
      <c r="D50" s="288">
        <f t="shared" si="3"/>
        <v>23.516806341616387</v>
      </c>
      <c r="E50" s="7"/>
      <c r="F50" s="297">
        <f>SUM(F40+F34+F26+F19+F22+F13)</f>
        <v>54526</v>
      </c>
      <c r="G50" s="297">
        <f>SUM(G40+G34+G26+G19+G22+G13)</f>
        <v>277282.09549903258</v>
      </c>
      <c r="H50" s="288">
        <f t="shared" si="4"/>
        <v>19.664450350415876</v>
      </c>
      <c r="I50" s="7"/>
      <c r="J50" s="297">
        <f>SUM(J40+J34+J26+J19+J22+J13)</f>
        <v>59623</v>
      </c>
      <c r="K50" s="297">
        <f>SUM(K40+K34+K26+K19+K22+K13)</f>
        <v>263043.09531084285</v>
      </c>
      <c r="L50" s="288">
        <f t="shared" si="5"/>
        <v>22.666628040375819</v>
      </c>
      <c r="M50" s="7"/>
      <c r="N50" s="297">
        <f>SUM(N40+N34+N26+N19+N22+N13)</f>
        <v>60266</v>
      </c>
      <c r="O50" s="297">
        <f>SUM(O40+O34+O26+O19+O22+O13)</f>
        <v>259065.05619578483</v>
      </c>
      <c r="P50" s="288">
        <f t="shared" si="6"/>
        <v>23.262882646146924</v>
      </c>
      <c r="Q50" s="7"/>
    </row>
    <row r="51" spans="1:17">
      <c r="A51" s="10" t="s">
        <v>158</v>
      </c>
      <c r="B51" s="297">
        <f>SUM(B32+B22+B16+B11)</f>
        <v>37092</v>
      </c>
      <c r="C51" s="297">
        <f>SUM(C32+C22+C16+C11)</f>
        <v>145961.95772667413</v>
      </c>
      <c r="D51" s="288">
        <f t="shared" si="3"/>
        <v>25.412100918417281</v>
      </c>
      <c r="E51" s="7"/>
      <c r="F51" s="297">
        <f>SUM(F32+F22+F16+F11)</f>
        <v>32923</v>
      </c>
      <c r="G51" s="297">
        <f>SUM(G32+G22+G16+G11)</f>
        <v>154334.05645291673</v>
      </c>
      <c r="H51" s="288">
        <f t="shared" si="4"/>
        <v>21.332297457006156</v>
      </c>
      <c r="I51" s="7"/>
      <c r="J51" s="297">
        <f>SUM(J32+J22+J16+J11)</f>
        <v>36791</v>
      </c>
      <c r="K51" s="297">
        <f>SUM(K32+K22+K16+K11)</f>
        <v>145724.86664593616</v>
      </c>
      <c r="L51" s="288">
        <f t="shared" si="5"/>
        <v>25.246892206386519</v>
      </c>
      <c r="M51" s="7"/>
      <c r="N51" s="297">
        <f>SUM(N32+N22+N16+N11)</f>
        <v>36999</v>
      </c>
      <c r="O51" s="297">
        <f>SUM(O32+O22+O16+O11)</f>
        <v>143578.73534817525</v>
      </c>
      <c r="P51" s="288">
        <f t="shared" si="6"/>
        <v>25.769136293252785</v>
      </c>
      <c r="Q51" s="7"/>
    </row>
    <row r="52" spans="1:17">
      <c r="A52" s="6" t="s">
        <v>48</v>
      </c>
      <c r="B52" s="297">
        <f>SUM(B39+B37+B33+B30+B25+B23+B20+B18)</f>
        <v>90616</v>
      </c>
      <c r="C52" s="297">
        <f>SUM(C39+C37+C33+C30+C25+C23+C20+C18)</f>
        <v>351327.07001060399</v>
      </c>
      <c r="D52" s="288">
        <f>SUM(B52/C52)*100</f>
        <v>25.792490170844211</v>
      </c>
      <c r="E52" s="7"/>
      <c r="F52" s="297">
        <f>SUM(F39+F37+F33+F30+F25+F23+F20+F18)</f>
        <v>84868</v>
      </c>
      <c r="G52" s="297">
        <f>SUM(G39+G37+G33+G30+G25+G23+G20+G18)</f>
        <v>374789.01703431143</v>
      </c>
      <c r="H52" s="288">
        <f t="shared" si="4"/>
        <v>22.644206778404726</v>
      </c>
      <c r="I52" s="7"/>
      <c r="J52" s="297">
        <f>SUM(J39+J37+J33+J30+J25+J23+J20+J18)</f>
        <v>91053</v>
      </c>
      <c r="K52" s="297">
        <f>SUM(K39+K37+K33+K30+K25+K23+K20+K18)</f>
        <v>353169.79801973526</v>
      </c>
      <c r="L52" s="288">
        <f t="shared" si="5"/>
        <v>25.781649651398542</v>
      </c>
      <c r="M52" s="7"/>
      <c r="N52" s="297">
        <f>SUM(N39+N37+N33+N30+N25+N23+N20+N18)</f>
        <v>92212</v>
      </c>
      <c r="O52" s="297">
        <f>SUM(O39+O37+O33+O30+O25+O23+O20+O18)</f>
        <v>349198.83302769403</v>
      </c>
      <c r="P52" s="288">
        <f t="shared" si="6"/>
        <v>26.406732004366955</v>
      </c>
      <c r="Q52" s="7"/>
    </row>
    <row r="53" spans="1:17">
      <c r="B53" s="60"/>
      <c r="C53" s="60"/>
    </row>
    <row r="54" spans="1:17">
      <c r="A54" s="8" t="s">
        <v>513</v>
      </c>
    </row>
    <row r="55" spans="1:17">
      <c r="A55" s="8" t="s">
        <v>13</v>
      </c>
    </row>
    <row r="56" spans="1:17">
      <c r="A56" s="8" t="s">
        <v>14</v>
      </c>
    </row>
    <row r="58" spans="1:17">
      <c r="D58" s="12"/>
    </row>
    <row r="59" spans="1:17">
      <c r="D59" s="12"/>
    </row>
  </sheetData>
  <mergeCells count="4">
    <mergeCell ref="B7:E7"/>
    <mergeCell ref="F7:I7"/>
    <mergeCell ref="J7:M7"/>
    <mergeCell ref="N7:Q7"/>
  </mergeCells>
  <hyperlinks>
    <hyperlink ref="A1" r:id="rId1" xr:uid="{00000000-0004-0000-3500-000000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2CE4-0385-4BCE-9299-425D0C1CCAA9}">
  <sheetPr>
    <tabColor rgb="FFFFF2CC"/>
    <pageSetUpPr autoPageBreaks="0"/>
  </sheetPr>
  <dimension ref="A1:S158"/>
  <sheetViews>
    <sheetView zoomScale="60" zoomScaleNormal="60" workbookViewId="0">
      <selection activeCell="T38" sqref="T38"/>
    </sheetView>
  </sheetViews>
  <sheetFormatPr defaultColWidth="8.7109375" defaultRowHeight="15"/>
  <cols>
    <col min="1" max="1" width="25" style="21" customWidth="1" collapsed="1"/>
    <col min="2" max="17" width="14" style="21" customWidth="1" collapsed="1"/>
    <col min="18" max="18" width="8.7109375" style="21"/>
    <col min="19" max="19" width="11.85546875" style="21" bestFit="1" customWidth="1"/>
    <col min="20" max="16384" width="8.7109375" style="21"/>
  </cols>
  <sheetData>
    <row r="1" spans="1:17">
      <c r="A1" s="342" t="s">
        <v>273</v>
      </c>
      <c r="B1" s="343"/>
    </row>
    <row r="2" spans="1:17" ht="15.75">
      <c r="A2" s="344" t="s">
        <v>274</v>
      </c>
      <c r="B2" s="343"/>
    </row>
    <row r="3" spans="1:17">
      <c r="A3" s="342"/>
      <c r="B3" s="343"/>
    </row>
    <row r="4" spans="1:17">
      <c r="A4" s="108"/>
      <c r="B4" s="108"/>
    </row>
    <row r="5" spans="1:17">
      <c r="A5" s="108"/>
      <c r="B5" s="108"/>
    </row>
    <row r="7" spans="1:17" ht="21.95" customHeight="1">
      <c r="A7" s="109" t="s">
        <v>7</v>
      </c>
      <c r="B7" s="474">
        <v>2020</v>
      </c>
      <c r="C7" s="474"/>
      <c r="D7" s="474"/>
      <c r="E7" s="474"/>
      <c r="F7" s="474">
        <v>2021</v>
      </c>
      <c r="G7" s="474"/>
      <c r="H7" s="474"/>
      <c r="I7" s="474"/>
      <c r="J7" s="474">
        <v>2022</v>
      </c>
      <c r="K7" s="474"/>
      <c r="L7" s="474"/>
      <c r="M7" s="474"/>
      <c r="N7" s="474">
        <v>2023</v>
      </c>
      <c r="O7" s="474"/>
      <c r="P7" s="474"/>
      <c r="Q7" s="474"/>
    </row>
    <row r="8" spans="1:17" ht="26.1" customHeight="1">
      <c r="B8" s="110" t="s">
        <v>8</v>
      </c>
      <c r="C8" s="110" t="s">
        <v>9</v>
      </c>
      <c r="D8" s="110" t="s">
        <v>10</v>
      </c>
      <c r="E8" s="110" t="s">
        <v>11</v>
      </c>
      <c r="F8" s="110" t="s">
        <v>8</v>
      </c>
      <c r="G8" s="110" t="s">
        <v>9</v>
      </c>
      <c r="H8" s="110" t="s">
        <v>10</v>
      </c>
      <c r="I8" s="110" t="s">
        <v>11</v>
      </c>
      <c r="J8" s="110" t="s">
        <v>8</v>
      </c>
      <c r="K8" s="110" t="s">
        <v>9</v>
      </c>
      <c r="L8" s="110" t="s">
        <v>10</v>
      </c>
      <c r="M8" s="110" t="s">
        <v>11</v>
      </c>
      <c r="N8" s="110" t="s">
        <v>8</v>
      </c>
      <c r="O8" s="110" t="s">
        <v>9</v>
      </c>
      <c r="P8" s="110" t="s">
        <v>10</v>
      </c>
      <c r="Q8" s="110" t="s">
        <v>11</v>
      </c>
    </row>
    <row r="9" spans="1:17">
      <c r="A9" s="108" t="s">
        <v>15</v>
      </c>
      <c r="B9" s="111">
        <f>SUM(C9*SUM(D9/100))</f>
        <v>7980</v>
      </c>
      <c r="C9" s="111">
        <v>35789</v>
      </c>
      <c r="D9" s="112">
        <v>22.297353935566793</v>
      </c>
      <c r="E9" s="112"/>
      <c r="F9" s="111">
        <f>SUM(H9/100)*G9</f>
        <v>8320</v>
      </c>
      <c r="G9" s="111">
        <f>VLOOKUP($A9&amp;$F$7,$A$57:$I$158,4,FALSE)</f>
        <v>35860</v>
      </c>
      <c r="H9" s="112">
        <f>VLOOKUP($A9&amp;$F$7,$A$57:$I$158,9,FALSE)</f>
        <v>23.201338538761853</v>
      </c>
      <c r="I9" s="112"/>
      <c r="J9" s="111">
        <f t="shared" ref="J9" si="0">SUM(L9/100)*K9</f>
        <v>9120.0000000000018</v>
      </c>
      <c r="K9" s="111">
        <f>VLOOKUP($A9&amp;$J$7,$A$57:$I$158,4,FALSE)</f>
        <v>35860</v>
      </c>
      <c r="L9" s="112">
        <f>VLOOKUP($A9&amp;$J$7,$A$57:$I$158,9,FALSE)</f>
        <v>25.432236475181263</v>
      </c>
      <c r="M9" s="112"/>
      <c r="N9" s="111">
        <f t="shared" ref="N9" si="1">SUM(P9/100)*O9</f>
        <v>9160</v>
      </c>
      <c r="O9" s="111">
        <f>VLOOKUP($A9&amp;$N$7,$A$57:$I$158,4,FALSE)</f>
        <v>35860</v>
      </c>
      <c r="P9" s="112">
        <f>VLOOKUP($A9&amp;$N$7,$A$57:$I$158,9,FALSE)</f>
        <v>25.543781372002233</v>
      </c>
      <c r="Q9" s="112"/>
    </row>
    <row r="10" spans="1:17">
      <c r="A10" s="108" t="s">
        <v>16</v>
      </c>
      <c r="B10" s="111">
        <f t="shared" ref="B10:B40" si="2">SUM(C10*SUM(D10/100))</f>
        <v>11280</v>
      </c>
      <c r="C10" s="111">
        <v>48674</v>
      </c>
      <c r="D10" s="112">
        <v>23.174590130254344</v>
      </c>
      <c r="E10" s="112"/>
      <c r="F10" s="111">
        <f t="shared" ref="F10:F42" si="3">SUM(H10/100)*G10</f>
        <v>11750.000000000002</v>
      </c>
      <c r="G10" s="111">
        <f t="shared" ref="G10:G42" si="4">VLOOKUP($A10&amp;$F$7,$A$57:$I$158,4,FALSE)</f>
        <v>48578</v>
      </c>
      <c r="H10" s="112">
        <f t="shared" ref="H10:H42" si="5">VLOOKUP($A10&amp;$F$7,$A$57:$I$158,9,FALSE)</f>
        <v>24.187903989460253</v>
      </c>
      <c r="I10" s="112"/>
      <c r="J10" s="111">
        <f t="shared" ref="J10:J42" si="6">SUM(L10/100)*K10</f>
        <v>11860.000000000002</v>
      </c>
      <c r="K10" s="111">
        <f t="shared" ref="K10:K42" si="7">VLOOKUP($A10&amp;$J$7,$A$57:$I$158,4,FALSE)</f>
        <v>48578</v>
      </c>
      <c r="L10" s="112">
        <f t="shared" ref="L10:L42" si="8">VLOOKUP($A10&amp;$J$7,$A$57:$I$158,9,FALSE)</f>
        <v>24.414343941702008</v>
      </c>
      <c r="M10" s="112"/>
      <c r="N10" s="111">
        <f t="shared" ref="N10:N42" si="9">SUM(P10/100)*O10</f>
        <v>11799.999999999998</v>
      </c>
      <c r="O10" s="111">
        <f t="shared" ref="O10:O42" si="10">VLOOKUP($A10&amp;$N$7,$A$57:$I$158,4,FALSE)</f>
        <v>48578</v>
      </c>
      <c r="P10" s="112">
        <f t="shared" ref="P10:P42" si="11">VLOOKUP($A10&amp;$N$7,$A$57:$I$158,9,FALSE)</f>
        <v>24.290831240479228</v>
      </c>
      <c r="Q10" s="112"/>
    </row>
    <row r="11" spans="1:17">
      <c r="A11" s="108" t="s">
        <v>17</v>
      </c>
      <c r="B11" s="111">
        <f t="shared" si="2"/>
        <v>4250</v>
      </c>
      <c r="C11" s="111">
        <v>18908</v>
      </c>
      <c r="D11" s="112">
        <v>22.477258303363655</v>
      </c>
      <c r="E11" s="112"/>
      <c r="F11" s="111">
        <f t="shared" si="3"/>
        <v>4400</v>
      </c>
      <c r="G11" s="111">
        <f t="shared" si="4"/>
        <v>18639</v>
      </c>
      <c r="H11" s="112">
        <f t="shared" si="5"/>
        <v>23.60641665325393</v>
      </c>
      <c r="I11" s="112"/>
      <c r="J11" s="111">
        <f t="shared" si="6"/>
        <v>4190.0000000000009</v>
      </c>
      <c r="K11" s="111">
        <f t="shared" si="7"/>
        <v>18639</v>
      </c>
      <c r="L11" s="112">
        <f t="shared" si="8"/>
        <v>22.47974676753045</v>
      </c>
      <c r="M11" s="112"/>
      <c r="N11" s="111">
        <f t="shared" si="9"/>
        <v>4260</v>
      </c>
      <c r="O11" s="111">
        <f t="shared" si="10"/>
        <v>18639</v>
      </c>
      <c r="P11" s="112">
        <f t="shared" si="11"/>
        <v>22.85530339610494</v>
      </c>
      <c r="Q11" s="112"/>
    </row>
    <row r="12" spans="1:17">
      <c r="A12" s="108" t="s">
        <v>18</v>
      </c>
      <c r="B12" s="111">
        <f t="shared" si="2"/>
        <v>2720</v>
      </c>
      <c r="C12" s="111">
        <v>12577</v>
      </c>
      <c r="D12" s="112">
        <v>21.626779041106783</v>
      </c>
      <c r="E12" s="112"/>
      <c r="F12" s="111">
        <f t="shared" si="3"/>
        <v>2750</v>
      </c>
      <c r="G12" s="111">
        <f t="shared" si="4"/>
        <v>12441</v>
      </c>
      <c r="H12" s="112">
        <f t="shared" si="5"/>
        <v>22.104332449160037</v>
      </c>
      <c r="I12" s="112"/>
      <c r="J12" s="111">
        <f t="shared" si="6"/>
        <v>2790</v>
      </c>
      <c r="K12" s="111">
        <f t="shared" si="7"/>
        <v>12441</v>
      </c>
      <c r="L12" s="112">
        <f t="shared" si="8"/>
        <v>22.425850012056909</v>
      </c>
      <c r="M12" s="112"/>
      <c r="N12" s="111">
        <f t="shared" si="9"/>
        <v>2760</v>
      </c>
      <c r="O12" s="111">
        <f t="shared" si="10"/>
        <v>12441</v>
      </c>
      <c r="P12" s="112">
        <f t="shared" si="11"/>
        <v>22.184711839884251</v>
      </c>
      <c r="Q12" s="112"/>
    </row>
    <row r="13" spans="1:17">
      <c r="A13" s="108" t="s">
        <v>126</v>
      </c>
      <c r="B13" s="111">
        <f t="shared" si="2"/>
        <v>24040</v>
      </c>
      <c r="C13" s="111">
        <v>79150</v>
      </c>
      <c r="D13" s="112">
        <v>30.372710044219836</v>
      </c>
      <c r="E13" s="112"/>
      <c r="F13" s="111">
        <f t="shared" si="3"/>
        <v>25550</v>
      </c>
      <c r="G13" s="111">
        <f t="shared" si="4"/>
        <v>78826</v>
      </c>
      <c r="H13" s="112">
        <f t="shared" si="5"/>
        <v>32.4131631695126</v>
      </c>
      <c r="I13" s="112"/>
      <c r="J13" s="111">
        <f t="shared" si="6"/>
        <v>24140</v>
      </c>
      <c r="K13" s="111">
        <f t="shared" si="7"/>
        <v>78826</v>
      </c>
      <c r="L13" s="112">
        <f t="shared" si="8"/>
        <v>30.62441326465887</v>
      </c>
      <c r="M13" s="112"/>
      <c r="N13" s="111">
        <f t="shared" si="9"/>
        <v>23060</v>
      </c>
      <c r="O13" s="111">
        <f t="shared" si="10"/>
        <v>78826</v>
      </c>
      <c r="P13" s="112">
        <f t="shared" si="11"/>
        <v>29.254306954558142</v>
      </c>
      <c r="Q13" s="112"/>
    </row>
    <row r="14" spans="1:17">
      <c r="A14" s="108" t="s">
        <v>19</v>
      </c>
      <c r="B14" s="111">
        <f t="shared" si="2"/>
        <v>1920</v>
      </c>
      <c r="C14" s="111">
        <v>8897</v>
      </c>
      <c r="D14" s="112">
        <v>21.580307968978307</v>
      </c>
      <c r="E14" s="112"/>
      <c r="F14" s="111">
        <f t="shared" si="3"/>
        <v>1950</v>
      </c>
      <c r="G14" s="111">
        <f t="shared" si="4"/>
        <v>8877</v>
      </c>
      <c r="H14" s="112">
        <f t="shared" si="5"/>
        <v>21.966880702940184</v>
      </c>
      <c r="I14" s="112"/>
      <c r="J14" s="111">
        <f t="shared" si="6"/>
        <v>1930</v>
      </c>
      <c r="K14" s="111">
        <f t="shared" si="7"/>
        <v>8877</v>
      </c>
      <c r="L14" s="112">
        <f t="shared" si="8"/>
        <v>21.741579362397207</v>
      </c>
      <c r="M14" s="112"/>
      <c r="N14" s="111">
        <f t="shared" si="9"/>
        <v>1900</v>
      </c>
      <c r="O14" s="111">
        <f t="shared" si="10"/>
        <v>8877</v>
      </c>
      <c r="P14" s="112">
        <f t="shared" si="11"/>
        <v>21.403627351582742</v>
      </c>
      <c r="Q14" s="112"/>
    </row>
    <row r="15" spans="1:17">
      <c r="A15" s="108" t="s">
        <v>20</v>
      </c>
      <c r="B15" s="111">
        <f t="shared" si="2"/>
        <v>4590</v>
      </c>
      <c r="C15" s="111">
        <v>23050</v>
      </c>
      <c r="D15" s="112">
        <v>19.913232104121477</v>
      </c>
      <c r="E15" s="112"/>
      <c r="F15" s="111">
        <f t="shared" si="3"/>
        <v>4449.9999999999991</v>
      </c>
      <c r="G15" s="111">
        <f t="shared" si="4"/>
        <v>22882</v>
      </c>
      <c r="H15" s="112">
        <f t="shared" si="5"/>
        <v>19.447600734201554</v>
      </c>
      <c r="I15" s="112"/>
      <c r="J15" s="111">
        <f t="shared" si="6"/>
        <v>4469.9999999999991</v>
      </c>
      <c r="K15" s="111">
        <f t="shared" si="7"/>
        <v>22882</v>
      </c>
      <c r="L15" s="112">
        <f t="shared" si="8"/>
        <v>19.535005681321561</v>
      </c>
      <c r="M15" s="112"/>
      <c r="N15" s="111">
        <f t="shared" si="9"/>
        <v>4469.9999999999991</v>
      </c>
      <c r="O15" s="111">
        <f t="shared" si="10"/>
        <v>22882</v>
      </c>
      <c r="P15" s="112">
        <f t="shared" si="11"/>
        <v>19.535005681321561</v>
      </c>
      <c r="Q15" s="112"/>
    </row>
    <row r="16" spans="1:17">
      <c r="A16" s="108" t="s">
        <v>21</v>
      </c>
      <c r="B16" s="111">
        <f t="shared" si="2"/>
        <v>5610</v>
      </c>
      <c r="C16" s="111">
        <v>23958</v>
      </c>
      <c r="D16" s="112">
        <v>23.415977961432507</v>
      </c>
      <c r="E16" s="112"/>
      <c r="F16" s="111">
        <f t="shared" si="3"/>
        <v>5870</v>
      </c>
      <c r="G16" s="111">
        <f t="shared" si="4"/>
        <v>23704</v>
      </c>
      <c r="H16" s="112">
        <f t="shared" si="5"/>
        <v>24.763752953088087</v>
      </c>
      <c r="I16" s="112"/>
      <c r="J16" s="111">
        <f t="shared" si="6"/>
        <v>6069.9999999999991</v>
      </c>
      <c r="K16" s="111">
        <f t="shared" si="7"/>
        <v>23704</v>
      </c>
      <c r="L16" s="112">
        <f t="shared" si="8"/>
        <v>25.607492406344917</v>
      </c>
      <c r="M16" s="112"/>
      <c r="N16" s="111">
        <f t="shared" si="9"/>
        <v>5960</v>
      </c>
      <c r="O16" s="111">
        <f t="shared" si="10"/>
        <v>23704</v>
      </c>
      <c r="P16" s="112">
        <f t="shared" si="11"/>
        <v>25.143435707053662</v>
      </c>
      <c r="Q16" s="112"/>
    </row>
    <row r="17" spans="1:17">
      <c r="A17" s="108" t="s">
        <v>22</v>
      </c>
      <c r="B17" s="111">
        <f t="shared" si="2"/>
        <v>5580</v>
      </c>
      <c r="C17" s="111">
        <v>20869</v>
      </c>
      <c r="D17" s="112">
        <v>26.738224160237671</v>
      </c>
      <c r="E17" s="112"/>
      <c r="F17" s="111">
        <f t="shared" si="3"/>
        <v>5670</v>
      </c>
      <c r="G17" s="111">
        <f t="shared" si="4"/>
        <v>20792</v>
      </c>
      <c r="H17" s="112">
        <f t="shared" si="5"/>
        <v>27.270103886110043</v>
      </c>
      <c r="I17" s="112"/>
      <c r="J17" s="111">
        <f t="shared" si="6"/>
        <v>4990</v>
      </c>
      <c r="K17" s="111">
        <f t="shared" si="7"/>
        <v>20792</v>
      </c>
      <c r="L17" s="112">
        <f t="shared" si="8"/>
        <v>23.999615236629474</v>
      </c>
      <c r="M17" s="112"/>
      <c r="N17" s="111">
        <f t="shared" si="9"/>
        <v>4830</v>
      </c>
      <c r="O17" s="111">
        <f t="shared" si="10"/>
        <v>20792</v>
      </c>
      <c r="P17" s="112">
        <f t="shared" si="11"/>
        <v>23.23008849557522</v>
      </c>
      <c r="Q17" s="112"/>
    </row>
    <row r="18" spans="1:17">
      <c r="A18" s="108" t="s">
        <v>23</v>
      </c>
      <c r="B18" s="111">
        <f t="shared" si="2"/>
        <v>6150</v>
      </c>
      <c r="C18" s="111">
        <v>19500</v>
      </c>
      <c r="D18" s="112">
        <v>31.538461538461537</v>
      </c>
      <c r="E18" s="112"/>
      <c r="F18" s="111">
        <f t="shared" si="3"/>
        <v>6529.9999999999991</v>
      </c>
      <c r="G18" s="111">
        <f t="shared" si="4"/>
        <v>19528</v>
      </c>
      <c r="H18" s="112">
        <f t="shared" si="5"/>
        <v>33.439164276935678</v>
      </c>
      <c r="I18" s="112"/>
      <c r="J18" s="111">
        <f t="shared" si="6"/>
        <v>6759.9999999999991</v>
      </c>
      <c r="K18" s="111">
        <f t="shared" si="7"/>
        <v>19528</v>
      </c>
      <c r="L18" s="112">
        <f t="shared" si="8"/>
        <v>34.616960262187625</v>
      </c>
      <c r="M18" s="112"/>
      <c r="N18" s="111">
        <f t="shared" si="9"/>
        <v>6980.0000000000009</v>
      </c>
      <c r="O18" s="111">
        <f t="shared" si="10"/>
        <v>19528</v>
      </c>
      <c r="P18" s="112">
        <f t="shared" si="11"/>
        <v>35.743547726341667</v>
      </c>
      <c r="Q18" s="112"/>
    </row>
    <row r="19" spans="1:17">
      <c r="A19" s="108" t="s">
        <v>24</v>
      </c>
      <c r="B19" s="111">
        <f t="shared" si="2"/>
        <v>5000</v>
      </c>
      <c r="C19" s="111">
        <v>19701</v>
      </c>
      <c r="D19" s="112">
        <v>25.379422364346986</v>
      </c>
      <c r="E19" s="112"/>
      <c r="F19" s="111">
        <f t="shared" si="3"/>
        <v>5360.0000000000009</v>
      </c>
      <c r="G19" s="111">
        <f t="shared" si="4"/>
        <v>19822</v>
      </c>
      <c r="H19" s="112">
        <f t="shared" si="5"/>
        <v>27.040661890828375</v>
      </c>
      <c r="I19" s="112"/>
      <c r="J19" s="111">
        <f t="shared" si="6"/>
        <v>5599.9999999999991</v>
      </c>
      <c r="K19" s="111">
        <f t="shared" si="7"/>
        <v>19822</v>
      </c>
      <c r="L19" s="112">
        <f t="shared" si="8"/>
        <v>28.251437796387847</v>
      </c>
      <c r="M19" s="112"/>
      <c r="N19" s="111">
        <f t="shared" si="9"/>
        <v>5790.0000000000009</v>
      </c>
      <c r="O19" s="111">
        <f t="shared" si="10"/>
        <v>19822</v>
      </c>
      <c r="P19" s="112">
        <f t="shared" si="11"/>
        <v>29.209968721622442</v>
      </c>
      <c r="Q19" s="112"/>
    </row>
    <row r="20" spans="1:17">
      <c r="A20" s="108" t="s">
        <v>25</v>
      </c>
      <c r="B20" s="111">
        <f t="shared" si="2"/>
        <v>5520</v>
      </c>
      <c r="C20" s="111">
        <v>19646</v>
      </c>
      <c r="D20" s="112">
        <v>28.09732261020055</v>
      </c>
      <c r="E20" s="112"/>
      <c r="F20" s="111">
        <f t="shared" si="3"/>
        <v>5780.0000000000009</v>
      </c>
      <c r="G20" s="111">
        <f t="shared" si="4"/>
        <v>19701</v>
      </c>
      <c r="H20" s="112">
        <f t="shared" si="5"/>
        <v>29.338612253185119</v>
      </c>
      <c r="I20" s="112"/>
      <c r="J20" s="111">
        <f t="shared" si="6"/>
        <v>6070</v>
      </c>
      <c r="K20" s="111">
        <f t="shared" si="7"/>
        <v>19701</v>
      </c>
      <c r="L20" s="112">
        <f t="shared" si="8"/>
        <v>30.810618750317243</v>
      </c>
      <c r="M20" s="112"/>
      <c r="N20" s="111">
        <f t="shared" si="9"/>
        <v>5880</v>
      </c>
      <c r="O20" s="111">
        <f t="shared" si="10"/>
        <v>19701</v>
      </c>
      <c r="P20" s="112">
        <f t="shared" si="11"/>
        <v>29.84620070047206</v>
      </c>
      <c r="Q20" s="112"/>
    </row>
    <row r="21" spans="1:17">
      <c r="A21" s="108" t="s">
        <v>26</v>
      </c>
      <c r="B21" s="111">
        <f t="shared" si="2"/>
        <v>6250</v>
      </c>
      <c r="C21" s="111">
        <v>27886</v>
      </c>
      <c r="D21" s="112">
        <v>22.412680197948792</v>
      </c>
      <c r="E21" s="112"/>
      <c r="F21" s="111">
        <f t="shared" si="3"/>
        <v>6220</v>
      </c>
      <c r="G21" s="111">
        <f t="shared" si="4"/>
        <v>27564</v>
      </c>
      <c r="H21" s="112">
        <f t="shared" si="5"/>
        <v>22.565665360615295</v>
      </c>
      <c r="I21" s="112"/>
      <c r="J21" s="111">
        <f t="shared" si="6"/>
        <v>5800</v>
      </c>
      <c r="K21" s="111">
        <f t="shared" si="7"/>
        <v>27564</v>
      </c>
      <c r="L21" s="112">
        <f t="shared" si="8"/>
        <v>21.041938760702365</v>
      </c>
      <c r="M21" s="112"/>
      <c r="N21" s="111">
        <f t="shared" si="9"/>
        <v>5770.0000000000009</v>
      </c>
      <c r="O21" s="111">
        <f t="shared" si="10"/>
        <v>27564</v>
      </c>
      <c r="P21" s="112">
        <f t="shared" si="11"/>
        <v>20.933101146422871</v>
      </c>
      <c r="Q21" s="112"/>
    </row>
    <row r="22" spans="1:17">
      <c r="A22" s="108" t="s">
        <v>27</v>
      </c>
      <c r="B22" s="111">
        <f t="shared" si="2"/>
        <v>12990</v>
      </c>
      <c r="C22" s="111">
        <v>64152</v>
      </c>
      <c r="D22" s="112">
        <v>20.248784137673027</v>
      </c>
      <c r="E22" s="112"/>
      <c r="F22" s="111">
        <f t="shared" si="3"/>
        <v>13390</v>
      </c>
      <c r="G22" s="111">
        <f t="shared" si="4"/>
        <v>63680</v>
      </c>
      <c r="H22" s="112">
        <f t="shared" si="5"/>
        <v>21.027010050251256</v>
      </c>
      <c r="I22" s="112"/>
      <c r="J22" s="111">
        <f t="shared" si="6"/>
        <v>13450</v>
      </c>
      <c r="K22" s="111">
        <f t="shared" si="7"/>
        <v>63680</v>
      </c>
      <c r="L22" s="112">
        <f t="shared" si="8"/>
        <v>21.121231155778894</v>
      </c>
      <c r="M22" s="112"/>
      <c r="N22" s="111">
        <f t="shared" si="9"/>
        <v>13490</v>
      </c>
      <c r="O22" s="111">
        <f t="shared" si="10"/>
        <v>63680</v>
      </c>
      <c r="P22" s="112">
        <f t="shared" si="11"/>
        <v>21.184045226130653</v>
      </c>
      <c r="Q22" s="112"/>
    </row>
    <row r="23" spans="1:17">
      <c r="A23" s="108" t="s">
        <v>28</v>
      </c>
      <c r="B23" s="111">
        <f t="shared" si="2"/>
        <v>21780</v>
      </c>
      <c r="C23" s="111">
        <v>100478</v>
      </c>
      <c r="D23" s="112">
        <v>21.676386870757778</v>
      </c>
      <c r="E23" s="112"/>
      <c r="F23" s="111">
        <f t="shared" si="3"/>
        <v>23220</v>
      </c>
      <c r="G23" s="111">
        <f t="shared" si="4"/>
        <v>99881</v>
      </c>
      <c r="H23" s="112">
        <f t="shared" si="5"/>
        <v>23.247664721018012</v>
      </c>
      <c r="I23" s="112"/>
      <c r="J23" s="111">
        <f t="shared" si="6"/>
        <v>23900</v>
      </c>
      <c r="K23" s="111">
        <f t="shared" si="7"/>
        <v>99881</v>
      </c>
      <c r="L23" s="112">
        <f t="shared" si="8"/>
        <v>23.928474885113285</v>
      </c>
      <c r="M23" s="112"/>
      <c r="N23" s="111">
        <f t="shared" si="9"/>
        <v>23179.999999999996</v>
      </c>
      <c r="O23" s="111">
        <f t="shared" si="10"/>
        <v>99881</v>
      </c>
      <c r="P23" s="112">
        <f t="shared" si="11"/>
        <v>23.207617064306522</v>
      </c>
      <c r="Q23" s="112"/>
    </row>
    <row r="24" spans="1:17">
      <c r="A24" s="108" t="s">
        <v>29</v>
      </c>
      <c r="B24" s="111">
        <f t="shared" si="2"/>
        <v>8420</v>
      </c>
      <c r="C24" s="111">
        <v>38490</v>
      </c>
      <c r="D24" s="112">
        <v>21.875811899194598</v>
      </c>
      <c r="E24" s="112"/>
      <c r="F24" s="111">
        <f t="shared" si="3"/>
        <v>8740</v>
      </c>
      <c r="G24" s="111">
        <f t="shared" si="4"/>
        <v>38130</v>
      </c>
      <c r="H24" s="112">
        <f t="shared" si="5"/>
        <v>22.921584054550223</v>
      </c>
      <c r="I24" s="112"/>
      <c r="J24" s="111">
        <f t="shared" si="6"/>
        <v>8800</v>
      </c>
      <c r="K24" s="111">
        <f t="shared" si="7"/>
        <v>38130</v>
      </c>
      <c r="L24" s="112">
        <f t="shared" si="8"/>
        <v>23.078940466824022</v>
      </c>
      <c r="M24" s="112"/>
      <c r="N24" s="111">
        <f t="shared" si="9"/>
        <v>8620</v>
      </c>
      <c r="O24" s="111">
        <f t="shared" si="10"/>
        <v>38130</v>
      </c>
      <c r="P24" s="112">
        <f t="shared" si="11"/>
        <v>22.606871230002621</v>
      </c>
      <c r="Q24" s="112"/>
    </row>
    <row r="25" spans="1:17">
      <c r="A25" s="108" t="s">
        <v>30</v>
      </c>
      <c r="B25" s="111">
        <f t="shared" si="2"/>
        <v>2150</v>
      </c>
      <c r="C25" s="111">
        <v>12413</v>
      </c>
      <c r="D25" s="112">
        <v>17.320551035205025</v>
      </c>
      <c r="E25" s="112"/>
      <c r="F25" s="111">
        <f t="shared" si="3"/>
        <v>2280</v>
      </c>
      <c r="G25" s="111">
        <f t="shared" si="4"/>
        <v>12197</v>
      </c>
      <c r="H25" s="112">
        <f t="shared" si="5"/>
        <v>18.693121259326062</v>
      </c>
      <c r="I25" s="112"/>
      <c r="J25" s="111">
        <f t="shared" si="6"/>
        <v>2250</v>
      </c>
      <c r="K25" s="111">
        <f t="shared" si="7"/>
        <v>12197</v>
      </c>
      <c r="L25" s="112">
        <f t="shared" si="8"/>
        <v>18.447159137492825</v>
      </c>
      <c r="M25" s="112"/>
      <c r="N25" s="111">
        <f t="shared" si="9"/>
        <v>2100.0000000000005</v>
      </c>
      <c r="O25" s="111">
        <f t="shared" si="10"/>
        <v>12197</v>
      </c>
      <c r="P25" s="112">
        <f t="shared" si="11"/>
        <v>17.217348528326639</v>
      </c>
      <c r="Q25" s="112"/>
    </row>
    <row r="26" spans="1:17">
      <c r="A26" s="108" t="s">
        <v>31</v>
      </c>
      <c r="B26" s="111">
        <f t="shared" si="2"/>
        <v>5550</v>
      </c>
      <c r="C26" s="111">
        <v>18089</v>
      </c>
      <c r="D26" s="112">
        <v>30.681629719719165</v>
      </c>
      <c r="E26" s="112"/>
      <c r="F26" s="111">
        <f t="shared" si="3"/>
        <v>5660.0000000000009</v>
      </c>
      <c r="G26" s="111">
        <f t="shared" si="4"/>
        <v>18281</v>
      </c>
      <c r="H26" s="112">
        <f t="shared" si="5"/>
        <v>30.961107160439802</v>
      </c>
      <c r="I26" s="112"/>
      <c r="J26" s="111">
        <f t="shared" si="6"/>
        <v>5719.9999999999991</v>
      </c>
      <c r="K26" s="111">
        <f t="shared" si="7"/>
        <v>18281</v>
      </c>
      <c r="L26" s="112">
        <f t="shared" si="8"/>
        <v>31.289316776981565</v>
      </c>
      <c r="M26" s="112"/>
      <c r="N26" s="111">
        <f t="shared" si="9"/>
        <v>5900</v>
      </c>
      <c r="O26" s="111">
        <f t="shared" si="10"/>
        <v>18281</v>
      </c>
      <c r="P26" s="112">
        <f t="shared" si="11"/>
        <v>32.27394562660686</v>
      </c>
      <c r="Q26" s="112"/>
    </row>
    <row r="27" spans="1:17">
      <c r="A27" s="108" t="s">
        <v>32</v>
      </c>
      <c r="B27" s="111">
        <f t="shared" si="2"/>
        <v>3140</v>
      </c>
      <c r="C27" s="111">
        <v>16037</v>
      </c>
      <c r="D27" s="112">
        <v>19.579721893122155</v>
      </c>
      <c r="E27" s="112"/>
      <c r="F27" s="111">
        <f t="shared" si="3"/>
        <v>3209.9999999999995</v>
      </c>
      <c r="G27" s="111">
        <f t="shared" si="4"/>
        <v>15941</v>
      </c>
      <c r="H27" s="112">
        <f t="shared" si="5"/>
        <v>20.136754281412706</v>
      </c>
      <c r="I27" s="112"/>
      <c r="J27" s="111">
        <f t="shared" si="6"/>
        <v>3350</v>
      </c>
      <c r="K27" s="111">
        <f t="shared" si="7"/>
        <v>15941</v>
      </c>
      <c r="L27" s="112">
        <f t="shared" si="8"/>
        <v>21.014992785897999</v>
      </c>
      <c r="M27" s="112"/>
      <c r="N27" s="111">
        <f t="shared" si="9"/>
        <v>3440</v>
      </c>
      <c r="O27" s="111">
        <f t="shared" si="10"/>
        <v>15941</v>
      </c>
      <c r="P27" s="112">
        <f t="shared" si="11"/>
        <v>21.57957468163854</v>
      </c>
      <c r="Q27" s="112"/>
    </row>
    <row r="28" spans="1:17">
      <c r="A28" s="108" t="s">
        <v>33</v>
      </c>
      <c r="B28" s="111">
        <f t="shared" si="2"/>
        <v>700</v>
      </c>
      <c r="C28" s="111">
        <v>4135</v>
      </c>
      <c r="D28" s="112">
        <v>16.928657799274486</v>
      </c>
      <c r="E28" s="112"/>
      <c r="F28" s="111">
        <f t="shared" si="3"/>
        <v>700</v>
      </c>
      <c r="G28" s="111">
        <f t="shared" si="4"/>
        <v>4060</v>
      </c>
      <c r="H28" s="112">
        <f t="shared" si="5"/>
        <v>17.241379310344829</v>
      </c>
      <c r="I28" s="112"/>
      <c r="J28" s="111">
        <f t="shared" si="6"/>
        <v>690</v>
      </c>
      <c r="K28" s="111">
        <f t="shared" si="7"/>
        <v>4060</v>
      </c>
      <c r="L28" s="112">
        <f t="shared" si="8"/>
        <v>16.995073891625616</v>
      </c>
      <c r="M28" s="112"/>
      <c r="N28" s="111">
        <f t="shared" si="9"/>
        <v>610</v>
      </c>
      <c r="O28" s="111">
        <f t="shared" si="10"/>
        <v>4060</v>
      </c>
      <c r="P28" s="112">
        <f t="shared" si="11"/>
        <v>15.024630541871922</v>
      </c>
      <c r="Q28" s="112"/>
    </row>
    <row r="29" spans="1:17">
      <c r="A29" s="108" t="s">
        <v>34</v>
      </c>
      <c r="B29" s="111">
        <f t="shared" si="2"/>
        <v>4670</v>
      </c>
      <c r="C29" s="111">
        <v>22280</v>
      </c>
      <c r="D29" s="112">
        <v>20.960502692998205</v>
      </c>
      <c r="E29" s="112"/>
      <c r="F29" s="111">
        <f t="shared" si="3"/>
        <v>4210</v>
      </c>
      <c r="G29" s="111">
        <f t="shared" si="4"/>
        <v>21891</v>
      </c>
      <c r="H29" s="112">
        <f t="shared" si="5"/>
        <v>19.231647709104198</v>
      </c>
      <c r="I29" s="112"/>
      <c r="J29" s="111">
        <f t="shared" si="6"/>
        <v>4110</v>
      </c>
      <c r="K29" s="111">
        <f t="shared" si="7"/>
        <v>21891</v>
      </c>
      <c r="L29" s="112">
        <f t="shared" si="8"/>
        <v>18.774838974921202</v>
      </c>
      <c r="M29" s="112"/>
      <c r="N29" s="111">
        <f t="shared" si="9"/>
        <v>4200</v>
      </c>
      <c r="O29" s="111">
        <f t="shared" si="10"/>
        <v>21891</v>
      </c>
      <c r="P29" s="112">
        <f t="shared" si="11"/>
        <v>19.185966835685896</v>
      </c>
      <c r="Q29" s="112"/>
    </row>
    <row r="30" spans="1:17">
      <c r="A30" s="108" t="s">
        <v>35</v>
      </c>
      <c r="B30" s="111">
        <f t="shared" si="2"/>
        <v>11680.000000000002</v>
      </c>
      <c r="C30" s="111">
        <v>62278</v>
      </c>
      <c r="D30" s="112">
        <v>18.754616397443723</v>
      </c>
      <c r="E30" s="112"/>
      <c r="F30" s="111">
        <f t="shared" si="3"/>
        <v>11860</v>
      </c>
      <c r="G30" s="111">
        <f t="shared" si="4"/>
        <v>61606</v>
      </c>
      <c r="H30" s="112">
        <f t="shared" si="5"/>
        <v>19.251371619647436</v>
      </c>
      <c r="I30" s="112"/>
      <c r="J30" s="111">
        <f t="shared" si="6"/>
        <v>11880</v>
      </c>
      <c r="K30" s="111">
        <f t="shared" si="7"/>
        <v>61606</v>
      </c>
      <c r="L30" s="112">
        <f t="shared" si="8"/>
        <v>19.283835990000973</v>
      </c>
      <c r="M30" s="112"/>
      <c r="N30" s="111">
        <f t="shared" si="9"/>
        <v>11870</v>
      </c>
      <c r="O30" s="111">
        <f t="shared" si="10"/>
        <v>61606</v>
      </c>
      <c r="P30" s="112">
        <f t="shared" si="11"/>
        <v>19.267603804824205</v>
      </c>
      <c r="Q30" s="112"/>
    </row>
    <row r="31" spans="1:17">
      <c r="A31" s="108" t="s">
        <v>36</v>
      </c>
      <c r="B31" s="111">
        <f t="shared" si="2"/>
        <v>540</v>
      </c>
      <c r="C31" s="111">
        <v>3571</v>
      </c>
      <c r="D31" s="112">
        <v>15.121814617754131</v>
      </c>
      <c r="E31" s="112"/>
      <c r="F31" s="111">
        <f t="shared" si="3"/>
        <v>640</v>
      </c>
      <c r="G31" s="111">
        <f t="shared" si="4"/>
        <v>3553</v>
      </c>
      <c r="H31" s="112">
        <f t="shared" si="5"/>
        <v>18.012946805516464</v>
      </c>
      <c r="I31" s="112"/>
      <c r="J31" s="111">
        <f t="shared" si="6"/>
        <v>670</v>
      </c>
      <c r="K31" s="111">
        <f t="shared" si="7"/>
        <v>3553</v>
      </c>
      <c r="L31" s="112">
        <f t="shared" si="8"/>
        <v>18.857303687025048</v>
      </c>
      <c r="M31" s="112"/>
      <c r="N31" s="111">
        <f t="shared" si="9"/>
        <v>600</v>
      </c>
      <c r="O31" s="111">
        <f t="shared" si="10"/>
        <v>3553</v>
      </c>
      <c r="P31" s="112">
        <f t="shared" si="11"/>
        <v>16.887137630171686</v>
      </c>
      <c r="Q31" s="112"/>
    </row>
    <row r="32" spans="1:17">
      <c r="A32" s="108" t="s">
        <v>37</v>
      </c>
      <c r="B32" s="111">
        <f t="shared" si="2"/>
        <v>6430</v>
      </c>
      <c r="C32" s="111">
        <v>24244</v>
      </c>
      <c r="D32" s="112">
        <v>26.522026068305561</v>
      </c>
      <c r="E32" s="112"/>
      <c r="F32" s="111">
        <f t="shared" si="3"/>
        <v>7590</v>
      </c>
      <c r="G32" s="111">
        <f t="shared" si="4"/>
        <v>24218</v>
      </c>
      <c r="H32" s="112">
        <f t="shared" si="5"/>
        <v>31.340325377818154</v>
      </c>
      <c r="I32" s="112"/>
      <c r="J32" s="111">
        <f t="shared" si="6"/>
        <v>7460</v>
      </c>
      <c r="K32" s="111">
        <f t="shared" si="7"/>
        <v>24218</v>
      </c>
      <c r="L32" s="112">
        <f t="shared" si="8"/>
        <v>30.803534561070276</v>
      </c>
      <c r="M32" s="112"/>
      <c r="N32" s="111">
        <f t="shared" si="9"/>
        <v>7599.9999999999991</v>
      </c>
      <c r="O32" s="111">
        <f t="shared" si="10"/>
        <v>24218</v>
      </c>
      <c r="P32" s="112">
        <f t="shared" si="11"/>
        <v>31.381616979106447</v>
      </c>
      <c r="Q32" s="112"/>
    </row>
    <row r="33" spans="1:19">
      <c r="A33" s="108" t="s">
        <v>38</v>
      </c>
      <c r="B33" s="111">
        <f t="shared" si="2"/>
        <v>7320</v>
      </c>
      <c r="C33" s="111">
        <v>30182</v>
      </c>
      <c r="D33" s="112">
        <v>24.252865946590681</v>
      </c>
      <c r="E33" s="112"/>
      <c r="F33" s="111">
        <f t="shared" si="3"/>
        <v>8330</v>
      </c>
      <c r="G33" s="111">
        <f t="shared" si="4"/>
        <v>29784</v>
      </c>
      <c r="H33" s="112">
        <f t="shared" si="5"/>
        <v>27.968036529680365</v>
      </c>
      <c r="I33" s="112"/>
      <c r="J33" s="111">
        <f t="shared" si="6"/>
        <v>8650</v>
      </c>
      <c r="K33" s="111">
        <f t="shared" si="7"/>
        <v>29784</v>
      </c>
      <c r="L33" s="112">
        <f t="shared" si="8"/>
        <v>29.042438893365564</v>
      </c>
      <c r="M33" s="112"/>
      <c r="N33" s="111">
        <f t="shared" si="9"/>
        <v>9270</v>
      </c>
      <c r="O33" s="111">
        <f t="shared" si="10"/>
        <v>29784</v>
      </c>
      <c r="P33" s="112">
        <f t="shared" si="11"/>
        <v>31.12409347300564</v>
      </c>
      <c r="Q33" s="112"/>
    </row>
    <row r="34" spans="1:19">
      <c r="A34" s="108" t="s">
        <v>39</v>
      </c>
      <c r="B34" s="111">
        <f t="shared" si="2"/>
        <v>4340</v>
      </c>
      <c r="C34" s="111">
        <v>18824</v>
      </c>
      <c r="D34" s="112">
        <v>23.055673608159797</v>
      </c>
      <c r="E34" s="112"/>
      <c r="F34" s="111">
        <f t="shared" si="3"/>
        <v>4300</v>
      </c>
      <c r="G34" s="111">
        <f t="shared" si="4"/>
        <v>18723</v>
      </c>
      <c r="H34" s="112">
        <f t="shared" si="5"/>
        <v>22.966404956470651</v>
      </c>
      <c r="I34" s="112"/>
      <c r="J34" s="111">
        <f t="shared" si="6"/>
        <v>4430</v>
      </c>
      <c r="K34" s="111">
        <f t="shared" si="7"/>
        <v>18723</v>
      </c>
      <c r="L34" s="112">
        <f t="shared" si="8"/>
        <v>23.660738129573254</v>
      </c>
      <c r="M34" s="112"/>
      <c r="N34" s="111">
        <f t="shared" si="9"/>
        <v>4460</v>
      </c>
      <c r="O34" s="111">
        <f t="shared" si="10"/>
        <v>18723</v>
      </c>
      <c r="P34" s="112">
        <f t="shared" si="11"/>
        <v>23.820968861827698</v>
      </c>
      <c r="Q34" s="112"/>
    </row>
    <row r="35" spans="1:19">
      <c r="A35" s="108" t="s">
        <v>40</v>
      </c>
      <c r="B35" s="111">
        <f t="shared" si="2"/>
        <v>1060</v>
      </c>
      <c r="C35" s="111">
        <v>4158</v>
      </c>
      <c r="D35" s="112">
        <v>25.493025493025495</v>
      </c>
      <c r="E35" s="112"/>
      <c r="F35" s="111">
        <f t="shared" si="3"/>
        <v>1009.9999999999999</v>
      </c>
      <c r="G35" s="111">
        <f t="shared" si="4"/>
        <v>4104</v>
      </c>
      <c r="H35" s="112">
        <f t="shared" si="5"/>
        <v>24.610136452241711</v>
      </c>
      <c r="I35" s="112"/>
      <c r="J35" s="111">
        <f t="shared" si="6"/>
        <v>1080</v>
      </c>
      <c r="K35" s="111">
        <f t="shared" si="7"/>
        <v>4104</v>
      </c>
      <c r="L35" s="112">
        <f t="shared" si="8"/>
        <v>26.315789473684209</v>
      </c>
      <c r="M35" s="112"/>
      <c r="N35" s="111">
        <f t="shared" si="9"/>
        <v>1020</v>
      </c>
      <c r="O35" s="111">
        <f t="shared" si="10"/>
        <v>4104</v>
      </c>
      <c r="P35" s="112">
        <f t="shared" si="11"/>
        <v>24.853801169590643</v>
      </c>
      <c r="Q35" s="112"/>
    </row>
    <row r="36" spans="1:19">
      <c r="A36" s="108" t="s">
        <v>41</v>
      </c>
      <c r="B36" s="111">
        <f t="shared" si="2"/>
        <v>3750</v>
      </c>
      <c r="C36" s="111">
        <v>17418</v>
      </c>
      <c r="D36" s="112">
        <v>21.529452290733726</v>
      </c>
      <c r="E36" s="112"/>
      <c r="F36" s="111">
        <f t="shared" si="3"/>
        <v>4090.0000000000005</v>
      </c>
      <c r="G36" s="111">
        <f t="shared" si="4"/>
        <v>17244</v>
      </c>
      <c r="H36" s="112">
        <f t="shared" si="5"/>
        <v>23.718394803989796</v>
      </c>
      <c r="I36" s="112"/>
      <c r="J36" s="111">
        <f t="shared" si="6"/>
        <v>4110</v>
      </c>
      <c r="K36" s="111">
        <f t="shared" si="7"/>
        <v>17244</v>
      </c>
      <c r="L36" s="112">
        <f t="shared" si="8"/>
        <v>23.834377174669452</v>
      </c>
      <c r="M36" s="112"/>
      <c r="N36" s="111">
        <f t="shared" si="9"/>
        <v>3950</v>
      </c>
      <c r="O36" s="111">
        <f t="shared" si="10"/>
        <v>17244</v>
      </c>
      <c r="P36" s="112">
        <f t="shared" si="11"/>
        <v>22.906518209232196</v>
      </c>
      <c r="Q36" s="112"/>
    </row>
    <row r="37" spans="1:19">
      <c r="A37" s="108" t="s">
        <v>42</v>
      </c>
      <c r="B37" s="111">
        <f t="shared" si="2"/>
        <v>12789.999999999998</v>
      </c>
      <c r="C37" s="111">
        <v>55550</v>
      </c>
      <c r="D37" s="112">
        <v>23.024302430243022</v>
      </c>
      <c r="E37" s="112"/>
      <c r="F37" s="111">
        <f t="shared" si="3"/>
        <v>13139.999999999998</v>
      </c>
      <c r="G37" s="111">
        <f t="shared" si="4"/>
        <v>55700</v>
      </c>
      <c r="H37" s="112">
        <f t="shared" si="5"/>
        <v>23.590664272890482</v>
      </c>
      <c r="I37" s="112"/>
      <c r="J37" s="111">
        <f t="shared" si="6"/>
        <v>13370</v>
      </c>
      <c r="K37" s="111">
        <f t="shared" si="7"/>
        <v>55700</v>
      </c>
      <c r="L37" s="112">
        <f t="shared" si="8"/>
        <v>24.003590664272888</v>
      </c>
      <c r="M37" s="112"/>
      <c r="N37" s="111">
        <f t="shared" si="9"/>
        <v>13510</v>
      </c>
      <c r="O37" s="111">
        <f t="shared" si="10"/>
        <v>55700</v>
      </c>
      <c r="P37" s="112">
        <f t="shared" si="11"/>
        <v>24.254937163375224</v>
      </c>
      <c r="Q37" s="112"/>
    </row>
    <row r="38" spans="1:19">
      <c r="A38" s="108" t="s">
        <v>43</v>
      </c>
      <c r="B38" s="111">
        <f t="shared" si="2"/>
        <v>3779.9999999999995</v>
      </c>
      <c r="C38" s="111">
        <v>15153</v>
      </c>
      <c r="D38" s="112">
        <v>24.945555335577112</v>
      </c>
      <c r="E38" s="112"/>
      <c r="F38" s="111">
        <f t="shared" si="3"/>
        <v>3860</v>
      </c>
      <c r="G38" s="111">
        <f t="shared" si="4"/>
        <v>14948</v>
      </c>
      <c r="H38" s="112">
        <f t="shared" si="5"/>
        <v>25.822852555525824</v>
      </c>
      <c r="I38" s="112"/>
      <c r="J38" s="111">
        <f t="shared" si="6"/>
        <v>3920</v>
      </c>
      <c r="K38" s="111">
        <f t="shared" si="7"/>
        <v>14948</v>
      </c>
      <c r="L38" s="112">
        <f t="shared" si="8"/>
        <v>26.224244046026225</v>
      </c>
      <c r="M38" s="112"/>
      <c r="N38" s="111">
        <f t="shared" si="9"/>
        <v>3910.0000000000005</v>
      </c>
      <c r="O38" s="111">
        <f t="shared" si="10"/>
        <v>14948</v>
      </c>
      <c r="P38" s="112">
        <f t="shared" si="11"/>
        <v>26.157345464276158</v>
      </c>
      <c r="Q38" s="112"/>
    </row>
    <row r="39" spans="1:19">
      <c r="A39" s="108" t="s">
        <v>44</v>
      </c>
      <c r="B39" s="111">
        <f t="shared" si="2"/>
        <v>2960</v>
      </c>
      <c r="C39" s="111">
        <v>15484</v>
      </c>
      <c r="D39" s="112">
        <v>19.116507362438647</v>
      </c>
      <c r="E39" s="112"/>
      <c r="F39" s="111">
        <f t="shared" si="3"/>
        <v>2939.9999999999995</v>
      </c>
      <c r="G39" s="111">
        <f t="shared" si="4"/>
        <v>15234</v>
      </c>
      <c r="H39" s="112">
        <f t="shared" si="5"/>
        <v>19.298936589208346</v>
      </c>
      <c r="I39" s="112"/>
      <c r="J39" s="111">
        <f t="shared" si="6"/>
        <v>2899.9999999999995</v>
      </c>
      <c r="K39" s="111">
        <f t="shared" si="7"/>
        <v>15234</v>
      </c>
      <c r="L39" s="112">
        <f t="shared" si="8"/>
        <v>19.036366023368778</v>
      </c>
      <c r="M39" s="112"/>
      <c r="N39" s="111">
        <f t="shared" si="9"/>
        <v>2790</v>
      </c>
      <c r="O39" s="111">
        <f t="shared" si="10"/>
        <v>15234</v>
      </c>
      <c r="P39" s="112">
        <f t="shared" si="11"/>
        <v>18.314296967309964</v>
      </c>
      <c r="Q39" s="112"/>
    </row>
    <row r="40" spans="1:19">
      <c r="A40" s="108" t="s">
        <v>45</v>
      </c>
      <c r="B40" s="111">
        <f t="shared" si="2"/>
        <v>8650</v>
      </c>
      <c r="C40" s="111">
        <v>35242</v>
      </c>
      <c r="D40" s="112">
        <v>24.544577492764315</v>
      </c>
      <c r="E40" s="112"/>
      <c r="F40" s="111">
        <f t="shared" si="3"/>
        <v>8159.9999999999991</v>
      </c>
      <c r="G40" s="111">
        <f t="shared" si="4"/>
        <v>35133</v>
      </c>
      <c r="H40" s="112">
        <f t="shared" si="5"/>
        <v>23.226026812398597</v>
      </c>
      <c r="I40" s="112"/>
      <c r="J40" s="111">
        <f t="shared" si="6"/>
        <v>8190</v>
      </c>
      <c r="K40" s="111">
        <f t="shared" si="7"/>
        <v>35133</v>
      </c>
      <c r="L40" s="112">
        <f t="shared" si="8"/>
        <v>23.311416616855947</v>
      </c>
      <c r="M40" s="112"/>
      <c r="N40" s="111">
        <f t="shared" si="9"/>
        <v>8170.0000000000009</v>
      </c>
      <c r="O40" s="111">
        <f t="shared" si="10"/>
        <v>35133</v>
      </c>
      <c r="P40" s="112">
        <f t="shared" si="11"/>
        <v>23.254490080551051</v>
      </c>
      <c r="Q40" s="112"/>
      <c r="S40" s="113"/>
    </row>
    <row r="41" spans="1:19">
      <c r="A41" s="108"/>
      <c r="B41" s="111"/>
      <c r="C41" s="111"/>
      <c r="D41" s="112"/>
      <c r="E41" s="112"/>
      <c r="F41" s="111"/>
      <c r="G41" s="111"/>
      <c r="H41" s="112"/>
      <c r="I41" s="112"/>
      <c r="J41" s="111"/>
      <c r="K41" s="111"/>
      <c r="L41" s="112"/>
      <c r="M41" s="112"/>
      <c r="N41" s="111"/>
      <c r="O41" s="111"/>
      <c r="P41" s="112"/>
      <c r="Q41" s="112"/>
    </row>
    <row r="42" spans="1:19">
      <c r="A42" s="108" t="s">
        <v>46</v>
      </c>
      <c r="B42" s="111">
        <f t="shared" ref="B42" si="12">SUM(C42*SUM(D42/100))</f>
        <v>213600</v>
      </c>
      <c r="C42" s="111">
        <v>916783</v>
      </c>
      <c r="D42" s="112">
        <v>23.298861344505735</v>
      </c>
      <c r="E42" s="112"/>
      <c r="F42" s="111">
        <f t="shared" si="3"/>
        <v>221940</v>
      </c>
      <c r="G42" s="111">
        <f t="shared" si="4"/>
        <v>911522</v>
      </c>
      <c r="H42" s="112">
        <f t="shared" si="5"/>
        <v>24.348287808741862</v>
      </c>
      <c r="I42" s="112"/>
      <c r="J42" s="111">
        <f t="shared" si="6"/>
        <v>222839.99999999997</v>
      </c>
      <c r="K42" s="111">
        <f t="shared" si="7"/>
        <v>911522</v>
      </c>
      <c r="L42" s="112">
        <f t="shared" si="8"/>
        <v>24.447023769036839</v>
      </c>
      <c r="M42" s="112"/>
      <c r="N42" s="111">
        <f t="shared" si="9"/>
        <v>221430</v>
      </c>
      <c r="O42" s="111">
        <f t="shared" si="10"/>
        <v>911522</v>
      </c>
      <c r="P42" s="112">
        <f t="shared" si="11"/>
        <v>24.292337431241375</v>
      </c>
      <c r="Q42" s="112"/>
    </row>
    <row r="43" spans="1:19">
      <c r="A43" s="108" t="s">
        <v>47</v>
      </c>
      <c r="B43" s="111"/>
      <c r="C43" s="111"/>
      <c r="D43" s="112"/>
      <c r="E43" s="112"/>
      <c r="F43" s="111"/>
      <c r="G43" s="111"/>
      <c r="H43" s="112"/>
      <c r="I43" s="112"/>
      <c r="J43" s="111"/>
      <c r="K43" s="111"/>
      <c r="L43" s="112"/>
      <c r="M43" s="112"/>
      <c r="N43" s="111"/>
      <c r="O43" s="111"/>
      <c r="P43" s="112"/>
      <c r="Q43" s="112"/>
    </row>
    <row r="44" spans="1:19">
      <c r="A44" s="108" t="s">
        <v>246</v>
      </c>
      <c r="B44" s="47" cm="1">
        <f t="array" ref="B44">SUM(SUMIFS(B$9:B$41,$A$9:$A$41,{"East Renfrewshire","East Dunbartonshire","Aberdeenshire","Edinburgh, City of","Perth and Kinross","Aberdeen City","Shetland Islands","Orkney Islands"}))</f>
        <v>63000</v>
      </c>
      <c r="C44" s="47" cm="1">
        <f t="array" ref="C44">SUM(SUMIFS(C$9:C$41,$A$9:$A$41,{"East Renfrewshire","East Dunbartonshire","Aberdeenshire","Edinburgh, City of","Perth and Kinross","Aberdeen City","Shetland Islands","Orkney Islands"}))</f>
        <v>234732</v>
      </c>
      <c r="D44" s="13">
        <f t="shared" ref="D44:D52" si="13">SUM(B44/C44)*100</f>
        <v>26.839118654465516</v>
      </c>
      <c r="E44" s="7"/>
      <c r="F44" s="47" cm="1">
        <f t="array" ref="F44">SUM(SUMIFS(F$9:F$41,$A$9:$A$41,{"East Renfrewshire","East Dunbartonshire","Aberdeenshire","Edinburgh, City of","Perth and Kinross","Aberdeen City","Shetland Islands","Orkney Islands"}))</f>
        <v>67170</v>
      </c>
      <c r="G44" s="47" cm="1">
        <f t="array" ref="G44">SUM(SUMIFS(G$9:G$41,$A$9:$A$41,{"East Renfrewshire","East Dunbartonshire","Aberdeenshire","Edinburgh, City of","Perth and Kinross","Aberdeen City","Shetland Islands","Orkney Islands"}))</f>
        <v>234368</v>
      </c>
      <c r="H44" s="13">
        <f t="shared" ref="H44:H47" si="14">SUM(F44/G44)*100</f>
        <v>28.660055980338612</v>
      </c>
      <c r="I44" s="7"/>
      <c r="J44" s="47" cm="1">
        <f t="array" ref="J44">SUM(SUMIFS(J$9:J$41,$A$9:$A$41,{"East Renfrewshire","East Dunbartonshire","Aberdeenshire","Edinburgh, City of","Perth and Kinross","Aberdeen City","Shetland Islands","Orkney Islands"}))</f>
        <v>67160</v>
      </c>
      <c r="K44" s="47" cm="1">
        <f t="array" ref="K44">SUM(SUMIFS(K$9:K$41,$A$9:$A$41,{"East Renfrewshire","East Dunbartonshire","Aberdeenshire","Edinburgh, City of","Perth and Kinross","Aberdeen City","Shetland Islands","Orkney Islands"}))</f>
        <v>234368</v>
      </c>
      <c r="L44" s="13">
        <f t="shared" ref="L44:L47" si="15">SUM(J44/K44)*100</f>
        <v>28.65578918623703</v>
      </c>
      <c r="M44" s="7"/>
      <c r="N44" s="47" cm="1">
        <f t="array" ref="N44">SUM(SUMIFS(N$9:N$41,$A$9:$A$41,{"East Renfrewshire","East Dunbartonshire","Aberdeenshire","Edinburgh, City of","Perth and Kinross","Aberdeen City","Shetland Islands","Orkney Islands"}))</f>
        <v>66100</v>
      </c>
      <c r="O44" s="47" cm="1">
        <f t="array" ref="O44">SUM(SUMIFS(O$9:O$41,$A$9:$A$41,{"East Renfrewshire","East Dunbartonshire","Aberdeenshire","Edinburgh, City of","Perth and Kinross","Aberdeen City","Shetland Islands","Orkney Islands"}))</f>
        <v>234368</v>
      </c>
      <c r="P44" s="13">
        <f t="shared" ref="P44:P47" si="16">SUM(N44/O44)*100</f>
        <v>28.203509011469141</v>
      </c>
      <c r="Q44" s="112"/>
    </row>
    <row r="45" spans="1:19">
      <c r="A45" s="108" t="s">
        <v>247</v>
      </c>
      <c r="B45" s="47" cm="1">
        <f t="array" ref="B45">SUM(SUMIFS(B$9:B$41,$A$9:$A$41,{"Moray","Stirling","East Lothian","Angus","Scottish Borders","Highland","Argyll and Bute","Midlothian"}))</f>
        <v>37200</v>
      </c>
      <c r="C45" s="47" cm="1">
        <f t="array" ref="C45">SUM(SUMIFS(C$9:C$41,$A$9:$A$41,{"Moray","Stirling","East Lothian","Angus","Scottish Borders","Highland","Argyll and Bute","Midlothian"}))</f>
        <v>157779</v>
      </c>
      <c r="D45" s="13">
        <f t="shared" si="13"/>
        <v>23.577282147814348</v>
      </c>
      <c r="E45" s="7"/>
      <c r="F45" s="47" cm="1">
        <f t="array" ref="F45">SUM(SUMIFS(F$9:F$41,$A$9:$A$41,{"Moray","Stirling","East Lothian","Angus","Scottish Borders","Highland","Argyll and Bute","Midlothian"}))</f>
        <v>38280</v>
      </c>
      <c r="G45" s="47" cm="1">
        <f t="array" ref="G45">SUM(SUMIFS(G$9:G$41,$A$9:$A$41,{"Moray","Stirling","East Lothian","Angus","Scottish Borders","Highland","Argyll and Bute","Midlothian"}))</f>
        <v>156925</v>
      </c>
      <c r="H45" s="13">
        <f t="shared" si="14"/>
        <v>24.393818703202168</v>
      </c>
      <c r="I45" s="7"/>
      <c r="J45" s="47" cm="1">
        <f t="array" ref="J45">SUM(SUMIFS(J$9:J$41,$A$9:$A$41,{"Moray","Stirling","East Lothian","Angus","Scottish Borders","Highland","Argyll and Bute","Midlothian"}))</f>
        <v>38800</v>
      </c>
      <c r="K45" s="47" cm="1">
        <f t="array" ref="K45">SUM(SUMIFS(K$9:K$41,$A$9:$A$41,{"Moray","Stirling","East Lothian","Angus","Scottish Borders","Highland","Argyll and Bute","Midlothian"}))</f>
        <v>156925</v>
      </c>
      <c r="L45" s="13">
        <f t="shared" si="15"/>
        <v>24.72518719133344</v>
      </c>
      <c r="M45" s="7"/>
      <c r="N45" s="47" cm="1">
        <f t="array" ref="N45">SUM(SUMIFS(N$9:N$41,$A$9:$A$41,{"Moray","Stirling","East Lothian","Angus","Scottish Borders","Highland","Argyll and Bute","Midlothian"}))</f>
        <v>39140</v>
      </c>
      <c r="O45" s="47" cm="1">
        <f t="array" ref="O45">SUM(SUMIFS(O$9:O$41,$A$9:$A$41,{"Moray","Stirling","East Lothian","Angus","Scottish Borders","Highland","Argyll and Bute","Midlothian"}))</f>
        <v>156925</v>
      </c>
      <c r="P45" s="13">
        <f t="shared" si="16"/>
        <v>24.941851202803889</v>
      </c>
      <c r="Q45" s="112"/>
    </row>
    <row r="46" spans="1:19">
      <c r="A46" s="108" t="s">
        <v>248</v>
      </c>
      <c r="B46" s="47" cm="1">
        <f t="array" ref="B46">SUM(SUMIFS(B$9:B$41,$A$9:$A$41,{"Falkirk","Dumfries and Galloway","Fife","South Ayrshire","West Lothian","South Lanarkshire","Renfrewshire","Clackmannanshire"}))</f>
        <v>58260</v>
      </c>
      <c r="C46" s="47" cm="1">
        <f t="array" ref="C46">SUM(SUMIFS(C$9:C$41,$A$9:$A$41,{"Falkirk","Dumfries and Galloway","Fife","South Ayrshire","West Lothian","South Lanarkshire","Renfrewshire","Clackmannanshire"}))</f>
        <v>262377</v>
      </c>
      <c r="D46" s="13">
        <f t="shared" si="13"/>
        <v>22.204690197692635</v>
      </c>
      <c r="E46" s="7"/>
      <c r="F46" s="47" cm="1">
        <f t="array" ref="F46">SUM(SUMIFS(F$9:F$41,$A$9:$A$41,{"Falkirk","Dumfries and Galloway","Fife","South Ayrshire","West Lothian","South Lanarkshire","Renfrewshire","Clackmannanshire"}))</f>
        <v>59730</v>
      </c>
      <c r="G46" s="47" cm="1">
        <f t="array" ref="G46">SUM(SUMIFS(G$9:G$41,$A$9:$A$41,{"Falkirk","Dumfries and Galloway","Fife","South Ayrshire","West Lothian","South Lanarkshire","Renfrewshire","Clackmannanshire"}))</f>
        <v>260864</v>
      </c>
      <c r="H46" s="13">
        <f t="shared" si="14"/>
        <v>22.89698846908734</v>
      </c>
      <c r="I46" s="7"/>
      <c r="J46" s="47" cm="1">
        <f t="array" ref="J46">SUM(SUMIFS(J$9:J$41,$A$9:$A$41,{"Falkirk","Dumfries and Galloway","Fife","South Ayrshire","West Lothian","South Lanarkshire","Renfrewshire","Clackmannanshire"}))</f>
        <v>59970</v>
      </c>
      <c r="K46" s="47" cm="1">
        <f t="array" ref="K46">SUM(SUMIFS(K$9:K$41,$A$9:$A$41,{"Falkirk","Dumfries and Galloway","Fife","South Ayrshire","West Lothian","South Lanarkshire","Renfrewshire","Clackmannanshire"}))</f>
        <v>260864</v>
      </c>
      <c r="L46" s="13">
        <f t="shared" si="15"/>
        <v>22.988990431795877</v>
      </c>
      <c r="M46" s="7"/>
      <c r="N46" s="47" cm="1">
        <f t="array" ref="N46">SUM(SUMIFS(N$9:N$41,$A$9:$A$41,{"Falkirk","Dumfries and Galloway","Fife","South Ayrshire","West Lothian","South Lanarkshire","Renfrewshire","Clackmannanshire"}))</f>
        <v>60530</v>
      </c>
      <c r="O46" s="47" cm="1">
        <f t="array" ref="O46">SUM(SUMIFS(O$9:O$41,$A$9:$A$41,{"Falkirk","Dumfries and Galloway","Fife","South Ayrshire","West Lothian","South Lanarkshire","Renfrewshire","Clackmannanshire"}))</f>
        <v>260864</v>
      </c>
      <c r="P46" s="13">
        <f t="shared" si="16"/>
        <v>23.2036616781158</v>
      </c>
      <c r="Q46" s="112"/>
    </row>
    <row r="47" spans="1:19">
      <c r="A47" s="108" t="s">
        <v>249</v>
      </c>
      <c r="B47" s="47" cm="1">
        <f t="array" ref="B47">SUM(SUMIFS(B$9:B$41,$A$9:$A$41,{"Na h-Eileanan Siar","Dundee City","East Ayrshire","North Ayrshire","North Lanarkshire","Inverclyde","West Dunbartonshire","Glasgow City"}))</f>
        <v>55130</v>
      </c>
      <c r="C47" s="47" cm="1">
        <f t="array" ref="C47">SUM(SUMIFS(C$9:C$41,$A$9:$A$41,{"Na h-Eileanan Siar","Dundee City","East Ayrshire","North Ayrshire","North Lanarkshire","Inverclyde","West Dunbartonshire","Glasgow City"}))</f>
        <v>261895</v>
      </c>
      <c r="D47" s="13">
        <f t="shared" si="13"/>
        <v>21.050420970236164</v>
      </c>
      <c r="E47" s="7"/>
      <c r="F47" s="47" cm="1">
        <f t="array" ref="F47">SUM(SUMIFS(F$9:F$41,$A$9:$A$41,{"Na h-Eileanan Siar","Dundee City","East Ayrshire","North Ayrshire","North Lanarkshire","Inverclyde","West Dunbartonshire","Glasgow City"}))</f>
        <v>56750</v>
      </c>
      <c r="G47" s="47" cm="1">
        <f t="array" ref="G47">SUM(SUMIFS(G$9:G$41,$A$9:$A$41,{"Na h-Eileanan Siar","Dundee City","East Ayrshire","North Ayrshire","North Lanarkshire","Inverclyde","West Dunbartonshire","Glasgow City"}))</f>
        <v>259365</v>
      </c>
      <c r="H47" s="13">
        <f t="shared" si="14"/>
        <v>21.880361652497445</v>
      </c>
      <c r="I47" s="7"/>
      <c r="J47" s="47" cm="1">
        <f t="array" ref="J47">SUM(SUMIFS(J$9:J$41,$A$9:$A$41,{"Na h-Eileanan Siar","Dundee City","East Ayrshire","North Ayrshire","North Lanarkshire","Inverclyde","West Dunbartonshire","Glasgow City"}))</f>
        <v>56790</v>
      </c>
      <c r="K47" s="47" cm="1">
        <f t="array" ref="K47">SUM(SUMIFS(K$9:K$41,$A$9:$A$41,{"Na h-Eileanan Siar","Dundee City","East Ayrshire","North Ayrshire","North Lanarkshire","Inverclyde","West Dunbartonshire","Glasgow City"}))</f>
        <v>259365</v>
      </c>
      <c r="L47" s="13">
        <f t="shared" si="15"/>
        <v>21.895783933838413</v>
      </c>
      <c r="M47" s="7"/>
      <c r="N47" s="47" cm="1">
        <f t="array" ref="N47">SUM(SUMIFS(N$9:N$41,$A$9:$A$41,{"Na h-Eileanan Siar","Dundee City","East Ayrshire","North Ayrshire","North Lanarkshire","Inverclyde","West Dunbartonshire","Glasgow City"}))</f>
        <v>55540</v>
      </c>
      <c r="O47" s="47" cm="1">
        <f t="array" ref="O47">SUM(SUMIFS(O$9:O$41,$A$9:$A$41,{"Na h-Eileanan Siar","Dundee City","East Ayrshire","North Ayrshire","North Lanarkshire","Inverclyde","West Dunbartonshire","Glasgow City"}))</f>
        <v>259365</v>
      </c>
      <c r="P47" s="13">
        <f t="shared" si="16"/>
        <v>21.413837641933185</v>
      </c>
      <c r="Q47" s="112"/>
    </row>
    <row r="48" spans="1:19" customFormat="1">
      <c r="A48" s="10" t="s">
        <v>156</v>
      </c>
      <c r="B48" s="15" cm="1">
        <f t="array" ref="B48">SUM(SUMIFS(B$9:B$41,$A$9:$A$41,{"Aberdeen City","Aberdeenshire"}))</f>
        <v>19260</v>
      </c>
      <c r="C48" s="15" cm="1">
        <f t="array" ref="C48">SUM(SUMIFS(C$9:C$41,$A$9:$A$41,{"Aberdeen City","Aberdeenshire"}))</f>
        <v>84463</v>
      </c>
      <c r="D48" s="14">
        <f t="shared" si="13"/>
        <v>22.802884103098396</v>
      </c>
      <c r="E48" s="15"/>
      <c r="F48" s="15" cm="1">
        <f t="array" ref="F48">SUM(SUMIFS(F$9:F$41,$A$9:$A$41,{"Aberdeen City","Aberdeenshire"}))</f>
        <v>20070</v>
      </c>
      <c r="G48" s="15" cm="1">
        <f t="array" ref="G48">SUM(SUMIFS(G$9:G$41,$A$9:$A$41,{"Aberdeen City","Aberdeenshire"}))</f>
        <v>84438</v>
      </c>
      <c r="H48" s="14">
        <f t="shared" ref="H48:H52" si="17">SUM(F48/G48)*100</f>
        <v>23.768919206992113</v>
      </c>
      <c r="I48" s="15"/>
      <c r="J48" s="15" cm="1">
        <f t="array" ref="J48">SUM(SUMIFS(J$9:J$41,$A$9:$A$41,{"Aberdeen City","Aberdeenshire"}))</f>
        <v>20980.000000000004</v>
      </c>
      <c r="K48" s="15" cm="1">
        <f t="array" ref="K48">SUM(SUMIFS(K$9:K$41,$A$9:$A$41,{"Aberdeen City","Aberdeenshire"}))</f>
        <v>84438</v>
      </c>
      <c r="L48" s="14">
        <f t="shared" ref="L48:L52" si="18">SUM(J48/K48)*100</f>
        <v>24.846633032520906</v>
      </c>
      <c r="M48" s="15"/>
      <c r="N48" s="15" cm="1">
        <f t="array" ref="N48">SUM(SUMIFS(N$9:N$41,$A$9:$A$41,{"Aberdeen City","Aberdeenshire"}))</f>
        <v>20960</v>
      </c>
      <c r="O48" s="15" cm="1">
        <f t="array" ref="O48">SUM(SUMIFS(O$9:O$41,$A$9:$A$41,{"Aberdeen City","Aberdeenshire"}))</f>
        <v>84438</v>
      </c>
      <c r="P48" s="14">
        <f t="shared" ref="P48:P52" si="19">SUM(N48/O48)*100</f>
        <v>24.822947014377412</v>
      </c>
      <c r="Q48" s="15"/>
    </row>
    <row r="49" spans="1:17" customFormat="1">
      <c r="A49" s="10" t="s">
        <v>359</v>
      </c>
      <c r="B49" s="47" cm="1">
        <f t="array" ref="B49">SUM(SUMIFS(B$9:B$41,$A$9:$A$41,{"Falkirk","Stirling","Clackmannanshire"}))</f>
        <v>11950</v>
      </c>
      <c r="C49" s="47" cm="1">
        <f t="array" ref="C49">SUM(SUMIFS(C$9:C$41,$A$9:$A$41,{"Falkirk","Stirling","Clackmannanshire"}))</f>
        <v>51936</v>
      </c>
      <c r="D49" s="13">
        <f t="shared" si="13"/>
        <v>23.009088108441158</v>
      </c>
      <c r="E49" s="7"/>
      <c r="F49" s="47" cm="1">
        <f t="array" ref="F49">SUM(SUMIFS(F$9:F$41,$A$9:$A$41,{"Falkirk","Stirling","Clackmannanshire"}))</f>
        <v>12030</v>
      </c>
      <c r="G49" s="47" cm="1">
        <f t="array" ref="G49">SUM(SUMIFS(G$9:G$41,$A$9:$A$41,{"Falkirk","Stirling","Clackmannanshire"}))</f>
        <v>51389</v>
      </c>
      <c r="H49" s="13">
        <f t="shared" ref="H49" si="20">SUM(F49/G49)*100</f>
        <v>23.409679114207322</v>
      </c>
      <c r="I49" s="7"/>
      <c r="J49" s="47" cm="1">
        <f t="array" ref="J49">SUM(SUMIFS(J$9:J$41,$A$9:$A$41,{"Falkirk","Stirling","Clackmannanshire"}))</f>
        <v>11650</v>
      </c>
      <c r="K49" s="47" cm="1">
        <f t="array" ref="K49">SUM(SUMIFS(K$9:K$41,$A$9:$A$41,{"Falkirk","Stirling","Clackmannanshire"}))</f>
        <v>51389</v>
      </c>
      <c r="L49" s="13">
        <f t="shared" ref="L49" si="21">SUM(J49/K49)*100</f>
        <v>22.670221253575669</v>
      </c>
      <c r="M49" s="7"/>
      <c r="N49" s="47" cm="1">
        <f t="array" ref="N49">SUM(SUMIFS(N$9:N$41,$A$9:$A$41,{"Falkirk","Stirling","Clackmannanshire"}))</f>
        <v>11580.000000000002</v>
      </c>
      <c r="O49" s="47" cm="1">
        <f t="array" ref="O49">SUM(SUMIFS(O$9:O$41,$A$9:$A$41,{"Falkirk","Stirling","Clackmannanshire"}))</f>
        <v>51389</v>
      </c>
      <c r="P49" s="13">
        <f t="shared" ref="P49" si="22">SUM(N49/O49)*100</f>
        <v>22.534005331880365</v>
      </c>
      <c r="Q49" s="7"/>
    </row>
    <row r="50" spans="1:17" customFormat="1">
      <c r="A50" s="10" t="s">
        <v>157</v>
      </c>
      <c r="B50" s="47" cm="1">
        <f t="array" ref="B50">SUM(SUMIFS(B$9:B$41,$A$9:$A$41,{"East Lothian","Edinburgh, City of","Fife","Midlothian","Scottish Borders","West Lothian"}))</f>
        <v>60570</v>
      </c>
      <c r="C50" s="47" cm="1">
        <f t="array" ref="C50">SUM(SUMIFS(C$9:C$41,$A$9:$A$41,{"East Lothian","Edinburgh, City of","Fife","Midlothian","Scottish Borders","West Lothian"}))</f>
        <v>235158</v>
      </c>
      <c r="D50" s="14">
        <f t="shared" si="13"/>
        <v>25.757150511570941</v>
      </c>
      <c r="E50" s="15"/>
      <c r="F50" s="47" cm="1">
        <f t="array" ref="F50">SUM(SUMIFS(F$9:F$41,$A$9:$A$41,{"East Lothian","Edinburgh, City of","Fife","Midlothian","Scottish Borders","West Lothian"}))</f>
        <v>62420</v>
      </c>
      <c r="G50" s="47" cm="1">
        <f t="array" ref="G50">SUM(SUMIFS(G$9:G$41,$A$9:$A$41,{"East Lothian","Edinburgh, City of","Fife","Midlothian","Scottish Borders","West Lothian"}))</f>
        <v>234465</v>
      </c>
      <c r="H50" s="14">
        <f t="shared" si="17"/>
        <v>26.622310366152728</v>
      </c>
      <c r="I50" s="15"/>
      <c r="J50" s="47" cm="1">
        <f t="array" ref="J50">SUM(SUMIFS(J$9:J$41,$A$9:$A$41,{"East Lothian","Edinburgh, City of","Fife","Midlothian","Scottish Borders","West Lothian"}))</f>
        <v>61530</v>
      </c>
      <c r="K50" s="47" cm="1">
        <f t="array" ref="K50">SUM(SUMIFS(K$9:K$41,$A$9:$A$41,{"East Lothian","Edinburgh, City of","Fife","Midlothian","Scottish Borders","West Lothian"}))</f>
        <v>234465</v>
      </c>
      <c r="L50" s="14">
        <f t="shared" si="18"/>
        <v>26.242722794446934</v>
      </c>
      <c r="M50" s="15"/>
      <c r="N50" s="47" cm="1">
        <f t="array" ref="N50">SUM(SUMIFS(N$9:N$41,$A$9:$A$41,{"East Lothian","Edinburgh, City of","Fife","Midlothian","Scottish Borders","West Lothian"}))</f>
        <v>60870</v>
      </c>
      <c r="O50" s="47" cm="1">
        <f t="array" ref="O50">SUM(SUMIFS(O$9:O$41,$A$9:$A$41,{"East Lothian","Edinburgh, City of","Fife","Midlothian","Scottish Borders","West Lothian"}))</f>
        <v>234465</v>
      </c>
      <c r="P50" s="14">
        <f t="shared" si="19"/>
        <v>25.961230887339259</v>
      </c>
      <c r="Q50" s="15"/>
    </row>
    <row r="51" spans="1:17" customFormat="1">
      <c r="A51" s="10" t="s">
        <v>158</v>
      </c>
      <c r="B51" s="47" cm="1">
        <f t="array" ref="B51">SUM(SUMIFS(B$9:B$41,$A$9:$A$41,{"Angus","Dundee City","Fife","Perth and Kinross"}))</f>
        <v>29280</v>
      </c>
      <c r="C51" s="47" cm="1">
        <f t="array" ref="C51">SUM(SUMIFS(C$9:C$41,$A$9:$A$41,{"Angus","Dundee City","Fife","Perth and Kinross"}))</f>
        <v>131262</v>
      </c>
      <c r="D51" s="14">
        <f t="shared" si="13"/>
        <v>22.306531974219503</v>
      </c>
      <c r="E51" s="15"/>
      <c r="F51" s="47" cm="1">
        <f t="array" ref="F51">SUM(SUMIFS(F$9:F$41,$A$9:$A$41,{"Angus","Dundee City","Fife","Perth and Kinross"}))</f>
        <v>31250</v>
      </c>
      <c r="G51" s="47" cm="1">
        <f t="array" ref="G51">SUM(SUMIFS(G$9:G$41,$A$9:$A$41,{"Angus","Dundee City","Fife","Perth and Kinross"}))</f>
        <v>130241</v>
      </c>
      <c r="H51" s="14">
        <f t="shared" si="17"/>
        <v>23.993980390199706</v>
      </c>
      <c r="I51" s="15"/>
      <c r="J51" s="47" cm="1">
        <f t="array" ref="J51">SUM(SUMIFS(J$9:J$41,$A$9:$A$41,{"Angus","Dundee City","Fife","Perth and Kinross"}))</f>
        <v>31170</v>
      </c>
      <c r="K51" s="47" cm="1">
        <f t="array" ref="K51">SUM(SUMIFS(K$9:K$41,$A$9:$A$41,{"Angus","Dundee City","Fife","Perth and Kinross"}))</f>
        <v>130241</v>
      </c>
      <c r="L51" s="14">
        <f t="shared" si="18"/>
        <v>23.932555800400795</v>
      </c>
      <c r="M51" s="15"/>
      <c r="N51" s="47" cm="1">
        <f t="array" ref="N51">SUM(SUMIFS(N$9:N$41,$A$9:$A$41,{"Angus","Dundee City","Fife","Perth and Kinross"}))</f>
        <v>31310</v>
      </c>
      <c r="O51" s="47" cm="1">
        <f t="array" ref="O51">SUM(SUMIFS(O$9:O$41,$A$9:$A$41,{"Angus","Dundee City","Fife","Perth and Kinross"}))</f>
        <v>130241</v>
      </c>
      <c r="P51" s="14">
        <f t="shared" si="19"/>
        <v>24.040048832548891</v>
      </c>
      <c r="Q51" s="15"/>
    </row>
    <row r="52" spans="1:17">
      <c r="A52" s="108" t="s">
        <v>48</v>
      </c>
      <c r="B52" s="47" cm="1">
        <f t="array" ref="B52">SUM(SUMIFS(B$9:B$41,$A$9:$A$41,{"East Dunbartonshire","East Renfrewshire","Glasgow City","Inverclyde","North Lanarkshire","Renfrewshire","South Lanarkshire","West Dunbartonshire"}))</f>
        <v>70350</v>
      </c>
      <c r="C52" s="47" cm="1">
        <f t="array" ref="C52">SUM(SUMIFS(C$9:C$41,$A$9:$A$41,{"East Dunbartonshire","East Renfrewshire","Glasgow City","Inverclyde","North Lanarkshire","Renfrewshire","South Lanarkshire","West Dunbartonshire"}))</f>
        <v>315531</v>
      </c>
      <c r="D52" s="14">
        <f t="shared" si="13"/>
        <v>22.295749070614299</v>
      </c>
      <c r="E52" s="112"/>
      <c r="F52" s="47" cm="1">
        <f t="array" ref="F52">SUM(SUMIFS(F$9:F$41,$A$9:$A$41,{"East Dunbartonshire","East Renfrewshire","Glasgow City","Inverclyde","North Lanarkshire","Renfrewshire","South Lanarkshire","West Dunbartonshire"}))</f>
        <v>74080</v>
      </c>
      <c r="G52" s="47" cm="1">
        <f t="array" ref="G52">SUM(SUMIFS(G$9:G$41,$A$9:$A$41,{"East Dunbartonshire","East Renfrewshire","Glasgow City","Inverclyde","North Lanarkshire","Renfrewshire","South Lanarkshire","West Dunbartonshire"}))</f>
        <v>313631</v>
      </c>
      <c r="H52" s="14">
        <f t="shared" si="17"/>
        <v>23.620114083110408</v>
      </c>
      <c r="I52" s="112"/>
      <c r="J52" s="47" cm="1">
        <f t="array" ref="J52">SUM(SUMIFS(J$9:J$41,$A$9:$A$41,{"East Dunbartonshire","East Renfrewshire","Glasgow City","Inverclyde","North Lanarkshire","Renfrewshire","South Lanarkshire","West Dunbartonshire"}))</f>
        <v>75780</v>
      </c>
      <c r="K52" s="47" cm="1">
        <f t="array" ref="K52">SUM(SUMIFS(K$9:K$41,$A$9:$A$41,{"East Dunbartonshire","East Renfrewshire","Glasgow City","Inverclyde","North Lanarkshire","Renfrewshire","South Lanarkshire","West Dunbartonshire"}))</f>
        <v>313631</v>
      </c>
      <c r="L52" s="14">
        <f t="shared" si="18"/>
        <v>24.162152338257378</v>
      </c>
      <c r="M52" s="112"/>
      <c r="N52" s="47" cm="1">
        <f t="array" ref="N52">SUM(SUMIFS(N$9:N$41,$A$9:$A$41,{"East Dunbartonshire","East Renfrewshire","Glasgow City","Inverclyde","North Lanarkshire","Renfrewshire","South Lanarkshire","West Dunbartonshire"}))</f>
        <v>75580</v>
      </c>
      <c r="O52" s="47" cm="1">
        <f t="array" ref="O52">SUM(SUMIFS(O$9:O$41,$A$9:$A$41,{"East Dunbartonshire","East Renfrewshire","Glasgow City","Inverclyde","North Lanarkshire","Renfrewshire","South Lanarkshire","West Dunbartonshire"}))</f>
        <v>313631</v>
      </c>
      <c r="P52" s="14">
        <f t="shared" si="19"/>
        <v>24.098383131769499</v>
      </c>
      <c r="Q52" s="112"/>
    </row>
    <row r="53" spans="1:17">
      <c r="B53" s="113"/>
    </row>
    <row r="56" spans="1:17" ht="75">
      <c r="B56" s="432" t="s">
        <v>410</v>
      </c>
      <c r="C56" s="432" t="s">
        <v>7</v>
      </c>
      <c r="D56" s="432" t="s">
        <v>490</v>
      </c>
      <c r="E56" s="432" t="s">
        <v>491</v>
      </c>
      <c r="F56" s="432" t="s">
        <v>492</v>
      </c>
      <c r="G56" s="433" t="s">
        <v>493</v>
      </c>
      <c r="H56" s="433" t="s">
        <v>494</v>
      </c>
      <c r="I56" s="433" t="s">
        <v>495</v>
      </c>
    </row>
    <row r="57" spans="1:17">
      <c r="A57" s="21" t="str">
        <f>C57&amp;B57</f>
        <v>Aberdeen City2021</v>
      </c>
      <c r="B57" s="440">
        <v>2021</v>
      </c>
      <c r="C57" s="434" t="s">
        <v>15</v>
      </c>
      <c r="D57" s="435">
        <v>35860</v>
      </c>
      <c r="E57" s="435">
        <v>7510</v>
      </c>
      <c r="F57" s="435">
        <v>810</v>
      </c>
      <c r="G57" s="436">
        <v>2.2587841606246517</v>
      </c>
      <c r="H57" s="436">
        <v>20.942554378137203</v>
      </c>
      <c r="I57" s="436">
        <f>G57+H57</f>
        <v>23.201338538761853</v>
      </c>
    </row>
    <row r="58" spans="1:17">
      <c r="A58" s="21" t="str">
        <f t="shared" ref="A58:A121" si="23">C58&amp;B58</f>
        <v>Aberdeenshire2021</v>
      </c>
      <c r="B58" s="441">
        <f>B57</f>
        <v>2021</v>
      </c>
      <c r="C58" s="434" t="s">
        <v>16</v>
      </c>
      <c r="D58" s="435">
        <v>48578</v>
      </c>
      <c r="E58" s="435">
        <v>9850</v>
      </c>
      <c r="F58" s="435">
        <v>1900</v>
      </c>
      <c r="G58" s="436">
        <v>3.9112355387212321</v>
      </c>
      <c r="H58" s="436">
        <v>20.27666845073902</v>
      </c>
      <c r="I58" s="436">
        <f t="shared" ref="I58:I90" si="24">G58+H58</f>
        <v>24.187903989460253</v>
      </c>
    </row>
    <row r="59" spans="1:17">
      <c r="A59" s="21" t="str">
        <f t="shared" si="23"/>
        <v>Angus2021</v>
      </c>
      <c r="B59" s="441">
        <f t="shared" ref="B59:B90" si="25">B58</f>
        <v>2021</v>
      </c>
      <c r="C59" s="434" t="s">
        <v>17</v>
      </c>
      <c r="D59" s="435">
        <v>18639</v>
      </c>
      <c r="E59" s="435">
        <v>3730</v>
      </c>
      <c r="F59" s="435">
        <v>670</v>
      </c>
      <c r="G59" s="436">
        <v>3.5946134449273033</v>
      </c>
      <c r="H59" s="436">
        <v>20.011803208326626</v>
      </c>
      <c r="I59" s="436">
        <f t="shared" si="24"/>
        <v>23.60641665325393</v>
      </c>
    </row>
    <row r="60" spans="1:17">
      <c r="A60" s="21" t="str">
        <f t="shared" si="23"/>
        <v>Argyll AND Bute2021</v>
      </c>
      <c r="B60" s="441">
        <f t="shared" si="25"/>
        <v>2021</v>
      </c>
      <c r="C60" s="434" t="s">
        <v>497</v>
      </c>
      <c r="D60" s="435">
        <v>12441</v>
      </c>
      <c r="E60" s="435">
        <v>2310</v>
      </c>
      <c r="F60" s="435">
        <v>440</v>
      </c>
      <c r="G60" s="436">
        <v>3.5366931918656057</v>
      </c>
      <c r="H60" s="436">
        <v>18.567639257294431</v>
      </c>
      <c r="I60" s="436">
        <f t="shared" si="24"/>
        <v>22.104332449160037</v>
      </c>
    </row>
    <row r="61" spans="1:17">
      <c r="A61" s="21" t="str">
        <f t="shared" si="23"/>
        <v>Edinburgh, City of2021</v>
      </c>
      <c r="B61" s="441">
        <f t="shared" si="25"/>
        <v>2021</v>
      </c>
      <c r="C61" s="434" t="s">
        <v>126</v>
      </c>
      <c r="D61" s="435">
        <v>78826</v>
      </c>
      <c r="E61" s="435">
        <v>23910</v>
      </c>
      <c r="F61" s="435">
        <v>1640</v>
      </c>
      <c r="G61" s="436">
        <v>2.0805318042270313</v>
      </c>
      <c r="H61" s="436">
        <v>30.332631365285568</v>
      </c>
      <c r="I61" s="436">
        <f t="shared" si="24"/>
        <v>32.4131631695126</v>
      </c>
    </row>
    <row r="62" spans="1:17">
      <c r="A62" s="21" t="str">
        <f t="shared" si="23"/>
        <v>Clackmannanshire2021</v>
      </c>
      <c r="B62" s="441">
        <f t="shared" si="25"/>
        <v>2021</v>
      </c>
      <c r="C62" s="434" t="s">
        <v>19</v>
      </c>
      <c r="D62" s="435">
        <v>8877</v>
      </c>
      <c r="E62" s="435">
        <v>1690</v>
      </c>
      <c r="F62" s="435">
        <v>260</v>
      </c>
      <c r="G62" s="436">
        <v>2.9289174270586913</v>
      </c>
      <c r="H62" s="436">
        <v>19.037963275881491</v>
      </c>
      <c r="I62" s="436">
        <f t="shared" si="24"/>
        <v>21.966880702940184</v>
      </c>
    </row>
    <row r="63" spans="1:17">
      <c r="A63" s="21" t="str">
        <f t="shared" si="23"/>
        <v>Dumfries AND Galloway2021</v>
      </c>
      <c r="B63" s="441">
        <f t="shared" si="25"/>
        <v>2021</v>
      </c>
      <c r="C63" s="434" t="s">
        <v>498</v>
      </c>
      <c r="D63" s="435">
        <v>22882</v>
      </c>
      <c r="E63" s="435">
        <v>3680</v>
      </c>
      <c r="F63" s="435">
        <v>770</v>
      </c>
      <c r="G63" s="436">
        <v>3.3650904641202692</v>
      </c>
      <c r="H63" s="436">
        <v>16.082510270081286</v>
      </c>
      <c r="I63" s="436">
        <f t="shared" si="24"/>
        <v>19.447600734201554</v>
      </c>
    </row>
    <row r="64" spans="1:17">
      <c r="A64" s="21" t="str">
        <f t="shared" si="23"/>
        <v>Dundee City2021</v>
      </c>
      <c r="B64" s="441">
        <f t="shared" si="25"/>
        <v>2021</v>
      </c>
      <c r="C64" s="434" t="s">
        <v>21</v>
      </c>
      <c r="D64" s="435">
        <v>23704</v>
      </c>
      <c r="E64" s="435">
        <v>5350</v>
      </c>
      <c r="F64" s="435">
        <v>520</v>
      </c>
      <c r="G64" s="436">
        <v>2.1937225784677694</v>
      </c>
      <c r="H64" s="436">
        <v>22.570030374620316</v>
      </c>
      <c r="I64" s="436">
        <f t="shared" si="24"/>
        <v>24.763752953088087</v>
      </c>
    </row>
    <row r="65" spans="1:9">
      <c r="A65" s="21" t="str">
        <f t="shared" si="23"/>
        <v>East Ayrshire2021</v>
      </c>
      <c r="B65" s="441">
        <f t="shared" si="25"/>
        <v>2021</v>
      </c>
      <c r="C65" s="434" t="s">
        <v>22</v>
      </c>
      <c r="D65" s="435">
        <v>20792</v>
      </c>
      <c r="E65" s="435">
        <v>4800</v>
      </c>
      <c r="F65" s="435">
        <v>870</v>
      </c>
      <c r="G65" s="436">
        <v>4.1843016544824936</v>
      </c>
      <c r="H65" s="436">
        <v>23.08580223162755</v>
      </c>
      <c r="I65" s="436">
        <f t="shared" si="24"/>
        <v>27.270103886110043</v>
      </c>
    </row>
    <row r="66" spans="1:9">
      <c r="A66" s="21" t="str">
        <f t="shared" si="23"/>
        <v>East Dunbartonshire2021</v>
      </c>
      <c r="B66" s="441">
        <f t="shared" si="25"/>
        <v>2021</v>
      </c>
      <c r="C66" s="434" t="s">
        <v>23</v>
      </c>
      <c r="D66" s="435">
        <v>19528</v>
      </c>
      <c r="E66" s="435">
        <v>5960</v>
      </c>
      <c r="F66" s="435">
        <v>570</v>
      </c>
      <c r="G66" s="436">
        <v>2.9188857025809094</v>
      </c>
      <c r="H66" s="436">
        <v>30.520278574354769</v>
      </c>
      <c r="I66" s="436">
        <f t="shared" si="24"/>
        <v>33.439164276935678</v>
      </c>
    </row>
    <row r="67" spans="1:9">
      <c r="A67" s="21" t="str">
        <f t="shared" si="23"/>
        <v>East Lothian2021</v>
      </c>
      <c r="B67" s="441">
        <f t="shared" si="25"/>
        <v>2021</v>
      </c>
      <c r="C67" s="434" t="s">
        <v>24</v>
      </c>
      <c r="D67" s="435">
        <v>19822</v>
      </c>
      <c r="E67" s="435">
        <v>4720</v>
      </c>
      <c r="F67" s="435">
        <v>640</v>
      </c>
      <c r="G67" s="436">
        <v>3.2287357481586114</v>
      </c>
      <c r="H67" s="436">
        <v>23.811926142669762</v>
      </c>
      <c r="I67" s="436">
        <f t="shared" si="24"/>
        <v>27.040661890828375</v>
      </c>
    </row>
    <row r="68" spans="1:9">
      <c r="A68" s="21" t="str">
        <f t="shared" si="23"/>
        <v>East Renfrewshire2021</v>
      </c>
      <c r="B68" s="441">
        <f t="shared" si="25"/>
        <v>2021</v>
      </c>
      <c r="C68" s="434" t="s">
        <v>25</v>
      </c>
      <c r="D68" s="435">
        <v>19701</v>
      </c>
      <c r="E68" s="435">
        <v>5130</v>
      </c>
      <c r="F68" s="435">
        <v>650</v>
      </c>
      <c r="G68" s="436">
        <v>3.2993249073651079</v>
      </c>
      <c r="H68" s="436">
        <v>26.039287345820011</v>
      </c>
      <c r="I68" s="436">
        <f t="shared" si="24"/>
        <v>29.338612253185119</v>
      </c>
    </row>
    <row r="69" spans="1:9">
      <c r="A69" s="21" t="str">
        <f t="shared" si="23"/>
        <v>Falkirk2021</v>
      </c>
      <c r="B69" s="441">
        <f t="shared" si="25"/>
        <v>2021</v>
      </c>
      <c r="C69" s="434" t="s">
        <v>26</v>
      </c>
      <c r="D69" s="435">
        <v>27564</v>
      </c>
      <c r="E69" s="435">
        <v>5040</v>
      </c>
      <c r="F69" s="435">
        <v>1180</v>
      </c>
      <c r="G69" s="436">
        <v>4.280946161660137</v>
      </c>
      <c r="H69" s="436">
        <v>18.284719198955159</v>
      </c>
      <c r="I69" s="436">
        <f t="shared" si="24"/>
        <v>22.565665360615295</v>
      </c>
    </row>
    <row r="70" spans="1:9">
      <c r="A70" s="21" t="str">
        <f t="shared" si="23"/>
        <v>Fife2021</v>
      </c>
      <c r="B70" s="441">
        <f t="shared" si="25"/>
        <v>2021</v>
      </c>
      <c r="C70" s="434" t="s">
        <v>27</v>
      </c>
      <c r="D70" s="435">
        <v>63680</v>
      </c>
      <c r="E70" s="435">
        <v>11180</v>
      </c>
      <c r="F70" s="435">
        <v>2210</v>
      </c>
      <c r="G70" s="436">
        <v>3.4704773869346734</v>
      </c>
      <c r="H70" s="436">
        <v>17.556532663316581</v>
      </c>
      <c r="I70" s="436">
        <f t="shared" si="24"/>
        <v>21.027010050251256</v>
      </c>
    </row>
    <row r="71" spans="1:9">
      <c r="A71" s="21" t="str">
        <f t="shared" si="23"/>
        <v>Glasgow City2021</v>
      </c>
      <c r="B71" s="441">
        <f t="shared" si="25"/>
        <v>2021</v>
      </c>
      <c r="C71" s="434" t="s">
        <v>28</v>
      </c>
      <c r="D71" s="435">
        <v>99881</v>
      </c>
      <c r="E71" s="435">
        <v>22570</v>
      </c>
      <c r="F71" s="435">
        <v>650</v>
      </c>
      <c r="G71" s="436">
        <v>0.65077442156165843</v>
      </c>
      <c r="H71" s="436">
        <v>22.596890299456355</v>
      </c>
      <c r="I71" s="436">
        <f t="shared" si="24"/>
        <v>23.247664721018012</v>
      </c>
    </row>
    <row r="72" spans="1:9">
      <c r="A72" s="21" t="str">
        <f t="shared" si="23"/>
        <v>Highland2021</v>
      </c>
      <c r="B72" s="441">
        <f t="shared" si="25"/>
        <v>2021</v>
      </c>
      <c r="C72" s="434" t="s">
        <v>29</v>
      </c>
      <c r="D72" s="435">
        <v>38130</v>
      </c>
      <c r="E72" s="435">
        <v>7430</v>
      </c>
      <c r="F72" s="435">
        <v>1310</v>
      </c>
      <c r="G72" s="436">
        <v>3.4356150013113034</v>
      </c>
      <c r="H72" s="436">
        <v>19.485969053238918</v>
      </c>
      <c r="I72" s="436">
        <f t="shared" si="24"/>
        <v>22.921584054550223</v>
      </c>
    </row>
    <row r="73" spans="1:9">
      <c r="A73" s="21" t="str">
        <f t="shared" si="23"/>
        <v>Inverclyde2021</v>
      </c>
      <c r="B73" s="441">
        <f t="shared" si="25"/>
        <v>2021</v>
      </c>
      <c r="C73" s="434" t="s">
        <v>30</v>
      </c>
      <c r="D73" s="435">
        <v>12197</v>
      </c>
      <c r="E73" s="435">
        <v>1950</v>
      </c>
      <c r="F73" s="435">
        <v>330</v>
      </c>
      <c r="G73" s="436">
        <v>2.7055833401656142</v>
      </c>
      <c r="H73" s="436">
        <v>15.987537919160449</v>
      </c>
      <c r="I73" s="436">
        <f t="shared" si="24"/>
        <v>18.693121259326062</v>
      </c>
    </row>
    <row r="74" spans="1:9">
      <c r="A74" s="21" t="str">
        <f t="shared" si="23"/>
        <v>Midlothian2021</v>
      </c>
      <c r="B74" s="441">
        <f t="shared" si="25"/>
        <v>2021</v>
      </c>
      <c r="C74" s="434" t="s">
        <v>31</v>
      </c>
      <c r="D74" s="435">
        <v>18281</v>
      </c>
      <c r="E74" s="435">
        <v>5240</v>
      </c>
      <c r="F74" s="435">
        <v>420</v>
      </c>
      <c r="G74" s="436">
        <v>2.2974673157923524</v>
      </c>
      <c r="H74" s="436">
        <v>28.663639844647449</v>
      </c>
      <c r="I74" s="436">
        <f t="shared" si="24"/>
        <v>30.961107160439802</v>
      </c>
    </row>
    <row r="75" spans="1:9">
      <c r="A75" s="21" t="str">
        <f t="shared" si="23"/>
        <v>Moray2021</v>
      </c>
      <c r="B75" s="441">
        <f t="shared" si="25"/>
        <v>2021</v>
      </c>
      <c r="C75" s="434" t="s">
        <v>32</v>
      </c>
      <c r="D75" s="435">
        <v>15941</v>
      </c>
      <c r="E75" s="435">
        <v>2630</v>
      </c>
      <c r="F75" s="435">
        <v>580</v>
      </c>
      <c r="G75" s="436">
        <v>3.6384166614390563</v>
      </c>
      <c r="H75" s="436">
        <v>16.49833761997365</v>
      </c>
      <c r="I75" s="436">
        <f t="shared" si="24"/>
        <v>20.136754281412706</v>
      </c>
    </row>
    <row r="76" spans="1:9">
      <c r="A76" s="21" t="str">
        <f t="shared" si="23"/>
        <v>Na h-Eileanan Siar2021</v>
      </c>
      <c r="B76" s="441">
        <f t="shared" si="25"/>
        <v>2021</v>
      </c>
      <c r="C76" s="434" t="s">
        <v>33</v>
      </c>
      <c r="D76" s="435">
        <v>4060</v>
      </c>
      <c r="E76" s="435">
        <v>620</v>
      </c>
      <c r="F76" s="435">
        <v>80</v>
      </c>
      <c r="G76" s="436">
        <v>1.9704433497536946</v>
      </c>
      <c r="H76" s="436">
        <v>15.270935960591133</v>
      </c>
      <c r="I76" s="436">
        <f t="shared" si="24"/>
        <v>17.241379310344829</v>
      </c>
    </row>
    <row r="77" spans="1:9">
      <c r="A77" s="21" t="str">
        <f t="shared" si="23"/>
        <v>North Ayrshire2021</v>
      </c>
      <c r="B77" s="441">
        <f t="shared" si="25"/>
        <v>2021</v>
      </c>
      <c r="C77" s="434" t="s">
        <v>34</v>
      </c>
      <c r="D77" s="435">
        <v>21891</v>
      </c>
      <c r="E77" s="435">
        <v>3270</v>
      </c>
      <c r="F77" s="435">
        <v>940</v>
      </c>
      <c r="G77" s="436">
        <v>4.2940021013201779</v>
      </c>
      <c r="H77" s="436">
        <v>14.93764560778402</v>
      </c>
      <c r="I77" s="436">
        <f t="shared" si="24"/>
        <v>19.231647709104198</v>
      </c>
    </row>
    <row r="78" spans="1:9">
      <c r="A78" s="21" t="str">
        <f t="shared" si="23"/>
        <v>North Lanarkshire2021</v>
      </c>
      <c r="B78" s="441">
        <f t="shared" si="25"/>
        <v>2021</v>
      </c>
      <c r="C78" s="434" t="s">
        <v>35</v>
      </c>
      <c r="D78" s="435">
        <v>61606</v>
      </c>
      <c r="E78" s="435">
        <v>10320</v>
      </c>
      <c r="F78" s="435">
        <v>1540</v>
      </c>
      <c r="G78" s="436">
        <v>2.4997565172223486</v>
      </c>
      <c r="H78" s="436">
        <v>16.751615102425088</v>
      </c>
      <c r="I78" s="436">
        <f t="shared" si="24"/>
        <v>19.251371619647436</v>
      </c>
    </row>
    <row r="79" spans="1:9">
      <c r="A79" s="21" t="str">
        <f t="shared" si="23"/>
        <v>Orkney Islands2021</v>
      </c>
      <c r="B79" s="441">
        <f t="shared" si="25"/>
        <v>2021</v>
      </c>
      <c r="C79" s="434" t="s">
        <v>36</v>
      </c>
      <c r="D79" s="435">
        <v>3553</v>
      </c>
      <c r="E79" s="435">
        <v>470</v>
      </c>
      <c r="F79" s="435">
        <v>170</v>
      </c>
      <c r="G79" s="436">
        <v>4.7846889952153111</v>
      </c>
      <c r="H79" s="436">
        <v>13.228257810301153</v>
      </c>
      <c r="I79" s="436">
        <f t="shared" si="24"/>
        <v>18.012946805516464</v>
      </c>
    </row>
    <row r="80" spans="1:9">
      <c r="A80" s="21" t="str">
        <f t="shared" si="23"/>
        <v>outside Scotland2021</v>
      </c>
      <c r="B80" s="441">
        <f t="shared" si="25"/>
        <v>2021</v>
      </c>
      <c r="C80" s="434" t="s">
        <v>496</v>
      </c>
      <c r="D80" s="435"/>
      <c r="E80" s="435">
        <v>10</v>
      </c>
      <c r="F80" s="435"/>
      <c r="G80" s="436"/>
      <c r="H80" s="436"/>
      <c r="I80" s="436"/>
    </row>
    <row r="81" spans="1:9">
      <c r="A81" s="21" t="str">
        <f t="shared" si="23"/>
        <v>Perth AND Kinross2021</v>
      </c>
      <c r="B81" s="441">
        <f t="shared" si="25"/>
        <v>2021</v>
      </c>
      <c r="C81" s="434" t="s">
        <v>499</v>
      </c>
      <c r="D81" s="435">
        <v>24218</v>
      </c>
      <c r="E81" s="435">
        <v>6790</v>
      </c>
      <c r="F81" s="435">
        <v>800</v>
      </c>
      <c r="G81" s="436">
        <v>3.3033281030638371</v>
      </c>
      <c r="H81" s="436">
        <v>28.036997274754317</v>
      </c>
      <c r="I81" s="436">
        <f t="shared" si="24"/>
        <v>31.340325377818154</v>
      </c>
    </row>
    <row r="82" spans="1:9">
      <c r="A82" s="21" t="str">
        <f t="shared" si="23"/>
        <v>Renfrewshire2021</v>
      </c>
      <c r="B82" s="441">
        <f t="shared" si="25"/>
        <v>2021</v>
      </c>
      <c r="C82" s="434" t="s">
        <v>38</v>
      </c>
      <c r="D82" s="435">
        <v>29784</v>
      </c>
      <c r="E82" s="435">
        <v>7920</v>
      </c>
      <c r="F82" s="435">
        <v>410</v>
      </c>
      <c r="G82" s="436">
        <v>1.3765780284716627</v>
      </c>
      <c r="H82" s="436">
        <v>26.591458501208702</v>
      </c>
      <c r="I82" s="436">
        <f t="shared" si="24"/>
        <v>27.968036529680365</v>
      </c>
    </row>
    <row r="83" spans="1:9">
      <c r="A83" s="21" t="str">
        <f t="shared" si="23"/>
        <v>Scottish Borders2021</v>
      </c>
      <c r="B83" s="441">
        <f t="shared" si="25"/>
        <v>2021</v>
      </c>
      <c r="C83" s="434" t="s">
        <v>39</v>
      </c>
      <c r="D83" s="435">
        <v>18723</v>
      </c>
      <c r="E83" s="435">
        <v>3690</v>
      </c>
      <c r="F83" s="435">
        <v>610</v>
      </c>
      <c r="G83" s="436">
        <v>3.2580248891737433</v>
      </c>
      <c r="H83" s="436">
        <v>19.708380067296908</v>
      </c>
      <c r="I83" s="436">
        <f t="shared" si="24"/>
        <v>22.966404956470651</v>
      </c>
    </row>
    <row r="84" spans="1:9">
      <c r="A84" s="21" t="str">
        <f t="shared" si="23"/>
        <v>Shetland Islands2021</v>
      </c>
      <c r="B84" s="441">
        <f t="shared" si="25"/>
        <v>2021</v>
      </c>
      <c r="C84" s="434" t="s">
        <v>40</v>
      </c>
      <c r="D84" s="435">
        <v>4104</v>
      </c>
      <c r="E84" s="435">
        <v>960</v>
      </c>
      <c r="F84" s="435">
        <v>50</v>
      </c>
      <c r="G84" s="436">
        <v>1.2183235867446394</v>
      </c>
      <c r="H84" s="436">
        <v>23.391812865497073</v>
      </c>
      <c r="I84" s="436">
        <f t="shared" si="24"/>
        <v>24.610136452241711</v>
      </c>
    </row>
    <row r="85" spans="1:9">
      <c r="A85" s="21" t="str">
        <f t="shared" si="23"/>
        <v>South Ayrshire2021</v>
      </c>
      <c r="B85" s="441">
        <f t="shared" si="25"/>
        <v>2021</v>
      </c>
      <c r="C85" s="434" t="s">
        <v>41</v>
      </c>
      <c r="D85" s="435">
        <v>17244</v>
      </c>
      <c r="E85" s="435">
        <v>3630</v>
      </c>
      <c r="F85" s="435">
        <v>460</v>
      </c>
      <c r="G85" s="436">
        <v>2.6675945256321039</v>
      </c>
      <c r="H85" s="436">
        <v>21.050800278357691</v>
      </c>
      <c r="I85" s="436">
        <f t="shared" si="24"/>
        <v>23.718394803989796</v>
      </c>
    </row>
    <row r="86" spans="1:9">
      <c r="A86" s="21" t="str">
        <f t="shared" si="23"/>
        <v>South Lanarkshire2021</v>
      </c>
      <c r="B86" s="441">
        <f t="shared" si="25"/>
        <v>2021</v>
      </c>
      <c r="C86" s="434" t="s">
        <v>42</v>
      </c>
      <c r="D86" s="435">
        <v>55700</v>
      </c>
      <c r="E86" s="435">
        <v>11780</v>
      </c>
      <c r="F86" s="435">
        <v>1360</v>
      </c>
      <c r="G86" s="436">
        <v>2.4416517055655294</v>
      </c>
      <c r="H86" s="436">
        <v>21.149012567324952</v>
      </c>
      <c r="I86" s="436">
        <f t="shared" si="24"/>
        <v>23.590664272890482</v>
      </c>
    </row>
    <row r="87" spans="1:9">
      <c r="A87" s="21" t="str">
        <f t="shared" si="23"/>
        <v>Stirling2021</v>
      </c>
      <c r="B87" s="441">
        <f t="shared" si="25"/>
        <v>2021</v>
      </c>
      <c r="C87" s="434" t="s">
        <v>43</v>
      </c>
      <c r="D87" s="435">
        <v>14948</v>
      </c>
      <c r="E87" s="435">
        <v>3320</v>
      </c>
      <c r="F87" s="435">
        <v>540</v>
      </c>
      <c r="G87" s="436">
        <v>3.6125234145036127</v>
      </c>
      <c r="H87" s="436">
        <v>22.210329141022211</v>
      </c>
      <c r="I87" s="436">
        <f t="shared" si="24"/>
        <v>25.822852555525824</v>
      </c>
    </row>
    <row r="88" spans="1:9">
      <c r="A88" s="21" t="str">
        <f t="shared" si="23"/>
        <v>West Dunbartonshire2021</v>
      </c>
      <c r="B88" s="441">
        <f t="shared" si="25"/>
        <v>2021</v>
      </c>
      <c r="C88" s="434" t="s">
        <v>44</v>
      </c>
      <c r="D88" s="435">
        <v>15234</v>
      </c>
      <c r="E88" s="435">
        <v>2760</v>
      </c>
      <c r="F88" s="435">
        <v>180</v>
      </c>
      <c r="G88" s="436">
        <v>1.1815675462780622</v>
      </c>
      <c r="H88" s="436">
        <v>18.117369042930285</v>
      </c>
      <c r="I88" s="436">
        <f t="shared" si="24"/>
        <v>19.298936589208346</v>
      </c>
    </row>
    <row r="89" spans="1:9">
      <c r="A89" s="21" t="str">
        <f t="shared" si="23"/>
        <v>West Lothian2021</v>
      </c>
      <c r="B89" s="441">
        <f t="shared" si="25"/>
        <v>2021</v>
      </c>
      <c r="C89" s="434" t="s">
        <v>45</v>
      </c>
      <c r="D89" s="435">
        <v>35133</v>
      </c>
      <c r="E89" s="435">
        <v>6880</v>
      </c>
      <c r="F89" s="435">
        <v>1280</v>
      </c>
      <c r="G89" s="436">
        <v>3.6432983235135059</v>
      </c>
      <c r="H89" s="436">
        <v>19.582728488885092</v>
      </c>
      <c r="I89" s="436">
        <f t="shared" si="24"/>
        <v>23.226026812398597</v>
      </c>
    </row>
    <row r="90" spans="1:9">
      <c r="A90" s="21" t="str">
        <f t="shared" si="23"/>
        <v>Scotland2021</v>
      </c>
      <c r="B90" s="441">
        <f t="shared" si="25"/>
        <v>2021</v>
      </c>
      <c r="C90" s="437" t="s">
        <v>46</v>
      </c>
      <c r="D90" s="438">
        <v>911522</v>
      </c>
      <c r="E90" s="438">
        <v>197100</v>
      </c>
      <c r="F90" s="438">
        <v>24840</v>
      </c>
      <c r="G90" s="439">
        <v>2.7251125041414253</v>
      </c>
      <c r="H90" s="439">
        <v>21.623175304600437</v>
      </c>
      <c r="I90" s="439">
        <f t="shared" si="24"/>
        <v>24.348287808741862</v>
      </c>
    </row>
    <row r="91" spans="1:9">
      <c r="A91" s="21" t="str">
        <f t="shared" si="23"/>
        <v>Aberdeen City2022</v>
      </c>
      <c r="B91" s="440">
        <v>2022</v>
      </c>
      <c r="C91" s="434" t="s">
        <v>15</v>
      </c>
      <c r="D91" s="435">
        <v>35860</v>
      </c>
      <c r="E91" s="435">
        <v>8320</v>
      </c>
      <c r="F91" s="435">
        <v>800</v>
      </c>
      <c r="G91" s="436">
        <v>2.2308979364194088</v>
      </c>
      <c r="H91" s="436">
        <v>23.201338538761853</v>
      </c>
      <c r="I91" s="436">
        <f>G91+H91</f>
        <v>25.432236475181263</v>
      </c>
    </row>
    <row r="92" spans="1:9">
      <c r="A92" s="21" t="str">
        <f t="shared" si="23"/>
        <v>Aberdeenshire2022</v>
      </c>
      <c r="B92" s="441">
        <v>2022</v>
      </c>
      <c r="C92" s="434" t="s">
        <v>16</v>
      </c>
      <c r="D92" s="435">
        <v>48578</v>
      </c>
      <c r="E92" s="435">
        <v>9950</v>
      </c>
      <c r="F92" s="435">
        <v>1910</v>
      </c>
      <c r="G92" s="436">
        <v>3.9318209889250277</v>
      </c>
      <c r="H92" s="436">
        <v>20.482522952776979</v>
      </c>
      <c r="I92" s="436">
        <f t="shared" ref="I92:I124" si="26">G92+H92</f>
        <v>24.414343941702008</v>
      </c>
    </row>
    <row r="93" spans="1:9">
      <c r="A93" s="21" t="str">
        <f t="shared" si="23"/>
        <v>Angus2022</v>
      </c>
      <c r="B93" s="441">
        <v>2022</v>
      </c>
      <c r="C93" s="434" t="s">
        <v>17</v>
      </c>
      <c r="D93" s="435">
        <v>18639</v>
      </c>
      <c r="E93" s="435">
        <v>3560</v>
      </c>
      <c r="F93" s="435">
        <v>630</v>
      </c>
      <c r="G93" s="436">
        <v>3.380009657170449</v>
      </c>
      <c r="H93" s="436">
        <v>19.09973711036</v>
      </c>
      <c r="I93" s="436">
        <f t="shared" si="26"/>
        <v>22.47974676753045</v>
      </c>
    </row>
    <row r="94" spans="1:9">
      <c r="A94" s="21" t="str">
        <f t="shared" si="23"/>
        <v>Argyll AND Bute2022</v>
      </c>
      <c r="B94" s="441">
        <v>2022</v>
      </c>
      <c r="C94" s="434" t="s">
        <v>497</v>
      </c>
      <c r="D94" s="435">
        <v>12441</v>
      </c>
      <c r="E94" s="435">
        <v>2380</v>
      </c>
      <c r="F94" s="435">
        <v>410</v>
      </c>
      <c r="G94" s="436">
        <v>3.2955550196929506</v>
      </c>
      <c r="H94" s="436">
        <v>19.130294992363957</v>
      </c>
      <c r="I94" s="436">
        <f t="shared" si="26"/>
        <v>22.425850012056909</v>
      </c>
    </row>
    <row r="95" spans="1:9">
      <c r="A95" s="21" t="str">
        <f t="shared" si="23"/>
        <v>Edinburgh, City of2022</v>
      </c>
      <c r="B95" s="441">
        <v>2022</v>
      </c>
      <c r="C95" s="434" t="s">
        <v>126</v>
      </c>
      <c r="D95" s="435">
        <v>78826</v>
      </c>
      <c r="E95" s="435">
        <v>22650</v>
      </c>
      <c r="F95" s="435">
        <v>1490</v>
      </c>
      <c r="G95" s="436">
        <v>1.8902392611574861</v>
      </c>
      <c r="H95" s="436">
        <v>28.734174003501384</v>
      </c>
      <c r="I95" s="436">
        <f t="shared" si="26"/>
        <v>30.62441326465887</v>
      </c>
    </row>
    <row r="96" spans="1:9">
      <c r="A96" s="21" t="str">
        <f t="shared" si="23"/>
        <v>Clackmannanshire2022</v>
      </c>
      <c r="B96" s="441">
        <v>2022</v>
      </c>
      <c r="C96" s="434" t="s">
        <v>19</v>
      </c>
      <c r="D96" s="435">
        <v>8877</v>
      </c>
      <c r="E96" s="435">
        <v>1680</v>
      </c>
      <c r="F96" s="435">
        <v>250</v>
      </c>
      <c r="G96" s="436">
        <v>2.8162667567872028</v>
      </c>
      <c r="H96" s="436">
        <v>18.925312605610003</v>
      </c>
      <c r="I96" s="436">
        <f t="shared" si="26"/>
        <v>21.741579362397207</v>
      </c>
    </row>
    <row r="97" spans="1:9">
      <c r="A97" s="21" t="str">
        <f t="shared" si="23"/>
        <v>Dumfries AND Galloway2022</v>
      </c>
      <c r="B97" s="441">
        <v>2022</v>
      </c>
      <c r="C97" s="434" t="s">
        <v>498</v>
      </c>
      <c r="D97" s="435">
        <v>22882</v>
      </c>
      <c r="E97" s="435">
        <v>3760</v>
      </c>
      <c r="F97" s="435">
        <v>710</v>
      </c>
      <c r="G97" s="436">
        <v>3.1028756227602483</v>
      </c>
      <c r="H97" s="436">
        <v>16.432130058561313</v>
      </c>
      <c r="I97" s="436">
        <f t="shared" si="26"/>
        <v>19.535005681321561</v>
      </c>
    </row>
    <row r="98" spans="1:9">
      <c r="A98" s="21" t="str">
        <f t="shared" si="23"/>
        <v>Dundee City2022</v>
      </c>
      <c r="B98" s="441">
        <v>2022</v>
      </c>
      <c r="C98" s="434" t="s">
        <v>21</v>
      </c>
      <c r="D98" s="435">
        <v>23704</v>
      </c>
      <c r="E98" s="435">
        <v>5580</v>
      </c>
      <c r="F98" s="435">
        <v>490</v>
      </c>
      <c r="G98" s="436">
        <v>2.0671616604792438</v>
      </c>
      <c r="H98" s="436">
        <v>23.540330745865674</v>
      </c>
      <c r="I98" s="436">
        <f t="shared" si="26"/>
        <v>25.607492406344917</v>
      </c>
    </row>
    <row r="99" spans="1:9">
      <c r="A99" s="21" t="str">
        <f t="shared" si="23"/>
        <v>East Ayrshire2022</v>
      </c>
      <c r="B99" s="441">
        <v>2022</v>
      </c>
      <c r="C99" s="434" t="s">
        <v>22</v>
      </c>
      <c r="D99" s="435">
        <v>20792</v>
      </c>
      <c r="E99" s="435">
        <v>4170</v>
      </c>
      <c r="F99" s="435">
        <v>820</v>
      </c>
      <c r="G99" s="436">
        <v>3.9438245479030396</v>
      </c>
      <c r="H99" s="436">
        <v>20.055790688726432</v>
      </c>
      <c r="I99" s="436">
        <f t="shared" si="26"/>
        <v>23.999615236629474</v>
      </c>
    </row>
    <row r="100" spans="1:9">
      <c r="A100" s="21" t="str">
        <f t="shared" si="23"/>
        <v>East Dunbartonshire2022</v>
      </c>
      <c r="B100" s="441">
        <v>2022</v>
      </c>
      <c r="C100" s="434" t="s">
        <v>23</v>
      </c>
      <c r="D100" s="435">
        <v>19528</v>
      </c>
      <c r="E100" s="435">
        <v>6280</v>
      </c>
      <c r="F100" s="435">
        <v>480</v>
      </c>
      <c r="G100" s="436">
        <v>2.4580090126997134</v>
      </c>
      <c r="H100" s="436">
        <v>32.158951249487913</v>
      </c>
      <c r="I100" s="436">
        <f t="shared" si="26"/>
        <v>34.616960262187625</v>
      </c>
    </row>
    <row r="101" spans="1:9">
      <c r="A101" s="21" t="str">
        <f t="shared" si="23"/>
        <v>East Lothian2022</v>
      </c>
      <c r="B101" s="441">
        <v>2022</v>
      </c>
      <c r="C101" s="434" t="s">
        <v>24</v>
      </c>
      <c r="D101" s="435">
        <v>19822</v>
      </c>
      <c r="E101" s="435">
        <v>4990</v>
      </c>
      <c r="F101" s="435">
        <v>610</v>
      </c>
      <c r="G101" s="436">
        <v>3.0773887599636769</v>
      </c>
      <c r="H101" s="436">
        <v>25.174049036424172</v>
      </c>
      <c r="I101" s="436">
        <f t="shared" si="26"/>
        <v>28.251437796387847</v>
      </c>
    </row>
    <row r="102" spans="1:9">
      <c r="A102" s="21" t="str">
        <f t="shared" si="23"/>
        <v>East Renfrewshire2022</v>
      </c>
      <c r="B102" s="441">
        <v>2022</v>
      </c>
      <c r="C102" s="434" t="s">
        <v>25</v>
      </c>
      <c r="D102" s="435">
        <v>19701</v>
      </c>
      <c r="E102" s="435">
        <v>5470</v>
      </c>
      <c r="F102" s="435">
        <v>600</v>
      </c>
      <c r="G102" s="436">
        <v>3.0455306837216383</v>
      </c>
      <c r="H102" s="436">
        <v>27.765088066595606</v>
      </c>
      <c r="I102" s="436">
        <f t="shared" si="26"/>
        <v>30.810618750317243</v>
      </c>
    </row>
    <row r="103" spans="1:9">
      <c r="A103" s="21" t="str">
        <f t="shared" si="23"/>
        <v>Falkirk2022</v>
      </c>
      <c r="B103" s="441">
        <v>2022</v>
      </c>
      <c r="C103" s="434" t="s">
        <v>26</v>
      </c>
      <c r="D103" s="435">
        <v>27564</v>
      </c>
      <c r="E103" s="435">
        <v>4660</v>
      </c>
      <c r="F103" s="435">
        <v>1140</v>
      </c>
      <c r="G103" s="436">
        <v>4.1358293426208101</v>
      </c>
      <c r="H103" s="436">
        <v>16.906109418081556</v>
      </c>
      <c r="I103" s="436">
        <f t="shared" si="26"/>
        <v>21.041938760702365</v>
      </c>
    </row>
    <row r="104" spans="1:9">
      <c r="A104" s="21" t="str">
        <f t="shared" si="23"/>
        <v>Fife2022</v>
      </c>
      <c r="B104" s="441">
        <v>2022</v>
      </c>
      <c r="C104" s="434" t="s">
        <v>27</v>
      </c>
      <c r="D104" s="435">
        <v>63680</v>
      </c>
      <c r="E104" s="435">
        <v>11410</v>
      </c>
      <c r="F104" s="435">
        <v>2040</v>
      </c>
      <c r="G104" s="436">
        <v>3.2035175879396984</v>
      </c>
      <c r="H104" s="436">
        <v>17.917713567839197</v>
      </c>
      <c r="I104" s="436">
        <f t="shared" si="26"/>
        <v>21.121231155778894</v>
      </c>
    </row>
    <row r="105" spans="1:9">
      <c r="A105" s="21" t="str">
        <f t="shared" si="23"/>
        <v>Glasgow City2022</v>
      </c>
      <c r="B105" s="441">
        <v>2022</v>
      </c>
      <c r="C105" s="434" t="s">
        <v>28</v>
      </c>
      <c r="D105" s="435">
        <v>99881</v>
      </c>
      <c r="E105" s="435">
        <v>23310</v>
      </c>
      <c r="F105" s="435">
        <v>590</v>
      </c>
      <c r="G105" s="436">
        <v>0.59070293649442829</v>
      </c>
      <c r="H105" s="436">
        <v>23.337771948618858</v>
      </c>
      <c r="I105" s="436">
        <f t="shared" si="26"/>
        <v>23.928474885113285</v>
      </c>
    </row>
    <row r="106" spans="1:9">
      <c r="A106" s="21" t="str">
        <f t="shared" si="23"/>
        <v>Highland2022</v>
      </c>
      <c r="B106" s="441">
        <v>2022</v>
      </c>
      <c r="C106" s="434" t="s">
        <v>29</v>
      </c>
      <c r="D106" s="435">
        <v>38130</v>
      </c>
      <c r="E106" s="435">
        <v>7530</v>
      </c>
      <c r="F106" s="435">
        <v>1270</v>
      </c>
      <c r="G106" s="436">
        <v>3.3307107264621036</v>
      </c>
      <c r="H106" s="436">
        <v>19.748229740361918</v>
      </c>
      <c r="I106" s="436">
        <f t="shared" si="26"/>
        <v>23.078940466824022</v>
      </c>
    </row>
    <row r="107" spans="1:9">
      <c r="A107" s="21" t="str">
        <f t="shared" si="23"/>
        <v>Inverclyde2022</v>
      </c>
      <c r="B107" s="441">
        <v>2022</v>
      </c>
      <c r="C107" s="434" t="s">
        <v>30</v>
      </c>
      <c r="D107" s="435">
        <v>12197</v>
      </c>
      <c r="E107" s="435">
        <v>1990</v>
      </c>
      <c r="F107" s="435">
        <v>260</v>
      </c>
      <c r="G107" s="436">
        <v>2.1316717225547266</v>
      </c>
      <c r="H107" s="436">
        <v>16.315487414938097</v>
      </c>
      <c r="I107" s="436">
        <f t="shared" si="26"/>
        <v>18.447159137492825</v>
      </c>
    </row>
    <row r="108" spans="1:9">
      <c r="A108" s="21" t="str">
        <f t="shared" si="23"/>
        <v>Midlothian2022</v>
      </c>
      <c r="B108" s="441">
        <v>2022</v>
      </c>
      <c r="C108" s="434" t="s">
        <v>31</v>
      </c>
      <c r="D108" s="435">
        <v>18281</v>
      </c>
      <c r="E108" s="435">
        <v>5390</v>
      </c>
      <c r="F108" s="435">
        <v>330</v>
      </c>
      <c r="G108" s="436">
        <v>1.8051528909797059</v>
      </c>
      <c r="H108" s="436">
        <v>29.484163886001859</v>
      </c>
      <c r="I108" s="436">
        <f t="shared" si="26"/>
        <v>31.289316776981565</v>
      </c>
    </row>
    <row r="109" spans="1:9">
      <c r="A109" s="21" t="str">
        <f t="shared" si="23"/>
        <v>Moray2022</v>
      </c>
      <c r="B109" s="441">
        <v>2022</v>
      </c>
      <c r="C109" s="434" t="s">
        <v>32</v>
      </c>
      <c r="D109" s="435">
        <v>15941</v>
      </c>
      <c r="E109" s="435">
        <v>2720</v>
      </c>
      <c r="F109" s="435">
        <v>630</v>
      </c>
      <c r="G109" s="436">
        <v>3.9520732701838028</v>
      </c>
      <c r="H109" s="436">
        <v>17.062919515714196</v>
      </c>
      <c r="I109" s="436">
        <f t="shared" si="26"/>
        <v>21.014992785897999</v>
      </c>
    </row>
    <row r="110" spans="1:9">
      <c r="A110" s="21" t="str">
        <f t="shared" si="23"/>
        <v>Na h-Eileanan Siar2022</v>
      </c>
      <c r="B110" s="441">
        <v>2022</v>
      </c>
      <c r="C110" s="434" t="s">
        <v>33</v>
      </c>
      <c r="D110" s="435">
        <v>4060</v>
      </c>
      <c r="E110" s="435">
        <v>610</v>
      </c>
      <c r="F110" s="435">
        <v>80</v>
      </c>
      <c r="G110" s="436">
        <v>1.9704433497536946</v>
      </c>
      <c r="H110" s="436">
        <v>15.024630541871922</v>
      </c>
      <c r="I110" s="436">
        <f t="shared" si="26"/>
        <v>16.995073891625616</v>
      </c>
    </row>
    <row r="111" spans="1:9">
      <c r="A111" s="21" t="str">
        <f t="shared" si="23"/>
        <v>North Ayrshire2022</v>
      </c>
      <c r="B111" s="441">
        <v>2022</v>
      </c>
      <c r="C111" s="434" t="s">
        <v>34</v>
      </c>
      <c r="D111" s="435">
        <v>21891</v>
      </c>
      <c r="E111" s="435">
        <v>3200</v>
      </c>
      <c r="F111" s="435">
        <v>910</v>
      </c>
      <c r="G111" s="436">
        <v>4.1569594810652779</v>
      </c>
      <c r="H111" s="436">
        <v>14.617879493855924</v>
      </c>
      <c r="I111" s="436">
        <f t="shared" si="26"/>
        <v>18.774838974921202</v>
      </c>
    </row>
    <row r="112" spans="1:9">
      <c r="A112" s="21" t="str">
        <f t="shared" si="23"/>
        <v>North Lanarkshire2022</v>
      </c>
      <c r="B112" s="441">
        <v>2022</v>
      </c>
      <c r="C112" s="434" t="s">
        <v>35</v>
      </c>
      <c r="D112" s="435">
        <v>61606</v>
      </c>
      <c r="E112" s="435">
        <v>10410</v>
      </c>
      <c r="F112" s="435">
        <v>1470</v>
      </c>
      <c r="G112" s="436">
        <v>2.3861312209849688</v>
      </c>
      <c r="H112" s="436">
        <v>16.897704769016006</v>
      </c>
      <c r="I112" s="436">
        <f t="shared" si="26"/>
        <v>19.283835990000973</v>
      </c>
    </row>
    <row r="113" spans="1:9">
      <c r="A113" s="21" t="str">
        <f t="shared" si="23"/>
        <v>Orkney Islands2022</v>
      </c>
      <c r="B113" s="441">
        <v>2022</v>
      </c>
      <c r="C113" s="434" t="s">
        <v>36</v>
      </c>
      <c r="D113" s="435">
        <v>3553</v>
      </c>
      <c r="E113" s="435">
        <v>470</v>
      </c>
      <c r="F113" s="435">
        <v>200</v>
      </c>
      <c r="G113" s="436">
        <v>5.6290458767238958</v>
      </c>
      <c r="H113" s="436">
        <v>13.228257810301153</v>
      </c>
      <c r="I113" s="436">
        <f t="shared" si="26"/>
        <v>18.857303687025048</v>
      </c>
    </row>
    <row r="114" spans="1:9">
      <c r="A114" s="21" t="str">
        <f t="shared" si="23"/>
        <v>outside Scotland2022</v>
      </c>
      <c r="B114" s="441">
        <v>2022</v>
      </c>
      <c r="C114" s="434" t="s">
        <v>496</v>
      </c>
      <c r="D114" s="435"/>
      <c r="E114" s="435">
        <v>120</v>
      </c>
      <c r="F114" s="435"/>
      <c r="G114" s="436"/>
      <c r="H114" s="436"/>
      <c r="I114" s="436"/>
    </row>
    <row r="115" spans="1:9">
      <c r="A115" s="21" t="str">
        <f t="shared" si="23"/>
        <v>Perth AND Kinross2022</v>
      </c>
      <c r="B115" s="441">
        <v>2022</v>
      </c>
      <c r="C115" s="434" t="s">
        <v>499</v>
      </c>
      <c r="D115" s="435">
        <v>24218</v>
      </c>
      <c r="E115" s="435">
        <v>6730</v>
      </c>
      <c r="F115" s="435">
        <v>730</v>
      </c>
      <c r="G115" s="436">
        <v>3.014286894045751</v>
      </c>
      <c r="H115" s="436">
        <v>27.789247667024526</v>
      </c>
      <c r="I115" s="436">
        <f t="shared" si="26"/>
        <v>30.803534561070276</v>
      </c>
    </row>
    <row r="116" spans="1:9">
      <c r="A116" s="21" t="str">
        <f t="shared" si="23"/>
        <v>Renfrewshire2022</v>
      </c>
      <c r="B116" s="441">
        <v>2022</v>
      </c>
      <c r="C116" s="434" t="s">
        <v>38</v>
      </c>
      <c r="D116" s="435">
        <v>29784</v>
      </c>
      <c r="E116" s="435">
        <v>8280</v>
      </c>
      <c r="F116" s="435">
        <v>370</v>
      </c>
      <c r="G116" s="436">
        <v>1.2422777330110126</v>
      </c>
      <c r="H116" s="436">
        <v>27.800161160354552</v>
      </c>
      <c r="I116" s="436">
        <f t="shared" si="26"/>
        <v>29.042438893365564</v>
      </c>
    </row>
    <row r="117" spans="1:9">
      <c r="A117" s="21" t="str">
        <f t="shared" si="23"/>
        <v>Scottish Borders2022</v>
      </c>
      <c r="B117" s="441">
        <v>2022</v>
      </c>
      <c r="C117" s="434" t="s">
        <v>39</v>
      </c>
      <c r="D117" s="435">
        <v>18723</v>
      </c>
      <c r="E117" s="435">
        <v>3860</v>
      </c>
      <c r="F117" s="435">
        <v>570</v>
      </c>
      <c r="G117" s="436">
        <v>3.0443839128344816</v>
      </c>
      <c r="H117" s="436">
        <v>20.61635421673877</v>
      </c>
      <c r="I117" s="436">
        <f t="shared" si="26"/>
        <v>23.660738129573254</v>
      </c>
    </row>
    <row r="118" spans="1:9">
      <c r="A118" s="21" t="str">
        <f t="shared" si="23"/>
        <v>Shetland Islands2022</v>
      </c>
      <c r="B118" s="441">
        <v>2022</v>
      </c>
      <c r="C118" s="434" t="s">
        <v>40</v>
      </c>
      <c r="D118" s="435">
        <v>4104</v>
      </c>
      <c r="E118" s="435">
        <v>1050</v>
      </c>
      <c r="F118" s="435">
        <v>30</v>
      </c>
      <c r="G118" s="436">
        <v>0.73099415204678353</v>
      </c>
      <c r="H118" s="436">
        <v>25.584795321637426</v>
      </c>
      <c r="I118" s="436">
        <f t="shared" si="26"/>
        <v>26.315789473684209</v>
      </c>
    </row>
    <row r="119" spans="1:9">
      <c r="A119" s="21" t="str">
        <f t="shared" si="23"/>
        <v>South Ayrshire2022</v>
      </c>
      <c r="B119" s="441">
        <v>2022</v>
      </c>
      <c r="C119" s="434" t="s">
        <v>41</v>
      </c>
      <c r="D119" s="435">
        <v>17244</v>
      </c>
      <c r="E119" s="435">
        <v>3690</v>
      </c>
      <c r="F119" s="435">
        <v>420</v>
      </c>
      <c r="G119" s="436">
        <v>2.4356297842727903</v>
      </c>
      <c r="H119" s="436">
        <v>21.398747390396661</v>
      </c>
      <c r="I119" s="436">
        <f t="shared" si="26"/>
        <v>23.834377174669452</v>
      </c>
    </row>
    <row r="120" spans="1:9">
      <c r="A120" s="21" t="str">
        <f t="shared" si="23"/>
        <v>South Lanarkshire2022</v>
      </c>
      <c r="B120" s="441">
        <v>2022</v>
      </c>
      <c r="C120" s="434" t="s">
        <v>42</v>
      </c>
      <c r="D120" s="435">
        <v>55700</v>
      </c>
      <c r="E120" s="435">
        <v>12120</v>
      </c>
      <c r="F120" s="435">
        <v>1250</v>
      </c>
      <c r="G120" s="436">
        <v>2.2441651705565531</v>
      </c>
      <c r="H120" s="436">
        <v>21.759425493716336</v>
      </c>
      <c r="I120" s="436">
        <f t="shared" si="26"/>
        <v>24.003590664272888</v>
      </c>
    </row>
    <row r="121" spans="1:9">
      <c r="A121" s="21" t="str">
        <f t="shared" si="23"/>
        <v>Stirling2022</v>
      </c>
      <c r="B121" s="441">
        <v>2022</v>
      </c>
      <c r="C121" s="434" t="s">
        <v>43</v>
      </c>
      <c r="D121" s="435">
        <v>14948</v>
      </c>
      <c r="E121" s="435">
        <v>3390</v>
      </c>
      <c r="F121" s="435">
        <v>530</v>
      </c>
      <c r="G121" s="436">
        <v>3.5456248327535453</v>
      </c>
      <c r="H121" s="436">
        <v>22.678619213272679</v>
      </c>
      <c r="I121" s="436">
        <f t="shared" si="26"/>
        <v>26.224244046026225</v>
      </c>
    </row>
    <row r="122" spans="1:9">
      <c r="A122" s="21" t="str">
        <f t="shared" ref="A122:A158" si="27">C122&amp;B122</f>
        <v>West Dunbartonshire2022</v>
      </c>
      <c r="B122" s="441">
        <v>2022</v>
      </c>
      <c r="C122" s="434" t="s">
        <v>44</v>
      </c>
      <c r="D122" s="435">
        <v>15234</v>
      </c>
      <c r="E122" s="435">
        <v>2740</v>
      </c>
      <c r="F122" s="435">
        <v>160</v>
      </c>
      <c r="G122" s="436">
        <v>1.0502822633582776</v>
      </c>
      <c r="H122" s="436">
        <v>17.986083760010501</v>
      </c>
      <c r="I122" s="436">
        <f t="shared" si="26"/>
        <v>19.036366023368778</v>
      </c>
    </row>
    <row r="123" spans="1:9">
      <c r="A123" s="21" t="str">
        <f t="shared" si="27"/>
        <v>West Lothian2022</v>
      </c>
      <c r="B123" s="441">
        <v>2022</v>
      </c>
      <c r="C123" s="434" t="s">
        <v>45</v>
      </c>
      <c r="D123" s="435">
        <v>35133</v>
      </c>
      <c r="E123" s="435">
        <v>6970</v>
      </c>
      <c r="F123" s="435">
        <v>1220</v>
      </c>
      <c r="G123" s="436">
        <v>3.4725187145988103</v>
      </c>
      <c r="H123" s="436">
        <v>19.838897902257138</v>
      </c>
      <c r="I123" s="436">
        <f t="shared" si="26"/>
        <v>23.311416616855947</v>
      </c>
    </row>
    <row r="124" spans="1:9">
      <c r="A124" s="21" t="str">
        <f t="shared" si="27"/>
        <v>Scotland2022</v>
      </c>
      <c r="B124" s="442">
        <v>2022</v>
      </c>
      <c r="C124" s="437" t="s">
        <v>46</v>
      </c>
      <c r="D124" s="438">
        <v>911522</v>
      </c>
      <c r="E124" s="438">
        <v>199440</v>
      </c>
      <c r="F124" s="438">
        <v>23400</v>
      </c>
      <c r="G124" s="439">
        <v>2.5671349676694581</v>
      </c>
      <c r="H124" s="439">
        <v>21.879888801367382</v>
      </c>
      <c r="I124" s="439">
        <f t="shared" si="26"/>
        <v>24.447023769036839</v>
      </c>
    </row>
    <row r="125" spans="1:9">
      <c r="A125" s="21" t="str">
        <f t="shared" si="27"/>
        <v>Aberdeen City2023</v>
      </c>
      <c r="B125" s="440">
        <v>2023</v>
      </c>
      <c r="C125" s="434" t="s">
        <v>15</v>
      </c>
      <c r="D125" s="435">
        <v>35860</v>
      </c>
      <c r="E125" s="435">
        <v>8420</v>
      </c>
      <c r="F125" s="435">
        <v>740</v>
      </c>
      <c r="G125" s="436">
        <v>2.0635805911879532</v>
      </c>
      <c r="H125" s="436">
        <v>23.480200780814279</v>
      </c>
      <c r="I125" s="436">
        <f>G125+H125</f>
        <v>25.543781372002233</v>
      </c>
    </row>
    <row r="126" spans="1:9">
      <c r="A126" s="21" t="str">
        <f t="shared" si="27"/>
        <v>Aberdeenshire2023</v>
      </c>
      <c r="B126" s="441">
        <v>2023</v>
      </c>
      <c r="C126" s="434" t="s">
        <v>16</v>
      </c>
      <c r="D126" s="435">
        <v>48578</v>
      </c>
      <c r="E126" s="435">
        <v>9920</v>
      </c>
      <c r="F126" s="435">
        <v>1880</v>
      </c>
      <c r="G126" s="436">
        <v>3.8700646383136394</v>
      </c>
      <c r="H126" s="436">
        <v>20.420766602165589</v>
      </c>
      <c r="I126" s="436">
        <f t="shared" ref="I126:I158" si="28">G126+H126</f>
        <v>24.290831240479228</v>
      </c>
    </row>
    <row r="127" spans="1:9">
      <c r="A127" s="21" t="str">
        <f t="shared" si="27"/>
        <v>Angus2023</v>
      </c>
      <c r="B127" s="441">
        <v>2023</v>
      </c>
      <c r="C127" s="434" t="s">
        <v>17</v>
      </c>
      <c r="D127" s="435">
        <v>18639</v>
      </c>
      <c r="E127" s="435">
        <v>3650</v>
      </c>
      <c r="F127" s="435">
        <v>610</v>
      </c>
      <c r="G127" s="436">
        <v>3.2727077632920225</v>
      </c>
      <c r="H127" s="436">
        <v>19.582595632812918</v>
      </c>
      <c r="I127" s="436">
        <f t="shared" si="28"/>
        <v>22.85530339610494</v>
      </c>
    </row>
    <row r="128" spans="1:9">
      <c r="A128" s="21" t="str">
        <f t="shared" si="27"/>
        <v>Argyll AND Bute2023</v>
      </c>
      <c r="B128" s="441">
        <v>2023</v>
      </c>
      <c r="C128" s="434" t="s">
        <v>497</v>
      </c>
      <c r="D128" s="435">
        <v>12441</v>
      </c>
      <c r="E128" s="435">
        <v>2380</v>
      </c>
      <c r="F128" s="435">
        <v>380</v>
      </c>
      <c r="G128" s="436">
        <v>3.0544168475202955</v>
      </c>
      <c r="H128" s="436">
        <v>19.130294992363957</v>
      </c>
      <c r="I128" s="436">
        <f t="shared" si="28"/>
        <v>22.184711839884251</v>
      </c>
    </row>
    <row r="129" spans="1:9">
      <c r="A129" s="21" t="str">
        <f t="shared" si="27"/>
        <v>Edinburgh, City of2023</v>
      </c>
      <c r="B129" s="441">
        <v>2023</v>
      </c>
      <c r="C129" s="434" t="s">
        <v>126</v>
      </c>
      <c r="D129" s="435">
        <v>78826</v>
      </c>
      <c r="E129" s="435">
        <v>21710</v>
      </c>
      <c r="F129" s="435">
        <v>1350</v>
      </c>
      <c r="G129" s="436">
        <v>1.7126328876259103</v>
      </c>
      <c r="H129" s="436">
        <v>27.541674066932231</v>
      </c>
      <c r="I129" s="436">
        <f t="shared" si="28"/>
        <v>29.254306954558142</v>
      </c>
    </row>
    <row r="130" spans="1:9">
      <c r="A130" s="21" t="str">
        <f t="shared" si="27"/>
        <v>Clackmannanshire2023</v>
      </c>
      <c r="B130" s="441">
        <v>2023</v>
      </c>
      <c r="C130" s="434" t="s">
        <v>19</v>
      </c>
      <c r="D130" s="435">
        <v>8877</v>
      </c>
      <c r="E130" s="435">
        <v>1690</v>
      </c>
      <c r="F130" s="435">
        <v>210</v>
      </c>
      <c r="G130" s="436">
        <v>2.3656640757012504</v>
      </c>
      <c r="H130" s="436">
        <v>19.037963275881491</v>
      </c>
      <c r="I130" s="436">
        <f t="shared" si="28"/>
        <v>21.403627351582742</v>
      </c>
    </row>
    <row r="131" spans="1:9">
      <c r="A131" s="21" t="str">
        <f t="shared" si="27"/>
        <v>Dumfries AND Galloway2023</v>
      </c>
      <c r="B131" s="441">
        <v>2023</v>
      </c>
      <c r="C131" s="434" t="s">
        <v>498</v>
      </c>
      <c r="D131" s="435">
        <v>22882</v>
      </c>
      <c r="E131" s="435">
        <v>3810</v>
      </c>
      <c r="F131" s="435">
        <v>660</v>
      </c>
      <c r="G131" s="436">
        <v>2.8843632549602307</v>
      </c>
      <c r="H131" s="436">
        <v>16.65064242636133</v>
      </c>
      <c r="I131" s="436">
        <f t="shared" si="28"/>
        <v>19.535005681321561</v>
      </c>
    </row>
    <row r="132" spans="1:9">
      <c r="A132" s="21" t="str">
        <f t="shared" si="27"/>
        <v>Dundee City2023</v>
      </c>
      <c r="B132" s="441">
        <v>2023</v>
      </c>
      <c r="C132" s="434" t="s">
        <v>21</v>
      </c>
      <c r="D132" s="435">
        <v>23704</v>
      </c>
      <c r="E132" s="435">
        <v>5550</v>
      </c>
      <c r="F132" s="435">
        <v>410</v>
      </c>
      <c r="G132" s="436">
        <v>1.7296658791765105</v>
      </c>
      <c r="H132" s="436">
        <v>23.41376982787715</v>
      </c>
      <c r="I132" s="436">
        <f t="shared" si="28"/>
        <v>25.143435707053662</v>
      </c>
    </row>
    <row r="133" spans="1:9">
      <c r="A133" s="21" t="str">
        <f t="shared" si="27"/>
        <v>East Ayrshire2023</v>
      </c>
      <c r="B133" s="441">
        <v>2023</v>
      </c>
      <c r="C133" s="434" t="s">
        <v>22</v>
      </c>
      <c r="D133" s="435">
        <v>20792</v>
      </c>
      <c r="E133" s="435">
        <v>4040</v>
      </c>
      <c r="F133" s="435">
        <v>790</v>
      </c>
      <c r="G133" s="436">
        <v>3.7995382839553677</v>
      </c>
      <c r="H133" s="436">
        <v>19.430550211619853</v>
      </c>
      <c r="I133" s="436">
        <f t="shared" si="28"/>
        <v>23.23008849557522</v>
      </c>
    </row>
    <row r="134" spans="1:9">
      <c r="A134" s="21" t="str">
        <f t="shared" si="27"/>
        <v>East Dunbartonshire2023</v>
      </c>
      <c r="B134" s="441">
        <v>2023</v>
      </c>
      <c r="C134" s="434" t="s">
        <v>23</v>
      </c>
      <c r="D134" s="435">
        <v>19528</v>
      </c>
      <c r="E134" s="435">
        <v>6530</v>
      </c>
      <c r="F134" s="435">
        <v>450</v>
      </c>
      <c r="G134" s="436">
        <v>2.3043834494059814</v>
      </c>
      <c r="H134" s="436">
        <v>33.439164276935685</v>
      </c>
      <c r="I134" s="436">
        <f t="shared" si="28"/>
        <v>35.743547726341667</v>
      </c>
    </row>
    <row r="135" spans="1:9">
      <c r="A135" s="21" t="str">
        <f t="shared" si="27"/>
        <v>East Lothian2023</v>
      </c>
      <c r="B135" s="441">
        <v>2023</v>
      </c>
      <c r="C135" s="434" t="s">
        <v>24</v>
      </c>
      <c r="D135" s="435">
        <v>19822</v>
      </c>
      <c r="E135" s="435">
        <v>5190</v>
      </c>
      <c r="F135" s="435">
        <v>600</v>
      </c>
      <c r="G135" s="436">
        <v>3.0269397638986986</v>
      </c>
      <c r="H135" s="436">
        <v>26.183028957723742</v>
      </c>
      <c r="I135" s="436">
        <f t="shared" si="28"/>
        <v>29.209968721622442</v>
      </c>
    </row>
    <row r="136" spans="1:9">
      <c r="A136" s="21" t="str">
        <f t="shared" si="27"/>
        <v>East Renfrewshire2023</v>
      </c>
      <c r="B136" s="441">
        <v>2023</v>
      </c>
      <c r="C136" s="434" t="s">
        <v>25</v>
      </c>
      <c r="D136" s="435">
        <v>19701</v>
      </c>
      <c r="E136" s="435">
        <v>5290</v>
      </c>
      <c r="F136" s="435">
        <v>590</v>
      </c>
      <c r="G136" s="436">
        <v>2.9947718389929445</v>
      </c>
      <c r="H136" s="436">
        <v>26.851428861479114</v>
      </c>
      <c r="I136" s="436">
        <f t="shared" si="28"/>
        <v>29.84620070047206</v>
      </c>
    </row>
    <row r="137" spans="1:9">
      <c r="A137" s="21" t="str">
        <f t="shared" si="27"/>
        <v>Falkirk2023</v>
      </c>
      <c r="B137" s="441">
        <v>2023</v>
      </c>
      <c r="C137" s="434" t="s">
        <v>26</v>
      </c>
      <c r="D137" s="435">
        <v>27564</v>
      </c>
      <c r="E137" s="435">
        <v>4760</v>
      </c>
      <c r="F137" s="435">
        <v>1010</v>
      </c>
      <c r="G137" s="436">
        <v>3.664199680742998</v>
      </c>
      <c r="H137" s="436">
        <v>17.268901465679871</v>
      </c>
      <c r="I137" s="436">
        <f t="shared" si="28"/>
        <v>20.933101146422871</v>
      </c>
    </row>
    <row r="138" spans="1:9">
      <c r="A138" s="21" t="str">
        <f t="shared" si="27"/>
        <v>Fife2023</v>
      </c>
      <c r="B138" s="441">
        <v>2023</v>
      </c>
      <c r="C138" s="434" t="s">
        <v>27</v>
      </c>
      <c r="D138" s="435">
        <v>63680</v>
      </c>
      <c r="E138" s="435">
        <v>11540</v>
      </c>
      <c r="F138" s="435">
        <v>1950</v>
      </c>
      <c r="G138" s="436">
        <v>3.0621859296482414</v>
      </c>
      <c r="H138" s="436">
        <v>18.121859296482413</v>
      </c>
      <c r="I138" s="436">
        <f t="shared" si="28"/>
        <v>21.184045226130653</v>
      </c>
    </row>
    <row r="139" spans="1:9">
      <c r="A139" s="21" t="str">
        <f t="shared" si="27"/>
        <v>Glasgow City2023</v>
      </c>
      <c r="B139" s="441">
        <v>2023</v>
      </c>
      <c r="C139" s="434" t="s">
        <v>28</v>
      </c>
      <c r="D139" s="435">
        <v>99881</v>
      </c>
      <c r="E139" s="435">
        <v>22630</v>
      </c>
      <c r="F139" s="435">
        <v>550</v>
      </c>
      <c r="G139" s="436">
        <v>0.55065527978294171</v>
      </c>
      <c r="H139" s="436">
        <v>22.656961784523581</v>
      </c>
      <c r="I139" s="436">
        <f t="shared" si="28"/>
        <v>23.207617064306522</v>
      </c>
    </row>
    <row r="140" spans="1:9">
      <c r="A140" s="21" t="str">
        <f t="shared" si="27"/>
        <v>Highland2023</v>
      </c>
      <c r="B140" s="441">
        <v>2023</v>
      </c>
      <c r="C140" s="434" t="s">
        <v>29</v>
      </c>
      <c r="D140" s="435">
        <v>38130</v>
      </c>
      <c r="E140" s="435">
        <v>7360</v>
      </c>
      <c r="F140" s="435">
        <v>1260</v>
      </c>
      <c r="G140" s="436">
        <v>3.304484657749803</v>
      </c>
      <c r="H140" s="436">
        <v>19.302386572252818</v>
      </c>
      <c r="I140" s="436">
        <f t="shared" si="28"/>
        <v>22.606871230002621</v>
      </c>
    </row>
    <row r="141" spans="1:9">
      <c r="A141" s="21" t="str">
        <f t="shared" si="27"/>
        <v>Inverclyde2023</v>
      </c>
      <c r="B141" s="441">
        <v>2023</v>
      </c>
      <c r="C141" s="434" t="s">
        <v>30</v>
      </c>
      <c r="D141" s="435">
        <v>12197</v>
      </c>
      <c r="E141" s="435">
        <v>1860</v>
      </c>
      <c r="F141" s="435">
        <v>240</v>
      </c>
      <c r="G141" s="436">
        <v>1.9676969746659014</v>
      </c>
      <c r="H141" s="436">
        <v>15.249651553660737</v>
      </c>
      <c r="I141" s="436">
        <f t="shared" si="28"/>
        <v>17.217348528326639</v>
      </c>
    </row>
    <row r="142" spans="1:9">
      <c r="A142" s="21" t="str">
        <f t="shared" si="27"/>
        <v>Midlothian2023</v>
      </c>
      <c r="B142" s="441">
        <v>2023</v>
      </c>
      <c r="C142" s="434" t="s">
        <v>31</v>
      </c>
      <c r="D142" s="435">
        <v>18281</v>
      </c>
      <c r="E142" s="435">
        <v>5570</v>
      </c>
      <c r="F142" s="435">
        <v>330</v>
      </c>
      <c r="G142" s="436">
        <v>1.8051528909797059</v>
      </c>
      <c r="H142" s="436">
        <v>30.468792735627154</v>
      </c>
      <c r="I142" s="436">
        <f t="shared" si="28"/>
        <v>32.27394562660686</v>
      </c>
    </row>
    <row r="143" spans="1:9">
      <c r="A143" s="21" t="str">
        <f t="shared" si="27"/>
        <v>Moray2023</v>
      </c>
      <c r="B143" s="441">
        <v>2023</v>
      </c>
      <c r="C143" s="434" t="s">
        <v>32</v>
      </c>
      <c r="D143" s="435">
        <v>15941</v>
      </c>
      <c r="E143" s="435">
        <v>2790</v>
      </c>
      <c r="F143" s="435">
        <v>650</v>
      </c>
      <c r="G143" s="436">
        <v>4.0775359136817011</v>
      </c>
      <c r="H143" s="436">
        <v>17.50203876795684</v>
      </c>
      <c r="I143" s="436">
        <f t="shared" si="28"/>
        <v>21.57957468163854</v>
      </c>
    </row>
    <row r="144" spans="1:9">
      <c r="A144" s="21" t="str">
        <f t="shared" si="27"/>
        <v>Na h-Eileanan Siar2023</v>
      </c>
      <c r="B144" s="441">
        <v>2023</v>
      </c>
      <c r="C144" s="434" t="s">
        <v>33</v>
      </c>
      <c r="D144" s="435">
        <v>4060</v>
      </c>
      <c r="E144" s="435">
        <v>510</v>
      </c>
      <c r="F144" s="435">
        <v>100</v>
      </c>
      <c r="G144" s="436">
        <v>2.4630541871921183</v>
      </c>
      <c r="H144" s="436">
        <v>12.561576354679804</v>
      </c>
      <c r="I144" s="436">
        <f t="shared" si="28"/>
        <v>15.024630541871922</v>
      </c>
    </row>
    <row r="145" spans="1:9">
      <c r="A145" s="21" t="str">
        <f t="shared" si="27"/>
        <v>North Ayrshire2023</v>
      </c>
      <c r="B145" s="441">
        <v>2023</v>
      </c>
      <c r="C145" s="434" t="s">
        <v>34</v>
      </c>
      <c r="D145" s="435">
        <v>21891</v>
      </c>
      <c r="E145" s="435">
        <v>3370</v>
      </c>
      <c r="F145" s="435">
        <v>830</v>
      </c>
      <c r="G145" s="436">
        <v>3.79151249371888</v>
      </c>
      <c r="H145" s="436">
        <v>15.394454341967018</v>
      </c>
      <c r="I145" s="436">
        <f t="shared" si="28"/>
        <v>19.185966835685896</v>
      </c>
    </row>
    <row r="146" spans="1:9">
      <c r="A146" s="21" t="str">
        <f t="shared" si="27"/>
        <v>North Lanarkshire2023</v>
      </c>
      <c r="B146" s="441">
        <v>2023</v>
      </c>
      <c r="C146" s="434" t="s">
        <v>35</v>
      </c>
      <c r="D146" s="435">
        <v>61606</v>
      </c>
      <c r="E146" s="435">
        <v>10510</v>
      </c>
      <c r="F146" s="435">
        <v>1360</v>
      </c>
      <c r="G146" s="436">
        <v>2.2075771840405158</v>
      </c>
      <c r="H146" s="436">
        <v>17.060026620783688</v>
      </c>
      <c r="I146" s="436">
        <f t="shared" si="28"/>
        <v>19.267603804824205</v>
      </c>
    </row>
    <row r="147" spans="1:9">
      <c r="A147" s="21" t="str">
        <f t="shared" si="27"/>
        <v>Orkney Islands2023</v>
      </c>
      <c r="B147" s="441">
        <v>2023</v>
      </c>
      <c r="C147" s="434" t="s">
        <v>36</v>
      </c>
      <c r="D147" s="435">
        <v>3553</v>
      </c>
      <c r="E147" s="435">
        <v>440</v>
      </c>
      <c r="F147" s="435">
        <v>160</v>
      </c>
      <c r="G147" s="436">
        <v>4.5032367013791159</v>
      </c>
      <c r="H147" s="436">
        <v>12.383900928792571</v>
      </c>
      <c r="I147" s="436">
        <f t="shared" si="28"/>
        <v>16.887137630171686</v>
      </c>
    </row>
    <row r="148" spans="1:9">
      <c r="A148" s="21" t="str">
        <f t="shared" si="27"/>
        <v>outside Scotland2023</v>
      </c>
      <c r="B148" s="441">
        <v>2023</v>
      </c>
      <c r="C148" s="434" t="s">
        <v>496</v>
      </c>
      <c r="D148" s="435"/>
      <c r="E148" s="435">
        <v>120</v>
      </c>
      <c r="F148" s="435"/>
      <c r="G148" s="436"/>
      <c r="H148" s="436"/>
      <c r="I148" s="436"/>
    </row>
    <row r="149" spans="1:9">
      <c r="A149" s="21" t="str">
        <f t="shared" si="27"/>
        <v>Perth AND Kinross2023</v>
      </c>
      <c r="B149" s="441">
        <v>2023</v>
      </c>
      <c r="C149" s="434" t="s">
        <v>499</v>
      </c>
      <c r="D149" s="435">
        <v>24218</v>
      </c>
      <c r="E149" s="435">
        <v>6930</v>
      </c>
      <c r="F149" s="435">
        <v>670</v>
      </c>
      <c r="G149" s="436">
        <v>2.7665372863159634</v>
      </c>
      <c r="H149" s="436">
        <v>28.615079692790484</v>
      </c>
      <c r="I149" s="436">
        <f t="shared" si="28"/>
        <v>31.381616979106447</v>
      </c>
    </row>
    <row r="150" spans="1:9">
      <c r="A150" s="21" t="str">
        <f t="shared" si="27"/>
        <v>Renfrewshire2023</v>
      </c>
      <c r="B150" s="441">
        <v>2023</v>
      </c>
      <c r="C150" s="434" t="s">
        <v>38</v>
      </c>
      <c r="D150" s="435">
        <v>29784</v>
      </c>
      <c r="E150" s="435">
        <v>8920</v>
      </c>
      <c r="F150" s="435">
        <v>350</v>
      </c>
      <c r="G150" s="436">
        <v>1.1751275852806875</v>
      </c>
      <c r="H150" s="436">
        <v>29.948965887724952</v>
      </c>
      <c r="I150" s="436">
        <f t="shared" si="28"/>
        <v>31.12409347300564</v>
      </c>
    </row>
    <row r="151" spans="1:9">
      <c r="A151" s="21" t="str">
        <f t="shared" si="27"/>
        <v>Scottish Borders2023</v>
      </c>
      <c r="B151" s="441">
        <v>2023</v>
      </c>
      <c r="C151" s="434" t="s">
        <v>39</v>
      </c>
      <c r="D151" s="435">
        <v>18723</v>
      </c>
      <c r="E151" s="435">
        <v>3930</v>
      </c>
      <c r="F151" s="435">
        <v>530</v>
      </c>
      <c r="G151" s="436">
        <v>2.8307429364952199</v>
      </c>
      <c r="H151" s="436">
        <v>20.990225925332478</v>
      </c>
      <c r="I151" s="436">
        <f t="shared" si="28"/>
        <v>23.820968861827698</v>
      </c>
    </row>
    <row r="152" spans="1:9">
      <c r="A152" s="21" t="str">
        <f t="shared" si="27"/>
        <v>Shetland Islands2023</v>
      </c>
      <c r="B152" s="441">
        <v>2023</v>
      </c>
      <c r="C152" s="434" t="s">
        <v>40</v>
      </c>
      <c r="D152" s="435">
        <v>4104</v>
      </c>
      <c r="E152" s="435">
        <v>980</v>
      </c>
      <c r="F152" s="435">
        <v>40</v>
      </c>
      <c r="G152" s="436">
        <v>0.97465886939571145</v>
      </c>
      <c r="H152" s="436">
        <v>23.879142300194932</v>
      </c>
      <c r="I152" s="436">
        <f t="shared" si="28"/>
        <v>24.853801169590643</v>
      </c>
    </row>
    <row r="153" spans="1:9">
      <c r="A153" s="21" t="str">
        <f t="shared" si="27"/>
        <v>South Ayrshire2023</v>
      </c>
      <c r="B153" s="441">
        <v>2023</v>
      </c>
      <c r="C153" s="434" t="s">
        <v>41</v>
      </c>
      <c r="D153" s="435">
        <v>17244</v>
      </c>
      <c r="E153" s="435">
        <v>3560</v>
      </c>
      <c r="F153" s="435">
        <v>390</v>
      </c>
      <c r="G153" s="436">
        <v>2.2616562282533055</v>
      </c>
      <c r="H153" s="436">
        <v>20.644861980978892</v>
      </c>
      <c r="I153" s="436">
        <f t="shared" si="28"/>
        <v>22.906518209232196</v>
      </c>
    </row>
    <row r="154" spans="1:9">
      <c r="A154" s="21" t="str">
        <f t="shared" si="27"/>
        <v>South Lanarkshire2023</v>
      </c>
      <c r="B154" s="441">
        <v>2023</v>
      </c>
      <c r="C154" s="434" t="s">
        <v>42</v>
      </c>
      <c r="D154" s="435">
        <v>55700</v>
      </c>
      <c r="E154" s="435">
        <v>12310</v>
      </c>
      <c r="F154" s="435">
        <v>1200</v>
      </c>
      <c r="G154" s="436">
        <v>2.1543985637342908</v>
      </c>
      <c r="H154" s="436">
        <v>22.100538599640934</v>
      </c>
      <c r="I154" s="436">
        <f t="shared" si="28"/>
        <v>24.254937163375224</v>
      </c>
    </row>
    <row r="155" spans="1:9">
      <c r="A155" s="21" t="str">
        <f t="shared" si="27"/>
        <v>Stirling2023</v>
      </c>
      <c r="B155" s="441">
        <v>2023</v>
      </c>
      <c r="C155" s="434" t="s">
        <v>43</v>
      </c>
      <c r="D155" s="435">
        <v>14948</v>
      </c>
      <c r="E155" s="435">
        <v>3410</v>
      </c>
      <c r="F155" s="435">
        <v>500</v>
      </c>
      <c r="G155" s="436">
        <v>3.3449290875033446</v>
      </c>
      <c r="H155" s="436">
        <v>22.812416376772813</v>
      </c>
      <c r="I155" s="436">
        <f t="shared" si="28"/>
        <v>26.157345464276158</v>
      </c>
    </row>
    <row r="156" spans="1:9">
      <c r="A156" s="21" t="str">
        <f t="shared" si="27"/>
        <v>West Dunbartonshire2023</v>
      </c>
      <c r="B156" s="441">
        <v>2023</v>
      </c>
      <c r="C156" s="434" t="s">
        <v>44</v>
      </c>
      <c r="D156" s="435">
        <v>15234</v>
      </c>
      <c r="E156" s="435">
        <v>2640</v>
      </c>
      <c r="F156" s="435">
        <v>150</v>
      </c>
      <c r="G156" s="436">
        <v>0.98463962189838528</v>
      </c>
      <c r="H156" s="436">
        <v>17.329657345411579</v>
      </c>
      <c r="I156" s="436">
        <f t="shared" si="28"/>
        <v>18.314296967309964</v>
      </c>
    </row>
    <row r="157" spans="1:9">
      <c r="A157" s="21" t="str">
        <f t="shared" si="27"/>
        <v>West Lothian2023</v>
      </c>
      <c r="B157" s="441">
        <v>2023</v>
      </c>
      <c r="C157" s="434" t="s">
        <v>45</v>
      </c>
      <c r="D157" s="435">
        <v>35133</v>
      </c>
      <c r="E157" s="435">
        <v>6980</v>
      </c>
      <c r="F157" s="435">
        <v>1190</v>
      </c>
      <c r="G157" s="436">
        <v>3.3871289101414623</v>
      </c>
      <c r="H157" s="436">
        <v>19.867361170409588</v>
      </c>
      <c r="I157" s="436">
        <f t="shared" si="28"/>
        <v>23.254490080551051</v>
      </c>
    </row>
    <row r="158" spans="1:9">
      <c r="A158" s="21" t="str">
        <f t="shared" si="27"/>
        <v>Scotland2023</v>
      </c>
      <c r="B158" s="442">
        <v>2023</v>
      </c>
      <c r="C158" s="437" t="s">
        <v>46</v>
      </c>
      <c r="D158" s="438">
        <v>911522</v>
      </c>
      <c r="E158" s="438">
        <v>199300</v>
      </c>
      <c r="F158" s="438">
        <v>22130</v>
      </c>
      <c r="G158" s="439">
        <v>2.4278075570309881</v>
      </c>
      <c r="H158" s="439">
        <v>21.864529874210387</v>
      </c>
      <c r="I158" s="439">
        <f t="shared" si="28"/>
        <v>24.292337431241375</v>
      </c>
    </row>
  </sheetData>
  <mergeCells count="4">
    <mergeCell ref="B7:E7"/>
    <mergeCell ref="F7:I7"/>
    <mergeCell ref="J7:M7"/>
    <mergeCell ref="N7:Q7"/>
  </mergeCells>
  <conditionalFormatting sqref="A1:XFD1048576">
    <cfRule type="expression" dxfId="88"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3B6E-BA09-4BFC-9283-33BC68CA99AE}">
  <sheetPr>
    <tabColor rgb="FFFFF2CC"/>
    <pageSetUpPr autoPageBreaks="0"/>
  </sheetPr>
  <dimension ref="A1:Q52"/>
  <sheetViews>
    <sheetView zoomScale="60" zoomScaleNormal="60" workbookViewId="0">
      <selection activeCell="T38" sqref="T38"/>
    </sheetView>
  </sheetViews>
  <sheetFormatPr defaultRowHeight="15"/>
  <cols>
    <col min="1" max="1" width="29.140625" customWidth="1"/>
    <col min="2" max="14" width="14.140625" customWidth="1"/>
    <col min="15" max="15" width="17.140625" customWidth="1"/>
    <col min="16" max="17" width="14.140625" customWidth="1"/>
  </cols>
  <sheetData>
    <row r="1" spans="1:17" ht="19.5">
      <c r="A1" s="235" t="s">
        <v>406</v>
      </c>
    </row>
    <row r="7" spans="1:17">
      <c r="A7" t="s">
        <v>7</v>
      </c>
      <c r="B7">
        <v>2020</v>
      </c>
      <c r="F7">
        <v>2021</v>
      </c>
      <c r="J7">
        <v>2022</v>
      </c>
      <c r="N7">
        <v>2023</v>
      </c>
    </row>
    <row r="8" spans="1:17">
      <c r="B8" t="s">
        <v>8</v>
      </c>
      <c r="C8" t="s">
        <v>9</v>
      </c>
      <c r="D8" t="s">
        <v>10</v>
      </c>
      <c r="E8" t="s">
        <v>11</v>
      </c>
      <c r="F8" t="s">
        <v>8</v>
      </c>
      <c r="G8" t="s">
        <v>9</v>
      </c>
      <c r="H8" t="s">
        <v>10</v>
      </c>
      <c r="I8" t="s">
        <v>11</v>
      </c>
      <c r="J8" t="s">
        <v>8</v>
      </c>
      <c r="K8" t="s">
        <v>9</v>
      </c>
      <c r="L8" t="s">
        <v>10</v>
      </c>
      <c r="M8" t="s">
        <v>11</v>
      </c>
      <c r="N8" t="s">
        <v>8</v>
      </c>
      <c r="O8" t="s">
        <v>9</v>
      </c>
      <c r="P8" t="s">
        <v>10</v>
      </c>
      <c r="Q8" t="s">
        <v>11</v>
      </c>
    </row>
    <row r="9" spans="1:17">
      <c r="A9" t="s">
        <v>15</v>
      </c>
      <c r="B9" s="60">
        <v>5378</v>
      </c>
      <c r="C9" s="60">
        <f>B9/(D9/100)</f>
        <v>35381.57894736842</v>
      </c>
      <c r="D9">
        <v>15.2</v>
      </c>
      <c r="F9" s="60">
        <v>4682</v>
      </c>
      <c r="G9" s="60">
        <f>F9/(H9/100)</f>
        <v>35740.458015267177</v>
      </c>
      <c r="H9">
        <v>13.100000000000001</v>
      </c>
      <c r="J9" s="60">
        <v>5893</v>
      </c>
      <c r="K9" s="60">
        <f>J9/(L9/100)</f>
        <v>35932.926829268283</v>
      </c>
      <c r="L9">
        <v>16.400000000000002</v>
      </c>
      <c r="N9" s="60">
        <v>6278</v>
      </c>
      <c r="O9" s="60">
        <f>N9/(P9/100)</f>
        <v>35874.285714285717</v>
      </c>
      <c r="P9" s="345">
        <v>17.5</v>
      </c>
    </row>
    <row r="10" spans="1:17">
      <c r="A10" t="s">
        <v>16</v>
      </c>
      <c r="B10" s="60">
        <v>5275</v>
      </c>
      <c r="C10" s="60">
        <f t="shared" ref="C10:C40" si="0">B10/(D10/100)</f>
        <v>48842.592592592584</v>
      </c>
      <c r="D10">
        <v>10.8</v>
      </c>
      <c r="F10" s="60">
        <v>4667</v>
      </c>
      <c r="G10" s="60">
        <f t="shared" ref="G10:G40" si="1">F10/(H10/100)</f>
        <v>48614.583333333336</v>
      </c>
      <c r="H10">
        <v>9.6</v>
      </c>
      <c r="J10" s="60">
        <v>5884</v>
      </c>
      <c r="K10" s="60">
        <f t="shared" ref="K10:K40" si="2">J10/(L10/100)</f>
        <v>48628.099173553717</v>
      </c>
      <c r="L10">
        <v>12.1</v>
      </c>
      <c r="N10" s="60">
        <v>5964</v>
      </c>
      <c r="O10" s="60">
        <f t="shared" ref="O10:O40" si="3">N10/(P10/100)</f>
        <v>48487.804878048773</v>
      </c>
      <c r="P10" s="345">
        <v>12.3</v>
      </c>
    </row>
    <row r="11" spans="1:17">
      <c r="A11" t="s">
        <v>17</v>
      </c>
      <c r="B11" s="60">
        <v>3468</v>
      </c>
      <c r="C11" s="60">
        <f t="shared" si="0"/>
        <v>19160.220994475141</v>
      </c>
      <c r="D11">
        <v>18.099999999999998</v>
      </c>
      <c r="F11" s="60">
        <v>2950</v>
      </c>
      <c r="G11" s="60">
        <f t="shared" si="1"/>
        <v>18910.25641025641</v>
      </c>
      <c r="H11">
        <v>15.6</v>
      </c>
      <c r="J11" s="60">
        <v>3859</v>
      </c>
      <c r="K11" s="60">
        <f t="shared" si="2"/>
        <v>18642.512077294687</v>
      </c>
      <c r="L11">
        <v>20.7</v>
      </c>
      <c r="N11" s="60">
        <v>3943</v>
      </c>
      <c r="O11" s="60">
        <f t="shared" si="3"/>
        <v>18599.056603773584</v>
      </c>
      <c r="P11" s="345">
        <v>21.2</v>
      </c>
    </row>
    <row r="12" spans="1:17">
      <c r="A12" t="s">
        <v>18</v>
      </c>
      <c r="B12" s="60">
        <v>2181</v>
      </c>
      <c r="C12" s="60">
        <f t="shared" si="0"/>
        <v>12905.325443786982</v>
      </c>
      <c r="D12">
        <v>16.900000000000002</v>
      </c>
      <c r="F12" s="60">
        <v>1725</v>
      </c>
      <c r="G12" s="60">
        <f t="shared" si="1"/>
        <v>12591.240875912408</v>
      </c>
      <c r="H12">
        <v>13.700000000000001</v>
      </c>
      <c r="J12" s="60">
        <v>2236</v>
      </c>
      <c r="K12" s="60">
        <f t="shared" si="2"/>
        <v>12422.222222222223</v>
      </c>
      <c r="L12">
        <v>18</v>
      </c>
      <c r="N12" s="60">
        <v>2430</v>
      </c>
      <c r="O12" s="60">
        <f t="shared" si="3"/>
        <v>12461.538461538461</v>
      </c>
      <c r="P12" s="345">
        <v>19.5</v>
      </c>
    </row>
    <row r="13" spans="1:17">
      <c r="A13" t="s">
        <v>126</v>
      </c>
      <c r="B13" s="60">
        <v>10005</v>
      </c>
      <c r="C13" s="60">
        <f t="shared" si="0"/>
        <v>78779.527559055117</v>
      </c>
      <c r="D13">
        <v>12.7</v>
      </c>
      <c r="F13" s="60">
        <v>9094</v>
      </c>
      <c r="G13" s="60">
        <f t="shared" si="1"/>
        <v>79078.260869565216</v>
      </c>
      <c r="H13">
        <v>11.5</v>
      </c>
      <c r="J13" s="60">
        <v>11393</v>
      </c>
      <c r="K13" s="60">
        <f t="shared" si="2"/>
        <v>78572.413793103449</v>
      </c>
      <c r="L13">
        <v>14.499999999999998</v>
      </c>
      <c r="N13" s="60">
        <v>12160</v>
      </c>
      <c r="O13" s="60">
        <f t="shared" si="3"/>
        <v>78961.038961038968</v>
      </c>
      <c r="P13" s="345">
        <v>15.4</v>
      </c>
    </row>
    <row r="14" spans="1:17">
      <c r="A14" t="s">
        <v>19</v>
      </c>
      <c r="B14" s="60">
        <v>2050</v>
      </c>
      <c r="C14" s="60">
        <f t="shared" si="0"/>
        <v>8951.9650655021833</v>
      </c>
      <c r="D14">
        <v>22.900000000000002</v>
      </c>
      <c r="F14" s="60">
        <v>1638</v>
      </c>
      <c r="G14" s="60">
        <f t="shared" si="1"/>
        <v>8902.173913043478</v>
      </c>
      <c r="H14">
        <v>18.399999999999999</v>
      </c>
      <c r="J14" s="60">
        <v>2264</v>
      </c>
      <c r="K14" s="60">
        <f t="shared" si="2"/>
        <v>8878.4313725490192</v>
      </c>
      <c r="L14">
        <v>25.5</v>
      </c>
      <c r="N14" s="60">
        <v>2423</v>
      </c>
      <c r="O14" s="60">
        <f t="shared" si="3"/>
        <v>8875.4578754578743</v>
      </c>
      <c r="P14" s="345">
        <v>27.3</v>
      </c>
    </row>
    <row r="15" spans="1:17">
      <c r="A15" t="s">
        <v>20</v>
      </c>
      <c r="B15" s="60">
        <v>5185</v>
      </c>
      <c r="C15" s="60">
        <f t="shared" si="0"/>
        <v>23251.121076233183</v>
      </c>
      <c r="D15">
        <v>22.3</v>
      </c>
      <c r="F15" s="60">
        <v>4210</v>
      </c>
      <c r="G15" s="60">
        <f t="shared" si="1"/>
        <v>23005.464480874318</v>
      </c>
      <c r="H15">
        <v>18.3</v>
      </c>
      <c r="J15" s="60">
        <v>5336</v>
      </c>
      <c r="K15" s="60">
        <f t="shared" si="2"/>
        <v>22901.287553648068</v>
      </c>
      <c r="L15">
        <v>23.3</v>
      </c>
      <c r="N15" s="60">
        <v>5622</v>
      </c>
      <c r="O15" s="60">
        <f t="shared" si="3"/>
        <v>22853.658536585364</v>
      </c>
      <c r="P15" s="345">
        <v>24.6</v>
      </c>
    </row>
    <row r="16" spans="1:17">
      <c r="A16" t="s">
        <v>21</v>
      </c>
      <c r="B16" s="60">
        <v>5224</v>
      </c>
      <c r="C16" s="60">
        <f t="shared" si="0"/>
        <v>24073.732718894011</v>
      </c>
      <c r="D16">
        <v>21.7</v>
      </c>
      <c r="F16" s="60">
        <v>4261</v>
      </c>
      <c r="G16" s="60">
        <f t="shared" si="1"/>
        <v>23938.20224719101</v>
      </c>
      <c r="H16">
        <v>17.8</v>
      </c>
      <c r="J16" s="60">
        <v>5850</v>
      </c>
      <c r="K16" s="60">
        <f t="shared" si="2"/>
        <v>23684.21052631579</v>
      </c>
      <c r="L16">
        <v>24.7</v>
      </c>
      <c r="N16" s="60">
        <v>6116</v>
      </c>
      <c r="O16" s="60">
        <f t="shared" si="3"/>
        <v>23705.426356589145</v>
      </c>
      <c r="P16" s="345">
        <v>25.8</v>
      </c>
    </row>
    <row r="17" spans="1:16">
      <c r="A17" t="s">
        <v>22</v>
      </c>
      <c r="B17" s="60">
        <v>4902</v>
      </c>
      <c r="C17" s="60">
        <f t="shared" si="0"/>
        <v>21038.626609442061</v>
      </c>
      <c r="D17">
        <v>23.3</v>
      </c>
      <c r="F17" s="60">
        <v>4136</v>
      </c>
      <c r="G17" s="60">
        <f t="shared" si="1"/>
        <v>20888.888888888887</v>
      </c>
      <c r="H17">
        <v>19.8</v>
      </c>
      <c r="J17" s="60">
        <v>5295</v>
      </c>
      <c r="K17" s="60">
        <f t="shared" si="2"/>
        <v>20764.705882352941</v>
      </c>
      <c r="L17">
        <v>25.5</v>
      </c>
      <c r="N17" s="60">
        <v>5429</v>
      </c>
      <c r="O17" s="60">
        <f t="shared" si="3"/>
        <v>20800.766283524903</v>
      </c>
      <c r="P17" s="345">
        <v>26.1</v>
      </c>
    </row>
    <row r="18" spans="1:16">
      <c r="A18" t="s">
        <v>23</v>
      </c>
      <c r="B18" s="60">
        <v>1996</v>
      </c>
      <c r="C18" s="60">
        <f t="shared" si="0"/>
        <v>19378.640776699031</v>
      </c>
      <c r="D18">
        <v>10.299999999999999</v>
      </c>
      <c r="F18" s="60">
        <v>1605</v>
      </c>
      <c r="G18" s="60">
        <f t="shared" si="1"/>
        <v>19573.170731707312</v>
      </c>
      <c r="H18">
        <v>8.2000000000000011</v>
      </c>
      <c r="J18" s="60">
        <v>2158</v>
      </c>
      <c r="K18" s="60">
        <f t="shared" si="2"/>
        <v>19441.441441441442</v>
      </c>
      <c r="L18">
        <v>11.1</v>
      </c>
      <c r="N18" s="60">
        <v>2248</v>
      </c>
      <c r="O18" s="60">
        <f t="shared" si="3"/>
        <v>19547.82608695652</v>
      </c>
      <c r="P18" s="345">
        <v>11.5</v>
      </c>
    </row>
    <row r="19" spans="1:16">
      <c r="A19" t="s">
        <v>24</v>
      </c>
      <c r="B19" s="60">
        <v>3015</v>
      </c>
      <c r="C19" s="60">
        <f t="shared" si="0"/>
        <v>19705.882352941178</v>
      </c>
      <c r="D19">
        <v>15.299999999999999</v>
      </c>
      <c r="F19" s="60">
        <v>2448</v>
      </c>
      <c r="G19" s="60">
        <f t="shared" si="1"/>
        <v>19741.93548387097</v>
      </c>
      <c r="H19">
        <v>12.4</v>
      </c>
      <c r="J19" s="60">
        <v>3152</v>
      </c>
      <c r="K19" s="60">
        <f t="shared" si="2"/>
        <v>19823.899371069183</v>
      </c>
      <c r="L19">
        <v>15.9</v>
      </c>
      <c r="N19" s="60">
        <v>3224</v>
      </c>
      <c r="O19" s="60">
        <f t="shared" si="3"/>
        <v>19779.141104294478</v>
      </c>
      <c r="P19" s="345">
        <v>16.3</v>
      </c>
    </row>
    <row r="20" spans="1:16">
      <c r="A20" t="s">
        <v>25</v>
      </c>
      <c r="B20" s="60">
        <v>2039</v>
      </c>
      <c r="C20" s="60">
        <f t="shared" si="0"/>
        <v>19605.76923076923</v>
      </c>
      <c r="D20">
        <v>10.4</v>
      </c>
      <c r="F20" s="60">
        <v>1769</v>
      </c>
      <c r="G20" s="60">
        <f t="shared" si="1"/>
        <v>19655.555555555555</v>
      </c>
      <c r="H20">
        <v>9</v>
      </c>
      <c r="J20" s="60">
        <v>2109</v>
      </c>
      <c r="K20" s="60">
        <f t="shared" si="2"/>
        <v>19710.280373831774</v>
      </c>
      <c r="L20">
        <v>10.7</v>
      </c>
      <c r="N20" s="60">
        <v>2021</v>
      </c>
      <c r="O20" s="60">
        <f t="shared" si="3"/>
        <v>19621.359223300973</v>
      </c>
      <c r="P20" s="345">
        <v>10.299999999999999</v>
      </c>
    </row>
    <row r="21" spans="1:16">
      <c r="A21" t="s">
        <v>26</v>
      </c>
      <c r="B21" s="60">
        <v>5395</v>
      </c>
      <c r="C21" s="60">
        <f t="shared" si="0"/>
        <v>28098.958333333332</v>
      </c>
      <c r="D21">
        <v>19.2</v>
      </c>
      <c r="F21" s="60">
        <v>4496</v>
      </c>
      <c r="G21" s="60">
        <f t="shared" si="1"/>
        <v>27925.465838509317</v>
      </c>
      <c r="H21">
        <v>16.100000000000001</v>
      </c>
      <c r="J21" s="60">
        <v>6036</v>
      </c>
      <c r="K21" s="60">
        <f t="shared" si="2"/>
        <v>27561.643835616444</v>
      </c>
      <c r="L21">
        <v>21.9</v>
      </c>
      <c r="N21" s="60">
        <v>6247</v>
      </c>
      <c r="O21" s="60">
        <f t="shared" si="3"/>
        <v>27519.823788546259</v>
      </c>
      <c r="P21" s="345">
        <v>22.7</v>
      </c>
    </row>
    <row r="22" spans="1:16">
      <c r="A22" t="s">
        <v>27</v>
      </c>
      <c r="B22" s="60">
        <v>13758</v>
      </c>
      <c r="C22" s="60">
        <f t="shared" si="0"/>
        <v>64591.549295774646</v>
      </c>
      <c r="D22">
        <v>21.3</v>
      </c>
      <c r="F22" s="60">
        <v>11139</v>
      </c>
      <c r="G22" s="60">
        <f t="shared" si="1"/>
        <v>64017.241379310348</v>
      </c>
      <c r="H22">
        <v>17.399999999999999</v>
      </c>
      <c r="J22" s="60">
        <v>14881</v>
      </c>
      <c r="K22" s="60">
        <f t="shared" si="2"/>
        <v>63594.017094017094</v>
      </c>
      <c r="L22">
        <v>23.400000000000002</v>
      </c>
      <c r="N22" s="60">
        <v>15024</v>
      </c>
      <c r="O22" s="60">
        <f t="shared" si="3"/>
        <v>63661.016949152545</v>
      </c>
      <c r="P22" s="345">
        <v>23.599999999999998</v>
      </c>
    </row>
    <row r="23" spans="1:16">
      <c r="A23" t="s">
        <v>28</v>
      </c>
      <c r="B23" s="60">
        <v>29801</v>
      </c>
      <c r="C23" s="60">
        <f t="shared" si="0"/>
        <v>100679.05405405405</v>
      </c>
      <c r="D23">
        <v>29.599999999999998</v>
      </c>
      <c r="F23" s="60">
        <v>25099</v>
      </c>
      <c r="G23" s="60">
        <f t="shared" si="1"/>
        <v>100396</v>
      </c>
      <c r="H23">
        <v>25</v>
      </c>
      <c r="J23" s="60">
        <v>32059</v>
      </c>
      <c r="K23" s="60">
        <f t="shared" si="2"/>
        <v>99872.274143302173</v>
      </c>
      <c r="L23">
        <v>32.1</v>
      </c>
      <c r="N23" s="60">
        <v>33508</v>
      </c>
      <c r="O23" s="60">
        <f t="shared" si="3"/>
        <v>100023.88059701493</v>
      </c>
      <c r="P23" s="345">
        <v>33.5</v>
      </c>
    </row>
    <row r="24" spans="1:16">
      <c r="A24" t="s">
        <v>29</v>
      </c>
      <c r="B24" s="60">
        <v>6631</v>
      </c>
      <c r="C24" s="60">
        <f t="shared" si="0"/>
        <v>39005.882352941175</v>
      </c>
      <c r="D24">
        <v>17</v>
      </c>
      <c r="F24" s="60">
        <v>5778</v>
      </c>
      <c r="G24" s="60">
        <f t="shared" si="1"/>
        <v>38520</v>
      </c>
      <c r="H24">
        <v>15</v>
      </c>
      <c r="J24" s="60">
        <v>7174</v>
      </c>
      <c r="K24" s="60">
        <f t="shared" si="2"/>
        <v>38159.574468085106</v>
      </c>
      <c r="L24">
        <v>18.8</v>
      </c>
      <c r="N24" s="60">
        <v>7355</v>
      </c>
      <c r="O24" s="60">
        <f t="shared" si="3"/>
        <v>38108.808290155437</v>
      </c>
      <c r="P24" s="345">
        <v>19.3</v>
      </c>
    </row>
    <row r="25" spans="1:16">
      <c r="A25" t="s">
        <v>30</v>
      </c>
      <c r="B25" s="60">
        <v>2221</v>
      </c>
      <c r="C25" s="60">
        <f t="shared" si="0"/>
        <v>12619.318181818182</v>
      </c>
      <c r="D25">
        <v>17.599999999999998</v>
      </c>
      <c r="F25" s="60">
        <v>1701</v>
      </c>
      <c r="G25" s="60">
        <f t="shared" si="1"/>
        <v>12416.058394160584</v>
      </c>
      <c r="H25">
        <v>13.700000000000001</v>
      </c>
      <c r="J25" s="60">
        <v>2616</v>
      </c>
      <c r="K25" s="60">
        <f t="shared" si="2"/>
        <v>12224.299065420561</v>
      </c>
      <c r="L25">
        <v>21.4</v>
      </c>
      <c r="N25" s="60">
        <v>2821</v>
      </c>
      <c r="O25" s="60">
        <f t="shared" si="3"/>
        <v>12212.121212121212</v>
      </c>
      <c r="P25" s="345">
        <v>23.1</v>
      </c>
    </row>
    <row r="26" spans="1:16">
      <c r="A26" t="s">
        <v>31</v>
      </c>
      <c r="B26" s="60">
        <v>2782</v>
      </c>
      <c r="C26" s="60">
        <f t="shared" si="0"/>
        <v>17948.387096774193</v>
      </c>
      <c r="D26">
        <v>15.5</v>
      </c>
      <c r="F26" s="60">
        <v>2441</v>
      </c>
      <c r="G26" s="60">
        <f t="shared" si="1"/>
        <v>18081.481481481482</v>
      </c>
      <c r="H26">
        <v>13.5</v>
      </c>
      <c r="J26" s="60">
        <v>3205</v>
      </c>
      <c r="K26" s="60">
        <f t="shared" si="2"/>
        <v>18314.285714285714</v>
      </c>
      <c r="L26">
        <v>17.5</v>
      </c>
      <c r="N26" s="60">
        <v>3335</v>
      </c>
      <c r="O26" s="60">
        <f t="shared" si="3"/>
        <v>18324.175824175825</v>
      </c>
      <c r="P26" s="345">
        <v>18.2</v>
      </c>
    </row>
    <row r="27" spans="1:16">
      <c r="A27" t="s">
        <v>32</v>
      </c>
      <c r="B27" s="60">
        <v>2748</v>
      </c>
      <c r="C27" s="60">
        <f t="shared" si="0"/>
        <v>16164.705882352941</v>
      </c>
      <c r="D27">
        <v>17</v>
      </c>
      <c r="F27" s="60">
        <v>2548</v>
      </c>
      <c r="G27" s="60">
        <f t="shared" si="1"/>
        <v>16025.157232704401</v>
      </c>
      <c r="H27">
        <v>15.9</v>
      </c>
      <c r="J27" s="60">
        <v>3251</v>
      </c>
      <c r="K27" s="60">
        <f t="shared" si="2"/>
        <v>15936.274509803923</v>
      </c>
      <c r="L27">
        <v>20.399999999999999</v>
      </c>
      <c r="N27" s="60">
        <v>3205</v>
      </c>
      <c r="O27" s="60">
        <f t="shared" si="3"/>
        <v>15945.273631840795</v>
      </c>
      <c r="P27" s="345">
        <v>20.100000000000001</v>
      </c>
    </row>
    <row r="28" spans="1:16">
      <c r="A28" t="s">
        <v>33</v>
      </c>
      <c r="B28" s="60">
        <v>602</v>
      </c>
      <c r="C28" s="60">
        <f t="shared" si="0"/>
        <v>4239.4366197183099</v>
      </c>
      <c r="D28">
        <v>14.2</v>
      </c>
      <c r="F28" s="60">
        <v>492</v>
      </c>
      <c r="G28" s="60">
        <f t="shared" si="1"/>
        <v>4134.4537815126059</v>
      </c>
      <c r="H28">
        <v>11.899999999999999</v>
      </c>
      <c r="J28" s="60">
        <v>593</v>
      </c>
      <c r="K28" s="60">
        <f t="shared" si="2"/>
        <v>4061.6438356164385</v>
      </c>
      <c r="L28">
        <v>14.6</v>
      </c>
      <c r="N28" s="60">
        <v>582</v>
      </c>
      <c r="O28" s="60">
        <f t="shared" si="3"/>
        <v>4069.9300699300702</v>
      </c>
      <c r="P28" s="345">
        <v>14.299999999999999</v>
      </c>
    </row>
    <row r="29" spans="1:16">
      <c r="A29" t="s">
        <v>34</v>
      </c>
      <c r="B29" s="60">
        <v>5643</v>
      </c>
      <c r="C29" s="60">
        <f t="shared" si="0"/>
        <v>22482.071713147412</v>
      </c>
      <c r="D29">
        <v>25.1</v>
      </c>
      <c r="F29" s="60">
        <v>4659</v>
      </c>
      <c r="G29" s="60">
        <f t="shared" si="1"/>
        <v>22291.866028708137</v>
      </c>
      <c r="H29">
        <v>20.9</v>
      </c>
      <c r="J29" s="60">
        <v>6307</v>
      </c>
      <c r="K29" s="60">
        <f t="shared" si="2"/>
        <v>21899.305555555558</v>
      </c>
      <c r="L29">
        <v>28.799999999999997</v>
      </c>
      <c r="N29" s="60">
        <v>6234</v>
      </c>
      <c r="O29" s="60">
        <f t="shared" si="3"/>
        <v>21873.684210526317</v>
      </c>
      <c r="P29" s="345">
        <v>28.499999999999996</v>
      </c>
    </row>
    <row r="30" spans="1:16">
      <c r="A30" t="s">
        <v>35</v>
      </c>
      <c r="B30" s="60">
        <v>13985</v>
      </c>
      <c r="C30" s="60">
        <f t="shared" si="0"/>
        <v>62713.004484304933</v>
      </c>
      <c r="D30">
        <v>22.3</v>
      </c>
      <c r="F30" s="60">
        <v>11757</v>
      </c>
      <c r="G30" s="60">
        <f t="shared" si="1"/>
        <v>62206.349206349216</v>
      </c>
      <c r="H30">
        <v>18.899999999999999</v>
      </c>
      <c r="J30" s="60">
        <v>14859</v>
      </c>
      <c r="K30" s="60">
        <f t="shared" si="2"/>
        <v>61655.601659751039</v>
      </c>
      <c r="L30">
        <v>24.099999999999998</v>
      </c>
      <c r="N30" s="60">
        <v>14867</v>
      </c>
      <c r="O30" s="60">
        <f t="shared" si="3"/>
        <v>61688.79668049793</v>
      </c>
      <c r="P30" s="345">
        <v>24.099999999999998</v>
      </c>
    </row>
    <row r="31" spans="1:16">
      <c r="A31" t="s">
        <v>36</v>
      </c>
      <c r="B31" s="60">
        <v>547</v>
      </c>
      <c r="C31" s="60">
        <f t="shared" si="0"/>
        <v>3575.1633986928105</v>
      </c>
      <c r="D31">
        <v>15.299999999999999</v>
      </c>
      <c r="F31" s="60">
        <v>459</v>
      </c>
      <c r="G31" s="60">
        <f t="shared" si="1"/>
        <v>3558.1395348837209</v>
      </c>
      <c r="H31">
        <v>12.9</v>
      </c>
      <c r="J31" s="60">
        <v>563</v>
      </c>
      <c r="K31" s="60">
        <f t="shared" si="2"/>
        <v>3563.2911392405063</v>
      </c>
      <c r="L31">
        <v>15.8</v>
      </c>
      <c r="N31" s="60">
        <v>536</v>
      </c>
      <c r="O31" s="60">
        <f t="shared" si="3"/>
        <v>3549.6688741721855</v>
      </c>
      <c r="P31" s="345">
        <v>15.1</v>
      </c>
    </row>
    <row r="32" spans="1:16">
      <c r="A32" t="s">
        <v>37</v>
      </c>
      <c r="B32" s="60">
        <v>3981</v>
      </c>
      <c r="C32" s="60">
        <f t="shared" si="0"/>
        <v>24423.312883435581</v>
      </c>
      <c r="D32">
        <v>16.3</v>
      </c>
      <c r="F32" s="60">
        <v>3275</v>
      </c>
      <c r="G32" s="60">
        <f t="shared" si="1"/>
        <v>24259.259259259259</v>
      </c>
      <c r="H32">
        <v>13.5</v>
      </c>
      <c r="J32" s="60">
        <v>4291</v>
      </c>
      <c r="K32" s="60">
        <f t="shared" si="2"/>
        <v>24242.937853107345</v>
      </c>
      <c r="L32">
        <v>17.7</v>
      </c>
      <c r="N32" s="60">
        <v>4274</v>
      </c>
      <c r="O32" s="60">
        <f t="shared" si="3"/>
        <v>24284.090909090912</v>
      </c>
      <c r="P32" s="345">
        <v>17.599999999999998</v>
      </c>
    </row>
    <row r="33" spans="1:17">
      <c r="A33" t="s">
        <v>38</v>
      </c>
      <c r="B33" s="60">
        <v>5446</v>
      </c>
      <c r="C33" s="60">
        <f t="shared" si="0"/>
        <v>30255.555555555558</v>
      </c>
      <c r="D33">
        <v>18</v>
      </c>
      <c r="F33" s="60">
        <v>4461</v>
      </c>
      <c r="G33" s="60">
        <f t="shared" si="1"/>
        <v>30141.891891891893</v>
      </c>
      <c r="H33">
        <v>14.799999999999999</v>
      </c>
      <c r="J33" s="60">
        <v>5973</v>
      </c>
      <c r="K33" s="60">
        <f t="shared" si="2"/>
        <v>29716.417910447759</v>
      </c>
      <c r="L33">
        <v>20.100000000000001</v>
      </c>
      <c r="N33" s="60">
        <v>6068</v>
      </c>
      <c r="O33" s="60">
        <f t="shared" si="3"/>
        <v>29745.098039215689</v>
      </c>
      <c r="P33" s="345">
        <v>20.399999999999999</v>
      </c>
    </row>
    <row r="34" spans="1:17">
      <c r="A34" t="s">
        <v>39</v>
      </c>
      <c r="B34" s="60">
        <v>3436</v>
      </c>
      <c r="C34" s="60">
        <f t="shared" si="0"/>
        <v>18983.425414364643</v>
      </c>
      <c r="D34">
        <v>18.099999999999998</v>
      </c>
      <c r="F34" s="60">
        <v>2740</v>
      </c>
      <c r="G34" s="60">
        <f t="shared" si="1"/>
        <v>18767.123287671235</v>
      </c>
      <c r="H34">
        <v>14.6</v>
      </c>
      <c r="J34" s="60">
        <v>3642</v>
      </c>
      <c r="K34" s="60">
        <f t="shared" si="2"/>
        <v>18676.923076923078</v>
      </c>
      <c r="L34">
        <v>19.5</v>
      </c>
      <c r="N34" s="60">
        <v>3690</v>
      </c>
      <c r="O34" s="60">
        <f t="shared" si="3"/>
        <v>18730.964467005077</v>
      </c>
      <c r="P34" s="345">
        <v>19.7</v>
      </c>
    </row>
    <row r="35" spans="1:17">
      <c r="A35" t="s">
        <v>40</v>
      </c>
      <c r="B35" s="60">
        <v>420</v>
      </c>
      <c r="C35" s="60">
        <f t="shared" si="0"/>
        <v>4200</v>
      </c>
      <c r="D35">
        <v>10</v>
      </c>
      <c r="F35" s="60">
        <v>540</v>
      </c>
      <c r="G35" s="60">
        <f t="shared" si="1"/>
        <v>4153.8461538461534</v>
      </c>
      <c r="H35">
        <v>13</v>
      </c>
      <c r="J35" s="60">
        <v>483</v>
      </c>
      <c r="K35" s="60">
        <f t="shared" si="2"/>
        <v>4093.2203389830511</v>
      </c>
      <c r="L35">
        <v>11.799999999999999</v>
      </c>
      <c r="N35" s="60">
        <v>506</v>
      </c>
      <c r="O35" s="60">
        <f t="shared" si="3"/>
        <v>4113.8211382113814</v>
      </c>
      <c r="P35" s="345">
        <v>12.3</v>
      </c>
    </row>
    <row r="36" spans="1:17">
      <c r="A36" t="s">
        <v>41</v>
      </c>
      <c r="B36" s="60">
        <v>3458</v>
      </c>
      <c r="C36" s="60">
        <f t="shared" si="0"/>
        <v>17642.857142857141</v>
      </c>
      <c r="D36">
        <v>19.600000000000001</v>
      </c>
      <c r="F36" s="60">
        <v>2799</v>
      </c>
      <c r="G36" s="60">
        <f t="shared" si="1"/>
        <v>17385.093167701863</v>
      </c>
      <c r="H36">
        <v>16.100000000000001</v>
      </c>
      <c r="J36" s="60">
        <v>3715</v>
      </c>
      <c r="K36" s="60">
        <f t="shared" si="2"/>
        <v>17279.069767441862</v>
      </c>
      <c r="L36">
        <v>21.5</v>
      </c>
      <c r="N36" s="60">
        <v>3774</v>
      </c>
      <c r="O36" s="60">
        <f t="shared" si="3"/>
        <v>17232.876712328769</v>
      </c>
      <c r="P36" s="345">
        <v>21.9</v>
      </c>
    </row>
    <row r="37" spans="1:17">
      <c r="A37" t="s">
        <v>42</v>
      </c>
      <c r="B37" s="60">
        <v>9828</v>
      </c>
      <c r="C37" s="60">
        <f t="shared" si="0"/>
        <v>55525.423728813563</v>
      </c>
      <c r="D37">
        <v>17.7</v>
      </c>
      <c r="F37" s="60">
        <v>8323</v>
      </c>
      <c r="G37" s="60">
        <f t="shared" si="1"/>
        <v>55486.666666666672</v>
      </c>
      <c r="H37">
        <v>15</v>
      </c>
      <c r="J37" s="60">
        <v>10833</v>
      </c>
      <c r="K37" s="60">
        <f t="shared" si="2"/>
        <v>55840.206185567004</v>
      </c>
      <c r="L37">
        <v>19.400000000000002</v>
      </c>
      <c r="N37" s="60">
        <v>11088</v>
      </c>
      <c r="O37" s="60">
        <f t="shared" si="3"/>
        <v>55718.592964824114</v>
      </c>
      <c r="P37" s="345">
        <v>19.900000000000002</v>
      </c>
    </row>
    <row r="38" spans="1:17">
      <c r="A38" t="s">
        <v>43</v>
      </c>
      <c r="B38" s="60">
        <v>2402</v>
      </c>
      <c r="C38" s="60">
        <f t="shared" si="0"/>
        <v>15397.435897435897</v>
      </c>
      <c r="D38">
        <v>15.6</v>
      </c>
      <c r="F38" s="60">
        <v>1982</v>
      </c>
      <c r="G38" s="60">
        <f t="shared" si="1"/>
        <v>15129.770992366412</v>
      </c>
      <c r="H38">
        <v>13.100000000000001</v>
      </c>
      <c r="J38" s="60">
        <v>2468</v>
      </c>
      <c r="K38" s="60">
        <f t="shared" si="2"/>
        <v>14957.575757575756</v>
      </c>
      <c r="L38">
        <v>16.5</v>
      </c>
      <c r="N38" s="60">
        <v>2458</v>
      </c>
      <c r="O38" s="60">
        <f t="shared" si="3"/>
        <v>14987.804878048777</v>
      </c>
      <c r="P38" s="345">
        <v>16.400000000000002</v>
      </c>
    </row>
    <row r="39" spans="1:17">
      <c r="A39" t="s">
        <v>44</v>
      </c>
      <c r="B39" s="60">
        <v>3582</v>
      </c>
      <c r="C39" s="60">
        <f t="shared" si="0"/>
        <v>15641.921397379912</v>
      </c>
      <c r="D39">
        <v>22.900000000000002</v>
      </c>
      <c r="F39" s="60">
        <v>2934</v>
      </c>
      <c r="G39" s="60">
        <f t="shared" si="1"/>
        <v>15523.809523809527</v>
      </c>
      <c r="H39">
        <v>18.899999999999999</v>
      </c>
      <c r="J39" s="60">
        <v>3900</v>
      </c>
      <c r="K39" s="60">
        <f t="shared" si="2"/>
        <v>15234.375</v>
      </c>
      <c r="L39">
        <v>25.6</v>
      </c>
      <c r="N39" s="60">
        <v>3900</v>
      </c>
      <c r="O39" s="60">
        <f t="shared" si="3"/>
        <v>15234.375</v>
      </c>
      <c r="P39" s="345">
        <v>25.6</v>
      </c>
    </row>
    <row r="40" spans="1:17">
      <c r="A40" t="s">
        <v>45</v>
      </c>
      <c r="B40" s="60">
        <v>6468</v>
      </c>
      <c r="C40" s="60">
        <f t="shared" si="0"/>
        <v>35538.461538461539</v>
      </c>
      <c r="D40">
        <v>18.2</v>
      </c>
      <c r="F40" s="60">
        <v>5483</v>
      </c>
      <c r="G40" s="60">
        <f t="shared" si="1"/>
        <v>35147.435897435898</v>
      </c>
      <c r="H40">
        <v>15.6</v>
      </c>
      <c r="J40" s="60">
        <v>7008</v>
      </c>
      <c r="K40" s="60">
        <f t="shared" si="2"/>
        <v>35216.080402010048</v>
      </c>
      <c r="L40">
        <v>19.900000000000002</v>
      </c>
      <c r="N40" s="60">
        <v>7266</v>
      </c>
      <c r="O40" s="60">
        <f t="shared" si="3"/>
        <v>35101.44927536232</v>
      </c>
      <c r="P40" s="345">
        <v>20.7</v>
      </c>
    </row>
    <row r="41" spans="1:17">
      <c r="B41" s="60"/>
      <c r="C41" s="60"/>
      <c r="F41" s="60"/>
      <c r="G41" s="60"/>
      <c r="J41" s="60"/>
      <c r="K41" s="60"/>
      <c r="N41" s="60"/>
    </row>
    <row r="42" spans="1:17">
      <c r="A42" t="s">
        <v>46</v>
      </c>
      <c r="B42" s="60">
        <f>SUM(B$9:B$40)</f>
        <v>173852</v>
      </c>
      <c r="C42" s="60">
        <f>SUM(C$9:C$40)</f>
        <v>920800.90833897504</v>
      </c>
      <c r="D42" s="12">
        <f>(B42/C42)*100</f>
        <v>18.880520037019746</v>
      </c>
      <c r="F42" s="60">
        <f>SUM(F$9:F$40)</f>
        <v>146291</v>
      </c>
      <c r="G42" s="60">
        <f>SUM(G$9:G$40)</f>
        <v>916207.30052373477</v>
      </c>
      <c r="H42" s="12">
        <f>(F42/G42)*100</f>
        <v>15.967019681722155</v>
      </c>
      <c r="J42" s="60">
        <f>SUM(J$9:J$40)</f>
        <v>189286</v>
      </c>
      <c r="K42" s="60">
        <f>SUM(K$9:K$40)</f>
        <v>911501.44792940083</v>
      </c>
      <c r="L42" s="12">
        <f>(J42/K42)*100</f>
        <v>20.766395975561949</v>
      </c>
      <c r="N42" s="60">
        <f>SUM(N$9:N$40)</f>
        <v>194596</v>
      </c>
      <c r="O42" s="60">
        <f>SUM(O$9:O$40)</f>
        <v>911693.61359761539</v>
      </c>
      <c r="P42" s="12">
        <f>(N42/O42)*100</f>
        <v>21.344451370248031</v>
      </c>
    </row>
    <row r="43" spans="1:17">
      <c r="A43" t="s">
        <v>47</v>
      </c>
      <c r="B43" s="60">
        <v>2455064</v>
      </c>
      <c r="C43" s="60">
        <f t="shared" ref="C43" si="4">B43/(D43/100)</f>
        <v>12720538.860103626</v>
      </c>
      <c r="D43">
        <v>19.3</v>
      </c>
      <c r="F43" s="60">
        <v>2384106</v>
      </c>
      <c r="G43" s="60">
        <f t="shared" ref="G43" si="5">F43/(H43/100)</f>
        <v>12749229.946524065</v>
      </c>
      <c r="H43">
        <v>18.7</v>
      </c>
      <c r="J43" s="60">
        <v>2473462</v>
      </c>
      <c r="K43" s="60">
        <f t="shared" ref="K43" si="6">J43/(L43/100)</f>
        <v>12305781.094527362</v>
      </c>
      <c r="L43">
        <v>20.100000000000001</v>
      </c>
      <c r="N43" s="60">
        <v>2480507</v>
      </c>
      <c r="O43" s="60">
        <f t="shared" ref="O43" si="7">N43/(P43/100)</f>
        <v>12340830.845771143</v>
      </c>
      <c r="P43" s="345">
        <v>20.100000000000001</v>
      </c>
    </row>
    <row r="44" spans="1:17">
      <c r="A44" t="s">
        <v>156</v>
      </c>
      <c r="B44" s="287" cm="1">
        <f t="array" ref="B44">SUM(SUMIFS(B$9:B$41,$A$9:$A$41,{"Aberdeen City","Aberdeenshire"}))</f>
        <v>10653</v>
      </c>
      <c r="C44" s="287" cm="1">
        <f t="array" ref="C44">SUM(SUMIFS(C$9:C$41,$A$9:$A$41,{"Aberdeen City","Aberdeenshire"}))</f>
        <v>84224.171539961011</v>
      </c>
      <c r="D44" s="320">
        <f t="shared" ref="D44:D52" si="8">SUM(B44/C44)*100</f>
        <v>12.648387992686372</v>
      </c>
      <c r="E44" s="15"/>
      <c r="F44" s="287" cm="1">
        <f t="array" ref="F44">SUM(SUMIFS(F$9:F$41,$A$9:$A$41,{"Aberdeen City","Aberdeenshire"}))</f>
        <v>9349</v>
      </c>
      <c r="G44" s="287" cm="1">
        <f t="array" ref="G44">SUM(SUMIFS(G$9:G$41,$A$9:$A$41,{"Aberdeen City","Aberdeenshire"}))</f>
        <v>84355.041348600513</v>
      </c>
      <c r="H44" s="286">
        <f t="shared" ref="H44:H52" si="9">SUM(F44/G44)*100</f>
        <v>11.082917927056537</v>
      </c>
      <c r="I44" s="15"/>
      <c r="J44" s="287" cm="1">
        <f t="array" ref="J44">SUM(SUMIFS(J$9:J$41,$A$9:$A$41,{"Aberdeen City","Aberdeenshire"}))</f>
        <v>11777</v>
      </c>
      <c r="K44" s="287" cm="1">
        <f t="array" ref="K44">SUM(SUMIFS(K$9:K$41,$A$9:$A$41,{"Aberdeen City","Aberdeenshire"}))</f>
        <v>84561.026002822007</v>
      </c>
      <c r="L44" s="286">
        <f t="shared" ref="L44:L52" si="10">SUM(J44/K44)*100</f>
        <v>13.927219851385168</v>
      </c>
      <c r="M44" s="15"/>
      <c r="N44" s="287" cm="1">
        <f t="array" ref="N44">SUM(SUMIFS(N$9:N$41,$A$9:$A$41,{"Aberdeen City","Aberdeenshire"}))</f>
        <v>12242</v>
      </c>
      <c r="O44" s="287" cm="1">
        <f t="array" ref="O44">SUM(SUMIFS(O$9:O$40,$A$9:$A$40,{"Aberdeen City","Aberdeenshire"}))</f>
        <v>84362.090592334484</v>
      </c>
      <c r="P44" s="286">
        <f>SUM(N44/O44)*100</f>
        <v>14.511257265016573</v>
      </c>
    </row>
    <row r="45" spans="1:17">
      <c r="A45" s="10" t="s">
        <v>359</v>
      </c>
      <c r="B45" s="285" cm="1">
        <f t="array" ref="B45">SUM(SUMIFS(B$9:B$41,$A$9:$A$41,{"Falkirk","Stirling","Clackmannanshire"}))</f>
        <v>9847</v>
      </c>
      <c r="C45" s="285" cm="1">
        <f t="array" ref="C45">SUM(SUMIFS(C$9:C$41,$A$9:$A$41,{"Falkirk","Stirling","Clackmannanshire"}))</f>
        <v>52448.35929627141</v>
      </c>
      <c r="D45" s="288">
        <f t="shared" ref="D45" si="11">SUM(B45/C45)*100</f>
        <v>18.774657838915527</v>
      </c>
      <c r="E45" s="7"/>
      <c r="F45" s="285" cm="1">
        <f t="array" ref="F45">SUM(SUMIFS(F$9:F$41,$A$9:$A$41,{"Falkirk","Stirling","Clackmannanshire"}))</f>
        <v>8116</v>
      </c>
      <c r="G45" s="285" cm="1">
        <f t="array" ref="G45">SUM(SUMIFS(G$9:G$41,$A$9:$A$41,{"Falkirk","Stirling","Clackmannanshire"}))</f>
        <v>51957.410743919208</v>
      </c>
      <c r="H45" s="288">
        <f t="shared" ref="H45" si="12">SUM(F45/G45)*100</f>
        <v>15.620485862933132</v>
      </c>
      <c r="I45" s="7"/>
      <c r="J45" s="285" cm="1">
        <f t="array" ref="J45">SUM(SUMIFS(J$9:J$41,$A$9:$A$41,{"Falkirk","Stirling","Clackmannanshire"}))</f>
        <v>10768</v>
      </c>
      <c r="K45" s="285" cm="1">
        <f t="array" ref="K45">SUM(SUMIFS(K$9:K$41,$A$9:$A$41,{"Falkirk","Stirling","Clackmannanshire"}))</f>
        <v>51397.650965741224</v>
      </c>
      <c r="L45" s="288">
        <f t="shared" ref="L45" si="13">SUM(J45/K45)*100</f>
        <v>20.950373796610553</v>
      </c>
      <c r="M45" s="7"/>
      <c r="N45" s="285" cm="1">
        <f t="array" ref="N45">SUM(SUMIFS(N$9:N$41,$A$9:$A$41,{"Falkirk","Stirling","Clackmannanshire"}))</f>
        <v>11128</v>
      </c>
      <c r="O45" s="285" cm="1">
        <f t="array" ref="O45">SUM(SUMIFS(O$9:O$41,$A$9:$A$41,{"Falkirk","Stirling","Clackmannanshire"}))</f>
        <v>51383.086542052908</v>
      </c>
      <c r="P45" s="288">
        <f t="shared" ref="P45" si="14">SUM(N45/O45)*100</f>
        <v>21.656931782197688</v>
      </c>
      <c r="Q45" s="7"/>
    </row>
    <row r="46" spans="1:17">
      <c r="A46" t="s">
        <v>157</v>
      </c>
      <c r="B46" s="285" cm="1">
        <f t="array" ref="B46">SUM(SUMIFS(B$9:B$41,$A$9:$A$41,{"East Lothian","Edinburgh, City of","Fife","Midlothian","Scottish Borders","West Lothian"}))</f>
        <v>39464</v>
      </c>
      <c r="C46" s="285" cm="1">
        <f t="array" ref="C46">SUM(SUMIFS(C$9:C$41,$A$9:$A$41,{"East Lothian","Edinburgh, City of","Fife","Midlothian","Scottish Borders","West Lothian"}))</f>
        <v>235547.23325737129</v>
      </c>
      <c r="D46" s="320">
        <f t="shared" si="8"/>
        <v>16.754176839292168</v>
      </c>
      <c r="E46" s="15"/>
      <c r="F46" s="285" cm="1">
        <f t="array" ref="F46">SUM(SUMIFS(F$9:F$41,$A$9:$A$41,{"East Lothian","Edinburgh, City of","Fife","Midlothian","Scottish Borders","West Lothian"}))</f>
        <v>33345</v>
      </c>
      <c r="G46" s="285" cm="1">
        <f t="array" ref="G46">SUM(SUMIFS(G$9:G$41,$A$9:$A$41,{"East Lothian","Edinburgh, City of","Fife","Midlothian","Scottish Borders","West Lothian"}))</f>
        <v>234833.47839933517</v>
      </c>
      <c r="H46" s="286">
        <f t="shared" si="9"/>
        <v>14.199423449878262</v>
      </c>
      <c r="I46" s="15"/>
      <c r="J46" s="285" cm="1">
        <f t="array" ref="J46">SUM(SUMIFS(J$9:J$41,$A$9:$A$41,{"East Lothian","Edinburgh, City of","Fife","Midlothian","Scottish Borders","West Lothian"}))</f>
        <v>43281</v>
      </c>
      <c r="K46" s="285" cm="1">
        <f t="array" ref="K46">SUM(SUMIFS(K$9:K$41,$A$9:$A$41,{"East Lothian","Edinburgh, City of","Fife","Midlothian","Scottish Borders","West Lothian"}))</f>
        <v>234197.61945140857</v>
      </c>
      <c r="L46" s="286">
        <f t="shared" si="10"/>
        <v>18.480546515110913</v>
      </c>
      <c r="M46" s="15"/>
      <c r="N46" s="285" cm="1">
        <f t="array" ref="N46">SUM(SUMIFS(N$9:N$41,$A$9:$A$41,{"East Lothian","Edinburgh, City of","Fife","Midlothian","Scottish Borders","West Lothian"}))</f>
        <v>44699</v>
      </c>
      <c r="O46" s="285" cm="1">
        <f t="array" ref="O46">SUM(SUMIFS(O$9:O$41,$A$9:$A$41,{"East Lothian","Edinburgh, City of","Fife","Midlothian","Scottish Borders","West Lothian"}))</f>
        <v>234557.78658102924</v>
      </c>
      <c r="P46" s="286">
        <f t="shared" ref="P46:P52" si="15">SUM(N46/O46)*100</f>
        <v>19.056711206028751</v>
      </c>
    </row>
    <row r="47" spans="1:17">
      <c r="A47" t="s">
        <v>158</v>
      </c>
      <c r="B47" s="285" cm="1">
        <f t="array" ref="B47">SUM(SUMIFS(B$9:B$41,$A$9:$A$41,{"Angus","Dundee City","Fife","Perth and Kinross"}))</f>
        <v>26431</v>
      </c>
      <c r="C47" s="285" cm="1">
        <f t="array" ref="C47">SUM(SUMIFS(C$9:C$41,$A$9:$A$41,{"Angus","Dundee City","Fife","Perth and Kinross"}))</f>
        <v>132248.81589257938</v>
      </c>
      <c r="D47" s="320">
        <f t="shared" si="8"/>
        <v>19.985812214355768</v>
      </c>
      <c r="E47" s="15"/>
      <c r="F47" s="285" cm="1">
        <f t="array" ref="F47">SUM(SUMIFS(F$9:F$41,$A$9:$A$41,{"Angus","Dundee City","Fife","Perth and Kinross"}))</f>
        <v>21625</v>
      </c>
      <c r="G47" s="285" cm="1">
        <f t="array" ref="G47">SUM(SUMIFS(G$9:G$41,$A$9:$A$41,{"Angus","Dundee City","Fife","Perth and Kinross"}))</f>
        <v>131124.95929601704</v>
      </c>
      <c r="H47" s="286">
        <f t="shared" si="9"/>
        <v>16.491902164241026</v>
      </c>
      <c r="I47" s="15"/>
      <c r="J47" s="285" cm="1">
        <f t="array" ref="J47">SUM(SUMIFS(J$9:J$41,$A$9:$A$41,{"Angus","Dundee City","Fife","Perth and Kinross"}))</f>
        <v>28881</v>
      </c>
      <c r="K47" s="285" cm="1">
        <f t="array" ref="K47">SUM(SUMIFS(K$9:K$41,$A$9:$A$41,{"Angus","Dundee City","Fife","Perth and Kinross"}))</f>
        <v>130163.67755073492</v>
      </c>
      <c r="L47" s="286">
        <f t="shared" si="10"/>
        <v>22.188217591457359</v>
      </c>
      <c r="M47" s="15"/>
      <c r="N47" s="285" cm="1">
        <f t="array" ref="N47">SUM(SUMIFS(N$9:N$41,$A$9:$A$41,{"Angus","Dundee City","Fife","Perth and Kinross"}))</f>
        <v>29357</v>
      </c>
      <c r="O47" s="285" cm="1">
        <f t="array" ref="O47">SUM(SUMIFS(O$9:O$41,$A$9:$A$41,{"Angus","Dundee City","Fife","Perth and Kinross"}))</f>
        <v>130249.59081860619</v>
      </c>
      <c r="P47" s="286">
        <f t="shared" si="15"/>
        <v>22.539034338222539</v>
      </c>
    </row>
    <row r="48" spans="1:17">
      <c r="A48" t="s">
        <v>246</v>
      </c>
      <c r="B48" s="285" cm="1">
        <f t="array" ref="B48">SUM(SUMIFS(B$9:B$41,$A$9:$A$41,{"East Renfrewshire","East Dunbartonshire","Aberdeenshire","Edinburgh, City of","Perth and Kinross","Aberdeen City","Shetland Islands","Orkney Islands"}))</f>
        <v>29641</v>
      </c>
      <c r="C48" s="285" cm="1">
        <f t="array" ref="C48">SUM(SUMIFS(C$9:C$41,$A$9:$A$41,{"East Renfrewshire","East Dunbartonshire","Aberdeenshire","Edinburgh, City of","Perth and Kinross","Aberdeen City","Shetland Islands","Orkney Islands"}))</f>
        <v>234186.58538861279</v>
      </c>
      <c r="D48" s="288">
        <f>SUM(B48/C48)*100</f>
        <v>12.657001659942765</v>
      </c>
      <c r="E48" s="7"/>
      <c r="F48" s="285" cm="1">
        <f t="array" ref="F48">SUM(SUMIFS(F$9:F$41,$A$9:$A$41,{"East Renfrewshire","East Dunbartonshire","Aberdeenshire","Edinburgh, City of","Perth and Kinross","Aberdeen City","Shetland Islands","Orkney Islands"}))</f>
        <v>26091</v>
      </c>
      <c r="G48" s="285" cm="1">
        <f t="array" ref="G48">SUM(SUMIFS(G$9:G$41,$A$9:$A$41,{"East Renfrewshire","East Dunbartonshire","Aberdeenshire","Edinburgh, City of","Perth and Kinross","Aberdeen City","Shetland Islands","Orkney Islands"}))</f>
        <v>234633.27345341776</v>
      </c>
      <c r="H48" s="288">
        <f t="shared" ref="H48:H51" si="16">SUM(F48/G48)*100</f>
        <v>11.119906233239295</v>
      </c>
      <c r="I48" s="7"/>
      <c r="J48" s="285" cm="1">
        <f t="array" ref="J48">SUM(SUMIFS(J$9:J$41,$A$9:$A$41,{"East Renfrewshire","East Dunbartonshire","Aberdeenshire","Edinburgh, City of","Perth and Kinross","Aberdeen City","Shetland Islands","Orkney Islands"}))</f>
        <v>32774</v>
      </c>
      <c r="K48" s="285" cm="1">
        <f t="array" ref="K48">SUM(SUMIFS(K$9:K$41,$A$9:$A$41,{"East Renfrewshire","East Dunbartonshire","Aberdeenshire","Edinburgh, City of","Perth and Kinross","Aberdeen City","Shetland Islands","Orkney Islands"}))</f>
        <v>234184.61094252957</v>
      </c>
      <c r="L48" s="288">
        <f t="shared" ref="L48:L51" si="17">SUM(J48/K48)*100</f>
        <v>13.994941797453528</v>
      </c>
      <c r="M48" s="7"/>
      <c r="N48" s="285" cm="1">
        <f t="array" ref="N48">SUM(SUMIFS(N$9:N$41,$A$9:$A$41,{"East Renfrewshire","East Dunbartonshire","Aberdeenshire","Edinburgh, City of","Perth and Kinross","Aberdeen City","Shetland Islands","Orkney Islands"}))</f>
        <v>33987</v>
      </c>
      <c r="O48" s="285" cm="1">
        <f t="array" ref="O48">SUM(SUMIFS(O$9:O$41,$A$9:$A$41,{"East Renfrewshire","East Dunbartonshire","Aberdeenshire","Edinburgh, City of","Perth and Kinross","Aberdeen City","Shetland Islands","Orkney Islands"}))</f>
        <v>234439.89578510541</v>
      </c>
      <c r="P48" s="288">
        <f t="shared" ref="P48:P51" si="18">SUM(N48/O48)*100</f>
        <v>14.497105915434075</v>
      </c>
    </row>
    <row r="49" spans="1:16">
      <c r="A49" t="s">
        <v>247</v>
      </c>
      <c r="B49" s="285" cm="1">
        <f t="array" ref="B49">SUM(SUMIFS(B$9:B$41,$A$9:$A$41,{"Moray","Stirling","East Lothian","Angus","Scottish Borders","Highland","Argyll and Bute","Midlothian"}))</f>
        <v>26663</v>
      </c>
      <c r="C49" s="285" cm="1">
        <f t="array" ref="C49">SUM(SUMIFS(C$9:C$41,$A$9:$A$41,{"Moray","Stirling","East Lothian","Angus","Scottish Borders","Highland","Argyll and Bute","Midlothian"}))</f>
        <v>159271.26543507213</v>
      </c>
      <c r="D49" s="288">
        <f t="shared" ref="D49:D51" si="19">SUM(B49/C49)*100</f>
        <v>16.740621685378226</v>
      </c>
      <c r="E49" s="7"/>
      <c r="F49" s="285" cm="1">
        <f t="array" ref="F49">SUM(SUMIFS(F$9:F$41,$A$9:$A$41,{"Moray","Stirling","East Lothian","Angus","Scottish Borders","Highland","Argyll and Bute","Midlothian"}))</f>
        <v>22612</v>
      </c>
      <c r="G49" s="285" cm="1">
        <f t="array" ref="G49">SUM(SUMIFS(G$9:G$41,$A$9:$A$41,{"Moray","Stirling","East Lothian","Angus","Scottish Borders","Highland","Argyll and Bute","Midlothian"}))</f>
        <v>157766.96576426332</v>
      </c>
      <c r="H49" s="288">
        <f t="shared" si="16"/>
        <v>14.332531458953856</v>
      </c>
      <c r="I49" s="7"/>
      <c r="J49" s="285" cm="1">
        <f t="array" ref="J49">SUM(SUMIFS(J$9:J$41,$A$9:$A$41,{"Moray","Stirling","East Lothian","Angus","Scottish Borders","Highland","Argyll and Bute","Midlothian"}))</f>
        <v>28987</v>
      </c>
      <c r="K49" s="285" cm="1">
        <f t="array" ref="K49">SUM(SUMIFS(K$9:K$41,$A$9:$A$41,{"Moray","Stirling","East Lothian","Angus","Scottish Borders","Highland","Argyll and Bute","Midlothian"}))</f>
        <v>156933.26719725967</v>
      </c>
      <c r="L49" s="288">
        <f t="shared" si="17"/>
        <v>18.470908378887152</v>
      </c>
      <c r="M49" s="7"/>
      <c r="N49" s="285" cm="1">
        <f t="array" ref="N49">SUM(SUMIFS(N$9:N$41,$A$9:$A$41,{"Moray","Stirling","East Lothian","Angus","Scottish Borders","Highland","Argyll and Bute","Midlothian"}))</f>
        <v>29640</v>
      </c>
      <c r="O49" s="285" cm="1">
        <f t="array" ref="O49">SUM(SUMIFS(O$9:O$41,$A$9:$A$41,{"Moray","Stirling","East Lothian","Angus","Scottish Borders","Highland","Argyll and Bute","Midlothian"}))</f>
        <v>156936.76326083243</v>
      </c>
      <c r="P49" s="288">
        <f t="shared" si="18"/>
        <v>18.886588065243611</v>
      </c>
    </row>
    <row r="50" spans="1:16">
      <c r="A50" t="s">
        <v>248</v>
      </c>
      <c r="B50" s="285" cm="1">
        <f t="array" ref="B50">SUM(SUMIFS(B$9:B$41,$A$9:$A$41,{"Falkirk","Dumfries and Galloway","Fife","South Ayrshire","West Lothian","South Lanarkshire","Renfrewshire","Clackmannanshire"}))</f>
        <v>51588</v>
      </c>
      <c r="C50" s="285" cm="1">
        <f t="array" ref="C50">SUM(SUMIFS(C$9:C$41,$A$9:$A$41,{"Falkirk","Dumfries and Galloway","Fife","South Ayrshire","West Lothian","South Lanarkshire","Renfrewshire","Clackmannanshire"}))</f>
        <v>263855.89173653116</v>
      </c>
      <c r="D50" s="288">
        <f t="shared" si="19"/>
        <v>19.551581607854459</v>
      </c>
      <c r="E50" s="7"/>
      <c r="F50" s="285" cm="1">
        <f t="array" ref="F50">SUM(SUMIFS(F$9:F$41,$A$9:$A$41,{"Falkirk","Dumfries and Galloway","Fife","South Ayrshire","West Lothian","South Lanarkshire","Renfrewshire","Clackmannanshire"}))</f>
        <v>42549</v>
      </c>
      <c r="G50" s="285" cm="1">
        <f t="array" ref="G50">SUM(SUMIFS(G$9:G$41,$A$9:$A$41,{"Falkirk","Dumfries and Galloway","Fife","South Ayrshire","West Lothian","South Lanarkshire","Renfrewshire","Clackmannanshire"}))</f>
        <v>262011.4332354338</v>
      </c>
      <c r="H50" s="288">
        <f t="shared" si="16"/>
        <v>16.239367677427662</v>
      </c>
      <c r="I50" s="7"/>
      <c r="J50" s="285" cm="1">
        <f t="array" ref="J50">SUM(SUMIFS(J$9:J$41,$A$9:$A$41,{"Falkirk","Dumfries and Galloway","Fife","South Ayrshire","West Lothian","South Lanarkshire","Renfrewshire","Clackmannanshire"}))</f>
        <v>56046</v>
      </c>
      <c r="K50" s="285" cm="1">
        <f t="array" ref="K50">SUM(SUMIFS(K$9:K$41,$A$9:$A$41,{"Falkirk","Dumfries and Galloway","Fife","South Ayrshire","West Lothian","South Lanarkshire","Renfrewshire","Clackmannanshire"}))</f>
        <v>260987.15412129732</v>
      </c>
      <c r="L50" s="288">
        <f t="shared" si="17"/>
        <v>21.474620154657828</v>
      </c>
      <c r="M50" s="7"/>
      <c r="N50" s="285" cm="1">
        <f t="array" ref="N50">SUM(SUMIFS(N$9:N$41,$A$9:$A$41,{"Falkirk","Dumfries and Galloway","Fife","South Ayrshire","West Lothian","South Lanarkshire","Renfrewshire","Clackmannanshire"}))</f>
        <v>57512</v>
      </c>
      <c r="O50" s="285" cm="1">
        <f t="array" ref="O50">SUM(SUMIFS(O$9:O$41,$A$9:$A$41,{"Falkirk","Dumfries and Galloway","Fife","South Ayrshire","West Lothian","South Lanarkshire","Renfrewshire","Clackmannanshire"}))</f>
        <v>260707.97414147292</v>
      </c>
      <c r="P50" s="288">
        <f t="shared" si="18"/>
        <v>22.059931304130796</v>
      </c>
    </row>
    <row r="51" spans="1:16">
      <c r="A51" t="s">
        <v>249</v>
      </c>
      <c r="B51" s="285" cm="1">
        <f t="array" ref="B51">SUM(SUMIFS(B$9:B$41,$A$9:$A$41,{"Na h-Eileanan Siar","Dundee City","East Ayrshire","North Ayrshire","North Lanarkshire","Inverclyde","West Dunbartonshire","Glasgow City"}))</f>
        <v>65960</v>
      </c>
      <c r="C51" s="285" cm="1">
        <f t="array" ref="C51">SUM(SUMIFS(C$9:C$41,$A$9:$A$41,{"Na h-Eileanan Siar","Dundee City","East Ayrshire","North Ayrshire","North Lanarkshire","Inverclyde","West Dunbartonshire","Glasgow City"}))</f>
        <v>263487.16577875888</v>
      </c>
      <c r="D51" s="288">
        <f t="shared" si="19"/>
        <v>25.033477363138189</v>
      </c>
      <c r="E51" s="7"/>
      <c r="F51" s="285" cm="1">
        <f t="array" ref="F51">SUM(SUMIFS(F$9:F$41,$A$9:$A$41,{"Na h-Eileanan Siar","Dundee City","East Ayrshire","North Ayrshire","North Lanarkshire","Inverclyde","West Dunbartonshire","Glasgow City"}))</f>
        <v>55039</v>
      </c>
      <c r="G51" s="285" cm="1">
        <f t="array" ref="G51">SUM(SUMIFS(G$9:G$41,$A$9:$A$41,{"Na h-Eileanan Siar","Dundee City","East Ayrshire","North Ayrshire","North Lanarkshire","Inverclyde","West Dunbartonshire","Glasgow City"}))</f>
        <v>261795.62807061995</v>
      </c>
      <c r="H51" s="288">
        <f t="shared" si="16"/>
        <v>21.023651313670182</v>
      </c>
      <c r="I51" s="7"/>
      <c r="J51" s="285" cm="1">
        <f t="array" ref="J51">SUM(SUMIFS(J$9:J$41,$A$9:$A$41,{"Na h-Eileanan Siar","Dundee City","East Ayrshire","North Ayrshire","North Lanarkshire","Inverclyde","West Dunbartonshire","Glasgow City"}))</f>
        <v>71479</v>
      </c>
      <c r="K51" s="285" cm="1">
        <f t="array" ref="K51">SUM(SUMIFS(K$9:K$41,$A$9:$A$41,{"Na h-Eileanan Siar","Dundee City","East Ayrshire","North Ayrshire","North Lanarkshire","Inverclyde","West Dunbartonshire","Glasgow City"}))</f>
        <v>259396.4156683145</v>
      </c>
      <c r="L51" s="288">
        <f t="shared" si="17"/>
        <v>27.555893482891804</v>
      </c>
      <c r="M51" s="7"/>
      <c r="N51" s="285" cm="1">
        <f t="array" ref="N51">SUM(SUMIFS(N$9:N$41,$A$9:$A$41,{"Na h-Eileanan Siar","Dundee City","East Ayrshire","North Ayrshire","North Lanarkshire","Inverclyde","West Dunbartonshire","Glasgow City"}))</f>
        <v>73457</v>
      </c>
      <c r="O51" s="285" cm="1">
        <f t="array" ref="O51">SUM(SUMIFS(O$9:O$41,$A$9:$A$41,{"Na h-Eileanan Siar","Dundee City","East Ayrshire","North Ayrshire","North Lanarkshire","Inverclyde","West Dunbartonshire","Glasgow City"}))</f>
        <v>259608.9804102045</v>
      </c>
      <c r="P51" s="288">
        <f t="shared" si="18"/>
        <v>28.295246136682799</v>
      </c>
    </row>
    <row r="52" spans="1:16">
      <c r="A52" t="s">
        <v>48</v>
      </c>
      <c r="B52" s="285" cm="1">
        <f t="array" ref="B52">SUM(SUMIFS(B$9:B$41,$A$9:$A$41,{"East Dunbartonshire","East Renfrewshire","Glasgow City","Inverclyde","North Lanarkshire","Renfrewshire","South Lanarkshire","West Dunbartonshire"}))</f>
        <v>68898</v>
      </c>
      <c r="C52" s="285" cm="1">
        <f t="array" ref="C52">SUM(SUMIFS(C$9:C$41,$A$9:$A$41,{"East Dunbartonshire","East Renfrewshire","Glasgow City","Inverclyde","North Lanarkshire","Renfrewshire","South Lanarkshire","West Dunbartonshire"}))</f>
        <v>316418.68740939448</v>
      </c>
      <c r="D52" s="320">
        <f t="shared" si="8"/>
        <v>21.77431445787434</v>
      </c>
      <c r="E52" s="112"/>
      <c r="F52" s="285" cm="1">
        <f t="array" ref="F52">SUM(SUMIFS(F$9:F$41,$A$9:$A$41,{"East Dunbartonshire","East Renfrewshire","Glasgow City","Inverclyde","North Lanarkshire","Renfrewshire","South Lanarkshire","West Dunbartonshire"}))</f>
        <v>57649</v>
      </c>
      <c r="G52" s="285" cm="1">
        <f t="array" ref="G52">SUM(SUMIFS(G$9:G$41,$A$9:$A$41,{"East Dunbartonshire","East Renfrewshire","Glasgow City","Inverclyde","North Lanarkshire","Renfrewshire","South Lanarkshire","West Dunbartonshire"}))</f>
        <v>315399.50197014079</v>
      </c>
      <c r="H52" s="286">
        <f t="shared" si="9"/>
        <v>18.278088468718536</v>
      </c>
      <c r="I52" s="112"/>
      <c r="J52" s="285" cm="1">
        <f t="array" ref="J52">SUM(SUMIFS(J$9:J$41,$A$9:$A$41,{"East Dunbartonshire","East Renfrewshire","Glasgow City","Inverclyde","North Lanarkshire","Renfrewshire","South Lanarkshire","West Dunbartonshire"}))</f>
        <v>74507</v>
      </c>
      <c r="K52" s="285" cm="1">
        <f t="array" ref="K52">SUM(SUMIFS(K$9:K$41,$A$9:$A$41,{"East Dunbartonshire","East Renfrewshire","Glasgow City","Inverclyde","North Lanarkshire","Renfrewshire","South Lanarkshire","West Dunbartonshire"}))</f>
        <v>313694.89577976172</v>
      </c>
      <c r="L52" s="286">
        <f t="shared" si="10"/>
        <v>23.751422481642713</v>
      </c>
      <c r="M52" s="112"/>
      <c r="N52" s="285" cm="1">
        <f t="array" ref="N52">SUM(SUMIFS(N$9:N$41,$A$9:$A$41,{"East Dunbartonshire","East Renfrewshire","Glasgow City","Inverclyde","North Lanarkshire","Renfrewshire","South Lanarkshire","West Dunbartonshire"}))</f>
        <v>76521</v>
      </c>
      <c r="O52" s="285" cm="1">
        <f t="array" ref="O52">SUM(SUMIFS(O$9:O$41,$A$9:$A$41,{"East Dunbartonshire","East Renfrewshire","Glasgow City","Inverclyde","North Lanarkshire","Renfrewshire","South Lanarkshire","West Dunbartonshire"}))</f>
        <v>313792.04980393138</v>
      </c>
      <c r="P52" s="286">
        <f t="shared" si="15"/>
        <v>24.385895068983771</v>
      </c>
    </row>
  </sheetData>
  <conditionalFormatting sqref="A1:XFD1048576">
    <cfRule type="expression" dxfId="87"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25D9B-D87C-458C-865C-F1D647C7F145}">
  <sheetPr>
    <pageSetUpPr autoPageBreaks="0"/>
  </sheetPr>
  <dimension ref="A1:Q429"/>
  <sheetViews>
    <sheetView zoomScale="70" zoomScaleNormal="70" workbookViewId="0">
      <selection activeCell="T38" sqref="T38"/>
    </sheetView>
  </sheetViews>
  <sheetFormatPr defaultColWidth="8.7109375" defaultRowHeight="15"/>
  <cols>
    <col min="1" max="1" width="25.85546875" style="75" bestFit="1" customWidth="1"/>
    <col min="2" max="2" width="15.7109375" style="75" customWidth="1"/>
    <col min="3" max="3" width="11.85546875" style="75" bestFit="1" customWidth="1"/>
    <col min="4" max="4" width="9.7109375" style="75" customWidth="1"/>
    <col min="5" max="5" width="8.7109375" style="75"/>
    <col min="6" max="6" width="10" style="75" customWidth="1"/>
    <col min="7" max="7" width="10.28515625" style="75" customWidth="1"/>
    <col min="8" max="9" width="8.7109375" style="75"/>
    <col min="10" max="13" width="10.5703125" style="75" bestFit="1" customWidth="1"/>
    <col min="14" max="14" width="8.7109375" style="75"/>
    <col min="15" max="15" width="9.7109375" style="75" customWidth="1"/>
    <col min="16" max="16384" width="8.7109375" style="75"/>
  </cols>
  <sheetData>
    <row r="1" spans="1:16" ht="18.75">
      <c r="A1" s="77" t="s">
        <v>190</v>
      </c>
    </row>
    <row r="2" spans="1:16" ht="15.75">
      <c r="A2" s="77" t="s">
        <v>189</v>
      </c>
    </row>
    <row r="8" spans="1:16">
      <c r="B8" s="397" t="str">
        <f>C62</f>
        <v>May 2021</v>
      </c>
      <c r="C8" s="75">
        <f>YEAR(B8)</f>
        <v>2021</v>
      </c>
      <c r="F8" s="397" t="str">
        <f>D62</f>
        <v>May 2022</v>
      </c>
      <c r="G8" s="75">
        <f>YEAR(F8)</f>
        <v>2022</v>
      </c>
      <c r="J8" s="397" t="str">
        <f>E62</f>
        <v>May 2023</v>
      </c>
      <c r="K8" s="75">
        <f>YEAR(J8)</f>
        <v>2023</v>
      </c>
      <c r="N8" s="397" t="str">
        <f>F62</f>
        <v>May 2024</v>
      </c>
      <c r="O8" s="75">
        <f>YEAR(N8)</f>
        <v>2024</v>
      </c>
    </row>
    <row r="9" spans="1:16">
      <c r="A9" s="75" t="s">
        <v>15</v>
      </c>
      <c r="B9" s="76">
        <f>INDEX($B$62:$F$429,MATCH($A9,$B$62:$B$429,0),MATCH(B$8,$B$62:$F$62,0))</f>
        <v>15834</v>
      </c>
      <c r="C9" s="76">
        <f>INDEX($J$64:$M$96,MATCH($A9,$I$64:$I$96,0),MATCH(C$8,$J$63:$M$63,0))</f>
        <v>108844</v>
      </c>
      <c r="D9" s="398">
        <f>SUM(B9/C9)*100</f>
        <v>14.547425673440889</v>
      </c>
      <c r="E9" s="76"/>
      <c r="F9" s="76">
        <f>INDEX($B$62:$F$429,MATCH($A9,$B$62:$B$429,0),MATCH(F$8,$B$62:$F$62,0))</f>
        <v>14721</v>
      </c>
      <c r="G9" s="76">
        <f>INDEX($J$64:$M$96,MATCH($A9,$I$64:$I$96,0),MATCH(G$8,$J$63:$M$63,0))</f>
        <v>109827</v>
      </c>
      <c r="H9" s="398">
        <f>SUM(F9/G9)*100</f>
        <v>13.403807806823458</v>
      </c>
      <c r="I9" s="76"/>
      <c r="J9" s="76">
        <f>INDEX($B$62:$F$429,MATCH($A9,$B$62:$B$429,0),MATCH(J$8,$B$62:$F$62,0))</f>
        <v>16073</v>
      </c>
      <c r="K9" s="76">
        <f>INDEX($J$64:$M$96,MATCH($A9,$I$64:$I$96,0),MATCH(K$8,$J$63:$M$63,0))</f>
        <v>111024</v>
      </c>
      <c r="L9" s="398">
        <f>SUM(J9/K9)*100</f>
        <v>14.47705000720565</v>
      </c>
      <c r="M9" s="76"/>
      <c r="N9" s="76">
        <f>INDEX($B$62:$F$429,MATCH($A9,$B$62:$B$429,0),MATCH(N$8,$B$62:$F$62,0))</f>
        <v>17239</v>
      </c>
      <c r="O9" s="76">
        <f>INDEX($J$64:$M$96,MATCH($A9,$I$64:$I$96,0),MATCH(K$8,$J$63:$M$63,0))</f>
        <v>111024</v>
      </c>
      <c r="P9" s="398">
        <f>SUM(N9/O9)*100</f>
        <v>15.527273382331749</v>
      </c>
    </row>
    <row r="10" spans="1:16">
      <c r="A10" s="75" t="s">
        <v>16</v>
      </c>
      <c r="B10" s="76">
        <f t="shared" ref="B10:B40" si="0">INDEX($B$62:$F$429,MATCH($A10,$B$62:$B$429,0),MATCH(B$8,$B$62:$F$62,0))</f>
        <v>12159</v>
      </c>
      <c r="C10" s="76">
        <f t="shared" ref="C10:C40" si="1">INDEX($J$64:$M$96,MATCH($A10,$I$64:$I$96,0),MATCH(C$8,$J$63:$M$63,0))</f>
        <v>113861</v>
      </c>
      <c r="D10" s="398">
        <f t="shared" ref="D10:D50" si="2">SUM(B10/C10)*100</f>
        <v>10.678810128138695</v>
      </c>
      <c r="E10" s="76"/>
      <c r="F10" s="76">
        <f t="shared" ref="F10:F40" si="3">INDEX($B$62:$F$429,MATCH($A10,$B$62:$B$429,0),MATCH(F$8,$B$62:$F$62,0))</f>
        <v>11700</v>
      </c>
      <c r="G10" s="76">
        <f t="shared" ref="G10:G40" si="4">INDEX($J$64:$M$96,MATCH($A10,$I$64:$I$96,0),MATCH(G$8,$J$63:$M$63,0))</f>
        <v>114897</v>
      </c>
      <c r="H10" s="398">
        <f t="shared" ref="H10:H50" si="5">SUM(F10/G10)*100</f>
        <v>10.183033499569179</v>
      </c>
      <c r="I10" s="76"/>
      <c r="J10" s="76">
        <f t="shared" ref="J10:J40" si="6">INDEX($B$62:$F$429,MATCH($A10,$B$62:$B$429,0),MATCH(J$8,$B$62:$F$62,0))</f>
        <v>12665</v>
      </c>
      <c r="K10" s="76">
        <f t="shared" ref="K10:K40" si="7">INDEX($J$64:$M$96,MATCH($A10,$I$64:$I$96,0),MATCH(K$8,$J$63:$M$63,0))</f>
        <v>116807</v>
      </c>
      <c r="L10" s="398">
        <f t="shared" ref="L10:L50" si="8">SUM(J10/K10)*100</f>
        <v>10.842672100130986</v>
      </c>
      <c r="M10" s="76"/>
      <c r="N10" s="76">
        <f t="shared" ref="N10:N40" si="9">INDEX($B$62:$F$429,MATCH($A10,$B$62:$B$429,0),MATCH(N$8,$B$62:$F$62,0))</f>
        <v>14091</v>
      </c>
      <c r="O10" s="76">
        <f t="shared" ref="O10:O40" si="10">INDEX($J$64:$M$96,MATCH($A10,$I$64:$I$96,0),MATCH(K$8,$J$63:$M$63,0))</f>
        <v>116807</v>
      </c>
      <c r="P10" s="398">
        <f t="shared" ref="P10:P50" si="11">SUM(N10/O10)*100</f>
        <v>12.063489345672776</v>
      </c>
    </row>
    <row r="11" spans="1:16">
      <c r="A11" s="75" t="s">
        <v>17</v>
      </c>
      <c r="B11" s="76">
        <f t="shared" si="0"/>
        <v>8163</v>
      </c>
      <c r="C11" s="76">
        <f t="shared" si="1"/>
        <v>55003</v>
      </c>
      <c r="D11" s="398">
        <f t="shared" si="2"/>
        <v>14.84100867225424</v>
      </c>
      <c r="E11" s="76"/>
      <c r="F11" s="76">
        <f t="shared" si="3"/>
        <v>7889</v>
      </c>
      <c r="G11" s="76">
        <f t="shared" si="4"/>
        <v>55441</v>
      </c>
      <c r="H11" s="398">
        <f t="shared" si="5"/>
        <v>14.229541314189859</v>
      </c>
      <c r="I11" s="76"/>
      <c r="J11" s="76">
        <f t="shared" si="6"/>
        <v>8645</v>
      </c>
      <c r="K11" s="76">
        <f t="shared" si="7"/>
        <v>54804</v>
      </c>
      <c r="L11" s="398">
        <f t="shared" si="8"/>
        <v>15.774396029486898</v>
      </c>
      <c r="M11" s="76"/>
      <c r="N11" s="76">
        <f t="shared" si="9"/>
        <v>9590</v>
      </c>
      <c r="O11" s="76">
        <f t="shared" si="10"/>
        <v>54804</v>
      </c>
      <c r="P11" s="398">
        <f t="shared" si="11"/>
        <v>17.498722720969273</v>
      </c>
    </row>
    <row r="12" spans="1:16">
      <c r="A12" s="75" t="s">
        <v>18</v>
      </c>
      <c r="B12" s="76">
        <f t="shared" si="0"/>
        <v>5208</v>
      </c>
      <c r="C12" s="76">
        <f t="shared" si="1"/>
        <v>42384</v>
      </c>
      <c r="D12" s="398">
        <f t="shared" si="2"/>
        <v>12.287655719139298</v>
      </c>
      <c r="E12" s="76"/>
      <c r="F12" s="76">
        <f t="shared" si="3"/>
        <v>4861</v>
      </c>
      <c r="G12" s="76">
        <f t="shared" si="4"/>
        <v>42664</v>
      </c>
      <c r="H12" s="398">
        <f t="shared" si="5"/>
        <v>11.393680855053441</v>
      </c>
      <c r="I12" s="76"/>
      <c r="J12" s="76">
        <f t="shared" si="6"/>
        <v>5354</v>
      </c>
      <c r="K12" s="76">
        <f t="shared" si="7"/>
        <v>42610</v>
      </c>
      <c r="L12" s="398">
        <f t="shared" si="8"/>
        <v>12.565125557380895</v>
      </c>
      <c r="M12" s="76"/>
      <c r="N12" s="76">
        <f t="shared" si="9"/>
        <v>6132</v>
      </c>
      <c r="O12" s="76">
        <f t="shared" si="10"/>
        <v>42610</v>
      </c>
      <c r="P12" s="398">
        <f t="shared" si="11"/>
        <v>14.390988030978644</v>
      </c>
    </row>
    <row r="13" spans="1:16">
      <c r="A13" s="75" t="s">
        <v>126</v>
      </c>
      <c r="B13" s="76">
        <f t="shared" si="0"/>
        <v>32063</v>
      </c>
      <c r="C13" s="76">
        <f t="shared" si="1"/>
        <v>241658</v>
      </c>
      <c r="D13" s="398">
        <f t="shared" si="2"/>
        <v>13.267924091070851</v>
      </c>
      <c r="E13" s="76"/>
      <c r="F13" s="76">
        <f t="shared" si="3"/>
        <v>28104</v>
      </c>
      <c r="G13" s="76">
        <f t="shared" si="4"/>
        <v>244738</v>
      </c>
      <c r="H13" s="398">
        <f t="shared" si="5"/>
        <v>11.483300509115871</v>
      </c>
      <c r="I13" s="76"/>
      <c r="J13" s="76">
        <f t="shared" si="6"/>
        <v>30424</v>
      </c>
      <c r="K13" s="76">
        <f t="shared" si="7"/>
        <v>242021</v>
      </c>
      <c r="L13" s="398">
        <f t="shared" si="8"/>
        <v>12.570809971035571</v>
      </c>
      <c r="M13" s="76"/>
      <c r="N13" s="76">
        <f t="shared" si="9"/>
        <v>33879</v>
      </c>
      <c r="O13" s="76">
        <f t="shared" si="10"/>
        <v>242021</v>
      </c>
      <c r="P13" s="398">
        <f t="shared" si="11"/>
        <v>13.99837204209552</v>
      </c>
    </row>
    <row r="14" spans="1:16">
      <c r="A14" s="75" t="s">
        <v>19</v>
      </c>
      <c r="B14" s="76">
        <f t="shared" si="0"/>
        <v>4698</v>
      </c>
      <c r="C14" s="76">
        <f t="shared" si="1"/>
        <v>24077</v>
      </c>
      <c r="D14" s="398">
        <f t="shared" si="2"/>
        <v>19.512397723968931</v>
      </c>
      <c r="E14" s="76"/>
      <c r="F14" s="76">
        <f t="shared" si="3"/>
        <v>4655</v>
      </c>
      <c r="G14" s="76">
        <f t="shared" si="4"/>
        <v>24157</v>
      </c>
      <c r="H14" s="398">
        <f t="shared" si="5"/>
        <v>19.269776876267748</v>
      </c>
      <c r="I14" s="76"/>
      <c r="J14" s="76">
        <f t="shared" si="6"/>
        <v>4954</v>
      </c>
      <c r="K14" s="76">
        <f t="shared" si="7"/>
        <v>24305</v>
      </c>
      <c r="L14" s="398">
        <f t="shared" si="8"/>
        <v>20.382637317424397</v>
      </c>
      <c r="M14" s="76"/>
      <c r="N14" s="76">
        <f t="shared" si="9"/>
        <v>5410</v>
      </c>
      <c r="O14" s="76">
        <f t="shared" si="10"/>
        <v>24305</v>
      </c>
      <c r="P14" s="398">
        <f t="shared" si="11"/>
        <v>22.258794486731126</v>
      </c>
    </row>
    <row r="15" spans="1:16">
      <c r="A15" s="75" t="s">
        <v>20</v>
      </c>
      <c r="B15" s="76">
        <f t="shared" si="0"/>
        <v>9860</v>
      </c>
      <c r="C15" s="76">
        <f t="shared" si="1"/>
        <v>70405</v>
      </c>
      <c r="D15" s="398">
        <f t="shared" si="2"/>
        <v>14.00468716710461</v>
      </c>
      <c r="E15" s="76"/>
      <c r="F15" s="76">
        <f t="shared" si="3"/>
        <v>9721</v>
      </c>
      <c r="G15" s="76">
        <f t="shared" si="4"/>
        <v>70984</v>
      </c>
      <c r="H15" s="398">
        <f t="shared" si="5"/>
        <v>13.694635410796799</v>
      </c>
      <c r="I15" s="76"/>
      <c r="J15" s="76">
        <f t="shared" si="6"/>
        <v>10723</v>
      </c>
      <c r="K15" s="76">
        <f t="shared" si="7"/>
        <v>70696</v>
      </c>
      <c r="L15" s="398">
        <f t="shared" si="8"/>
        <v>15.167760552223605</v>
      </c>
      <c r="M15" s="76"/>
      <c r="N15" s="76">
        <f t="shared" si="9"/>
        <v>12226</v>
      </c>
      <c r="O15" s="76">
        <f t="shared" si="10"/>
        <v>70696</v>
      </c>
      <c r="P15" s="398">
        <f t="shared" si="11"/>
        <v>17.293764852325449</v>
      </c>
    </row>
    <row r="16" spans="1:16">
      <c r="A16" s="75" t="s">
        <v>21</v>
      </c>
      <c r="B16" s="76">
        <f t="shared" si="0"/>
        <v>14520</v>
      </c>
      <c r="C16" s="76">
        <f t="shared" si="1"/>
        <v>71224</v>
      </c>
      <c r="D16" s="398">
        <f t="shared" si="2"/>
        <v>20.386386611254633</v>
      </c>
      <c r="E16" s="76"/>
      <c r="F16" s="76">
        <f t="shared" si="3"/>
        <v>14153</v>
      </c>
      <c r="G16" s="76">
        <f t="shared" si="4"/>
        <v>71701</v>
      </c>
      <c r="H16" s="398">
        <f t="shared" si="5"/>
        <v>19.738915775233259</v>
      </c>
      <c r="I16" s="76"/>
      <c r="J16" s="76">
        <f t="shared" si="6"/>
        <v>15201</v>
      </c>
      <c r="K16" s="76">
        <f t="shared" si="7"/>
        <v>70409</v>
      </c>
      <c r="L16" s="398">
        <f t="shared" si="8"/>
        <v>21.589569515260834</v>
      </c>
      <c r="M16" s="76"/>
      <c r="N16" s="76">
        <f t="shared" si="9"/>
        <v>16523</v>
      </c>
      <c r="O16" s="76">
        <f t="shared" si="10"/>
        <v>70409</v>
      </c>
      <c r="P16" s="398">
        <f t="shared" si="11"/>
        <v>23.467170390148986</v>
      </c>
    </row>
    <row r="17" spans="1:16">
      <c r="A17" s="75" t="s">
        <v>22</v>
      </c>
      <c r="B17" s="76">
        <f t="shared" si="0"/>
        <v>11794</v>
      </c>
      <c r="C17" s="76">
        <f t="shared" si="1"/>
        <v>56149</v>
      </c>
      <c r="D17" s="398">
        <f t="shared" si="2"/>
        <v>21.004826443925985</v>
      </c>
      <c r="E17" s="76"/>
      <c r="F17" s="76">
        <f t="shared" si="3"/>
        <v>11483</v>
      </c>
      <c r="G17" s="76">
        <f t="shared" si="4"/>
        <v>56621</v>
      </c>
      <c r="H17" s="398">
        <f t="shared" si="5"/>
        <v>20.280461312940428</v>
      </c>
      <c r="I17" s="76"/>
      <c r="J17" s="76">
        <f t="shared" si="6"/>
        <v>12215</v>
      </c>
      <c r="K17" s="76">
        <f t="shared" si="7"/>
        <v>55811</v>
      </c>
      <c r="L17" s="398">
        <f t="shared" si="8"/>
        <v>21.886366486893266</v>
      </c>
      <c r="M17" s="76"/>
      <c r="N17" s="76">
        <f t="shared" si="9"/>
        <v>13215</v>
      </c>
      <c r="O17" s="76">
        <f t="shared" si="10"/>
        <v>55811</v>
      </c>
      <c r="P17" s="398">
        <f t="shared" si="11"/>
        <v>23.678127967604954</v>
      </c>
    </row>
    <row r="18" spans="1:16">
      <c r="A18" s="75" t="s">
        <v>24</v>
      </c>
      <c r="B18" s="76">
        <f t="shared" si="0"/>
        <v>7920</v>
      </c>
      <c r="C18" s="76">
        <f t="shared" si="1"/>
        <v>48440</v>
      </c>
      <c r="D18" s="398">
        <f t="shared" si="2"/>
        <v>16.35012386457473</v>
      </c>
      <c r="E18" s="76"/>
      <c r="F18" s="76">
        <f t="shared" si="3"/>
        <v>7294</v>
      </c>
      <c r="G18" s="76">
        <f t="shared" si="4"/>
        <v>49220</v>
      </c>
      <c r="H18" s="398">
        <f t="shared" si="5"/>
        <v>14.819179195449003</v>
      </c>
      <c r="I18" s="76"/>
      <c r="J18" s="76">
        <f t="shared" si="6"/>
        <v>7657</v>
      </c>
      <c r="K18" s="76">
        <f t="shared" si="7"/>
        <v>49686</v>
      </c>
      <c r="L18" s="398">
        <f t="shared" si="8"/>
        <v>15.410779696493982</v>
      </c>
      <c r="M18" s="76"/>
      <c r="N18" s="76">
        <f t="shared" si="9"/>
        <v>8477</v>
      </c>
      <c r="O18" s="76">
        <f t="shared" si="10"/>
        <v>49686</v>
      </c>
      <c r="P18" s="398">
        <f t="shared" si="11"/>
        <v>17.061143984220909</v>
      </c>
    </row>
    <row r="19" spans="1:16">
      <c r="A19" s="75" t="s">
        <v>26</v>
      </c>
      <c r="B19" s="76">
        <f t="shared" si="0"/>
        <v>12228</v>
      </c>
      <c r="C19" s="76">
        <f t="shared" si="1"/>
        <v>73375</v>
      </c>
      <c r="D19" s="398">
        <f t="shared" si="2"/>
        <v>16.665076660988078</v>
      </c>
      <c r="E19" s="76"/>
      <c r="F19" s="76">
        <f t="shared" si="3"/>
        <v>11634</v>
      </c>
      <c r="G19" s="76">
        <f t="shared" si="4"/>
        <v>73646</v>
      </c>
      <c r="H19" s="398">
        <f t="shared" si="5"/>
        <v>15.79719197240855</v>
      </c>
      <c r="I19" s="76"/>
      <c r="J19" s="76">
        <f t="shared" si="6"/>
        <v>12627</v>
      </c>
      <c r="K19" s="76">
        <f t="shared" si="7"/>
        <v>72907</v>
      </c>
      <c r="L19" s="398">
        <f t="shared" si="8"/>
        <v>17.319324619035211</v>
      </c>
      <c r="M19" s="76"/>
      <c r="N19" s="76">
        <f t="shared" si="9"/>
        <v>14174</v>
      </c>
      <c r="O19" s="76">
        <f t="shared" si="10"/>
        <v>72907</v>
      </c>
      <c r="P19" s="398">
        <f t="shared" si="11"/>
        <v>19.441205919870519</v>
      </c>
    </row>
    <row r="20" spans="1:16">
      <c r="A20" s="75" t="s">
        <v>27</v>
      </c>
      <c r="B20" s="76">
        <f t="shared" si="0"/>
        <v>30792</v>
      </c>
      <c r="C20" s="76">
        <f t="shared" si="1"/>
        <v>171086</v>
      </c>
      <c r="D20" s="398">
        <f t="shared" si="2"/>
        <v>17.99796593526063</v>
      </c>
      <c r="E20" s="76"/>
      <c r="F20" s="76">
        <f t="shared" si="3"/>
        <v>29402</v>
      </c>
      <c r="G20" s="76">
        <f t="shared" si="4"/>
        <v>172287</v>
      </c>
      <c r="H20" s="398">
        <f t="shared" si="5"/>
        <v>17.065710123224619</v>
      </c>
      <c r="I20" s="76"/>
      <c r="J20" s="76">
        <f t="shared" si="6"/>
        <v>31560</v>
      </c>
      <c r="K20" s="76">
        <f t="shared" si="7"/>
        <v>170982</v>
      </c>
      <c r="L20" s="398">
        <f t="shared" si="8"/>
        <v>18.458083307014775</v>
      </c>
      <c r="M20" s="76"/>
      <c r="N20" s="76">
        <f t="shared" si="9"/>
        <v>34839</v>
      </c>
      <c r="O20" s="76">
        <f t="shared" si="10"/>
        <v>170982</v>
      </c>
      <c r="P20" s="398">
        <f t="shared" si="11"/>
        <v>20.375829034635228</v>
      </c>
    </row>
    <row r="21" spans="1:16">
      <c r="A21" s="75" t="s">
        <v>29</v>
      </c>
      <c r="B21" s="76">
        <f t="shared" si="0"/>
        <v>16780</v>
      </c>
      <c r="C21" s="76">
        <f t="shared" si="1"/>
        <v>110743</v>
      </c>
      <c r="D21" s="398">
        <f t="shared" si="2"/>
        <v>15.152199236069098</v>
      </c>
      <c r="E21" s="76"/>
      <c r="F21" s="76">
        <f t="shared" si="3"/>
        <v>15072</v>
      </c>
      <c r="G21" s="76">
        <f t="shared" si="4"/>
        <v>111633</v>
      </c>
      <c r="H21" s="398">
        <f t="shared" si="5"/>
        <v>13.50138399935503</v>
      </c>
      <c r="I21" s="76"/>
      <c r="J21" s="76">
        <f t="shared" si="6"/>
        <v>16039</v>
      </c>
      <c r="K21" s="76">
        <f t="shared" si="7"/>
        <v>112857</v>
      </c>
      <c r="L21" s="398">
        <f t="shared" si="8"/>
        <v>14.211790141506508</v>
      </c>
      <c r="M21" s="76"/>
      <c r="N21" s="76">
        <f t="shared" si="9"/>
        <v>17305</v>
      </c>
      <c r="O21" s="76">
        <f t="shared" si="10"/>
        <v>112857</v>
      </c>
      <c r="P21" s="398">
        <f t="shared" si="11"/>
        <v>15.33356371337179</v>
      </c>
    </row>
    <row r="22" spans="1:16">
      <c r="A22" s="75" t="s">
        <v>31</v>
      </c>
      <c r="B22" s="76">
        <f t="shared" si="0"/>
        <v>7295</v>
      </c>
      <c r="C22" s="76">
        <f t="shared" si="1"/>
        <v>40876</v>
      </c>
      <c r="D22" s="398">
        <f t="shared" si="2"/>
        <v>17.846658185732458</v>
      </c>
      <c r="E22" s="76"/>
      <c r="F22" s="76">
        <f t="shared" si="3"/>
        <v>6637</v>
      </c>
      <c r="G22" s="76">
        <f t="shared" si="4"/>
        <v>41676</v>
      </c>
      <c r="H22" s="398">
        <f t="shared" si="5"/>
        <v>15.925232747864479</v>
      </c>
      <c r="I22" s="76"/>
      <c r="J22" s="76">
        <f t="shared" si="6"/>
        <v>7117</v>
      </c>
      <c r="K22" s="76">
        <f t="shared" si="7"/>
        <v>41958</v>
      </c>
      <c r="L22" s="398">
        <f t="shared" si="8"/>
        <v>16.962200295533627</v>
      </c>
      <c r="M22" s="76"/>
      <c r="N22" s="76">
        <f t="shared" si="9"/>
        <v>7972</v>
      </c>
      <c r="O22" s="76">
        <f t="shared" si="10"/>
        <v>41958</v>
      </c>
      <c r="P22" s="398">
        <f t="shared" si="11"/>
        <v>18.999952333285666</v>
      </c>
    </row>
    <row r="23" spans="1:16">
      <c r="A23" s="75" t="s">
        <v>32</v>
      </c>
      <c r="B23" s="76">
        <f t="shared" si="0"/>
        <v>5621</v>
      </c>
      <c r="C23" s="76">
        <f t="shared" si="1"/>
        <v>43590</v>
      </c>
      <c r="D23" s="398">
        <f t="shared" si="2"/>
        <v>12.895159440238588</v>
      </c>
      <c r="E23" s="76"/>
      <c r="F23" s="76">
        <f t="shared" si="3"/>
        <v>5348</v>
      </c>
      <c r="G23" s="76">
        <f t="shared" si="4"/>
        <v>43995</v>
      </c>
      <c r="H23" s="398">
        <f t="shared" si="5"/>
        <v>12.155926809864757</v>
      </c>
      <c r="I23" s="76"/>
      <c r="J23" s="76">
        <f t="shared" si="6"/>
        <v>5768</v>
      </c>
      <c r="K23" s="76">
        <f t="shared" si="7"/>
        <v>43891</v>
      </c>
      <c r="L23" s="398">
        <f t="shared" si="8"/>
        <v>13.141646351188172</v>
      </c>
      <c r="M23" s="76"/>
      <c r="N23" s="76">
        <f t="shared" si="9"/>
        <v>6521</v>
      </c>
      <c r="O23" s="76">
        <f t="shared" si="10"/>
        <v>43891</v>
      </c>
      <c r="P23" s="398">
        <f t="shared" si="11"/>
        <v>14.857260030530178</v>
      </c>
    </row>
    <row r="24" spans="1:16">
      <c r="A24" s="75" t="s">
        <v>33</v>
      </c>
      <c r="B24" s="76">
        <f t="shared" si="0"/>
        <v>1308</v>
      </c>
      <c r="C24" s="76">
        <f t="shared" si="1"/>
        <v>12925</v>
      </c>
      <c r="D24" s="398">
        <f t="shared" si="2"/>
        <v>10.119922630560929</v>
      </c>
      <c r="E24" s="76"/>
      <c r="F24" s="76">
        <f t="shared" si="3"/>
        <v>1222</v>
      </c>
      <c r="G24" s="76">
        <f t="shared" si="4"/>
        <v>12986</v>
      </c>
      <c r="H24" s="398">
        <f t="shared" si="5"/>
        <v>9.4101339904512553</v>
      </c>
      <c r="I24" s="76"/>
      <c r="J24" s="76">
        <f t="shared" si="6"/>
        <v>1293</v>
      </c>
      <c r="K24" s="76">
        <f t="shared" si="7"/>
        <v>12806</v>
      </c>
      <c r="L24" s="398">
        <f t="shared" si="8"/>
        <v>10.096829611119787</v>
      </c>
      <c r="M24" s="76"/>
      <c r="N24" s="76">
        <f t="shared" si="9"/>
        <v>1446</v>
      </c>
      <c r="O24" s="76">
        <f t="shared" si="10"/>
        <v>12806</v>
      </c>
      <c r="P24" s="398">
        <f t="shared" si="11"/>
        <v>11.291582070904264</v>
      </c>
    </row>
    <row r="25" spans="1:16">
      <c r="A25" s="75" t="s">
        <v>34</v>
      </c>
      <c r="B25" s="76">
        <f t="shared" si="0"/>
        <v>13621</v>
      </c>
      <c r="C25" s="76">
        <f t="shared" si="1"/>
        <v>64886</v>
      </c>
      <c r="D25" s="398">
        <f t="shared" si="2"/>
        <v>20.99220170761027</v>
      </c>
      <c r="E25" s="76"/>
      <c r="F25" s="76">
        <f t="shared" si="3"/>
        <v>13301</v>
      </c>
      <c r="G25" s="76">
        <f t="shared" si="4"/>
        <v>65237</v>
      </c>
      <c r="H25" s="398">
        <f t="shared" si="5"/>
        <v>20.388736453239726</v>
      </c>
      <c r="I25" s="76"/>
      <c r="J25" s="76">
        <f t="shared" si="6"/>
        <v>14131</v>
      </c>
      <c r="K25" s="76">
        <f t="shared" si="7"/>
        <v>64633</v>
      </c>
      <c r="L25" s="398">
        <f t="shared" si="8"/>
        <v>21.863444370522796</v>
      </c>
      <c r="M25" s="76"/>
      <c r="N25" s="76">
        <f t="shared" si="9"/>
        <v>15696</v>
      </c>
      <c r="O25" s="76">
        <f t="shared" si="10"/>
        <v>64633</v>
      </c>
      <c r="P25" s="398">
        <f t="shared" si="11"/>
        <v>24.284808070180866</v>
      </c>
    </row>
    <row r="26" spans="1:16">
      <c r="A26" s="75" t="s">
        <v>36</v>
      </c>
      <c r="B26" s="76">
        <f t="shared" si="0"/>
        <v>843</v>
      </c>
      <c r="C26" s="76">
        <f t="shared" si="1"/>
        <v>10758</v>
      </c>
      <c r="D26" s="398">
        <f t="shared" si="2"/>
        <v>7.8360290016731744</v>
      </c>
      <c r="E26" s="76"/>
      <c r="F26" s="76">
        <f t="shared" si="3"/>
        <v>864</v>
      </c>
      <c r="G26" s="76">
        <f t="shared" si="4"/>
        <v>10799</v>
      </c>
      <c r="H26" s="398">
        <f t="shared" si="5"/>
        <v>8.0007408093341983</v>
      </c>
      <c r="I26" s="76"/>
      <c r="J26" s="76">
        <f t="shared" si="6"/>
        <v>988</v>
      </c>
      <c r="K26" s="76">
        <f t="shared" si="7"/>
        <v>10811</v>
      </c>
      <c r="L26" s="398">
        <f t="shared" si="8"/>
        <v>9.1388400702987695</v>
      </c>
      <c r="M26" s="76"/>
      <c r="N26" s="76">
        <f t="shared" si="9"/>
        <v>1148</v>
      </c>
      <c r="O26" s="76">
        <f t="shared" si="10"/>
        <v>10811</v>
      </c>
      <c r="P26" s="398">
        <f t="shared" si="11"/>
        <v>10.61881417075201</v>
      </c>
    </row>
    <row r="27" spans="1:16">
      <c r="A27" s="75" t="s">
        <v>37</v>
      </c>
      <c r="B27" s="76">
        <f t="shared" si="0"/>
        <v>8715</v>
      </c>
      <c r="C27" s="76">
        <f t="shared" si="1"/>
        <v>70315</v>
      </c>
      <c r="D27" s="398">
        <f t="shared" si="2"/>
        <v>12.394225983076158</v>
      </c>
      <c r="E27" s="76"/>
      <c r="F27" s="76">
        <f t="shared" si="3"/>
        <v>8121</v>
      </c>
      <c r="G27" s="76">
        <f t="shared" si="4"/>
        <v>71103</v>
      </c>
      <c r="H27" s="398">
        <f t="shared" si="5"/>
        <v>11.421459010168347</v>
      </c>
      <c r="I27" s="76"/>
      <c r="J27" s="76">
        <f t="shared" si="6"/>
        <v>8932</v>
      </c>
      <c r="K27" s="76">
        <f t="shared" si="7"/>
        <v>70837</v>
      </c>
      <c r="L27" s="398">
        <f t="shared" si="8"/>
        <v>12.609229639877464</v>
      </c>
      <c r="M27" s="76"/>
      <c r="N27" s="76">
        <f t="shared" si="9"/>
        <v>10128</v>
      </c>
      <c r="O27" s="76">
        <f t="shared" si="10"/>
        <v>70837</v>
      </c>
      <c r="P27" s="398">
        <f t="shared" si="11"/>
        <v>14.297612829453534</v>
      </c>
    </row>
    <row r="28" spans="1:16">
      <c r="A28" s="75" t="s">
        <v>39</v>
      </c>
      <c r="B28" s="76">
        <f t="shared" si="0"/>
        <v>7108</v>
      </c>
      <c r="C28" s="76">
        <f t="shared" si="1"/>
        <v>55296</v>
      </c>
      <c r="D28" s="398">
        <f t="shared" si="2"/>
        <v>12.854456018518517</v>
      </c>
      <c r="E28" s="76"/>
      <c r="F28" s="76">
        <f t="shared" si="3"/>
        <v>6765</v>
      </c>
      <c r="G28" s="76">
        <f t="shared" si="4"/>
        <v>55660</v>
      </c>
      <c r="H28" s="398">
        <f t="shared" si="5"/>
        <v>12.154150197628459</v>
      </c>
      <c r="I28" s="76"/>
      <c r="J28" s="76">
        <f t="shared" si="6"/>
        <v>7429</v>
      </c>
      <c r="K28" s="76">
        <f t="shared" si="7"/>
        <v>55826</v>
      </c>
      <c r="L28" s="398">
        <f t="shared" si="8"/>
        <v>13.30741948196181</v>
      </c>
      <c r="M28" s="76"/>
      <c r="N28" s="76">
        <f t="shared" si="9"/>
        <v>8407</v>
      </c>
      <c r="O28" s="76">
        <f t="shared" si="10"/>
        <v>55826</v>
      </c>
      <c r="P28" s="398">
        <f t="shared" si="11"/>
        <v>15.059291369612726</v>
      </c>
    </row>
    <row r="29" spans="1:16">
      <c r="A29" s="75" t="s">
        <v>40</v>
      </c>
      <c r="B29" s="76">
        <f t="shared" si="0"/>
        <v>1080</v>
      </c>
      <c r="C29" s="76">
        <f t="shared" si="1"/>
        <v>10554</v>
      </c>
      <c r="D29" s="398">
        <f t="shared" si="2"/>
        <v>10.233086981239341</v>
      </c>
      <c r="E29" s="76"/>
      <c r="F29" s="76">
        <f t="shared" si="3"/>
        <v>1063</v>
      </c>
      <c r="G29" s="76">
        <f t="shared" si="4"/>
        <v>10633</v>
      </c>
      <c r="H29" s="398">
        <f t="shared" si="5"/>
        <v>9.99717859494028</v>
      </c>
      <c r="I29" s="76"/>
      <c r="J29" s="76">
        <f t="shared" si="6"/>
        <v>1152</v>
      </c>
      <c r="K29" s="76">
        <f t="shared" si="7"/>
        <v>10621</v>
      </c>
      <c r="L29" s="398">
        <f t="shared" si="8"/>
        <v>10.846436305432633</v>
      </c>
      <c r="M29" s="76"/>
      <c r="N29" s="76">
        <f t="shared" si="9"/>
        <v>1273</v>
      </c>
      <c r="O29" s="76">
        <f t="shared" si="10"/>
        <v>10621</v>
      </c>
      <c r="P29" s="398">
        <f t="shared" si="11"/>
        <v>11.985688729874775</v>
      </c>
    </row>
    <row r="30" spans="1:16">
      <c r="A30" s="75" t="s">
        <v>41</v>
      </c>
      <c r="B30" s="76">
        <f t="shared" si="0"/>
        <v>9077</v>
      </c>
      <c r="C30" s="76">
        <f t="shared" si="1"/>
        <v>52753</v>
      </c>
      <c r="D30" s="398">
        <f t="shared" si="2"/>
        <v>17.206604363732868</v>
      </c>
      <c r="E30" s="76"/>
      <c r="F30" s="76">
        <f t="shared" si="3"/>
        <v>8505</v>
      </c>
      <c r="G30" s="76">
        <f t="shared" si="4"/>
        <v>52920</v>
      </c>
      <c r="H30" s="398">
        <f t="shared" si="5"/>
        <v>16.071428571428573</v>
      </c>
      <c r="I30" s="76"/>
      <c r="J30" s="76">
        <f t="shared" si="6"/>
        <v>9094</v>
      </c>
      <c r="K30" s="76">
        <f t="shared" si="7"/>
        <v>52851</v>
      </c>
      <c r="L30" s="398">
        <f t="shared" si="8"/>
        <v>17.206864581559479</v>
      </c>
      <c r="M30" s="76"/>
      <c r="N30" s="76">
        <f t="shared" si="9"/>
        <v>10021</v>
      </c>
      <c r="O30" s="76">
        <f t="shared" si="10"/>
        <v>52851</v>
      </c>
      <c r="P30" s="398">
        <f t="shared" si="11"/>
        <v>18.960852207148399</v>
      </c>
    </row>
    <row r="31" spans="1:16">
      <c r="A31" s="75" t="s">
        <v>43</v>
      </c>
      <c r="B31" s="76">
        <f t="shared" si="0"/>
        <v>5745</v>
      </c>
      <c r="C31" s="76">
        <f t="shared" si="1"/>
        <v>40174</v>
      </c>
      <c r="D31" s="398">
        <f t="shared" si="2"/>
        <v>14.300293722307961</v>
      </c>
      <c r="E31" s="76"/>
      <c r="F31" s="76">
        <f t="shared" si="3"/>
        <v>5129</v>
      </c>
      <c r="G31" s="76">
        <f t="shared" si="4"/>
        <v>40609</v>
      </c>
      <c r="H31" s="398">
        <f t="shared" si="5"/>
        <v>12.630205126942304</v>
      </c>
      <c r="I31" s="76"/>
      <c r="J31" s="76">
        <f t="shared" si="6"/>
        <v>5596</v>
      </c>
      <c r="K31" s="76">
        <f t="shared" si="7"/>
        <v>40810</v>
      </c>
      <c r="L31" s="398">
        <f t="shared" si="8"/>
        <v>13.712325410438616</v>
      </c>
      <c r="M31" s="76"/>
      <c r="N31" s="76">
        <f t="shared" si="9"/>
        <v>6145</v>
      </c>
      <c r="O31" s="76">
        <f t="shared" si="10"/>
        <v>40810</v>
      </c>
      <c r="P31" s="398">
        <f t="shared" si="11"/>
        <v>15.057583925508453</v>
      </c>
    </row>
    <row r="32" spans="1:16">
      <c r="A32" s="75" t="s">
        <v>23</v>
      </c>
      <c r="B32" s="76">
        <f t="shared" si="0"/>
        <v>5131</v>
      </c>
      <c r="C32" s="76">
        <f t="shared" si="1"/>
        <v>46849</v>
      </c>
      <c r="D32" s="398">
        <f t="shared" si="2"/>
        <v>10.952208158125041</v>
      </c>
      <c r="E32" s="76"/>
      <c r="F32" s="76">
        <f t="shared" si="3"/>
        <v>4617</v>
      </c>
      <c r="G32" s="76">
        <f t="shared" si="4"/>
        <v>47131</v>
      </c>
      <c r="H32" s="398">
        <f t="shared" si="5"/>
        <v>9.7961002312702892</v>
      </c>
      <c r="I32" s="76"/>
      <c r="J32" s="76">
        <f t="shared" si="6"/>
        <v>4922</v>
      </c>
      <c r="K32" s="76">
        <f t="shared" si="7"/>
        <v>46610</v>
      </c>
      <c r="L32" s="398">
        <f t="shared" si="8"/>
        <v>10.559965672602447</v>
      </c>
      <c r="M32" s="76"/>
      <c r="N32" s="76">
        <f t="shared" si="9"/>
        <v>5643</v>
      </c>
      <c r="O32" s="76">
        <f t="shared" si="10"/>
        <v>46610</v>
      </c>
      <c r="P32" s="398">
        <f t="shared" si="11"/>
        <v>12.106844024887362</v>
      </c>
    </row>
    <row r="33" spans="1:17">
      <c r="A33" s="75" t="s">
        <v>25</v>
      </c>
      <c r="B33" s="76">
        <f t="shared" si="0"/>
        <v>3761</v>
      </c>
      <c r="C33" s="76">
        <f t="shared" si="1"/>
        <v>40081</v>
      </c>
      <c r="D33" s="398">
        <f t="shared" si="2"/>
        <v>9.3834984157081909</v>
      </c>
      <c r="E33" s="76"/>
      <c r="F33" s="76">
        <f t="shared" si="3"/>
        <v>3396</v>
      </c>
      <c r="G33" s="76">
        <f t="shared" si="4"/>
        <v>40697</v>
      </c>
      <c r="H33" s="398">
        <f t="shared" si="5"/>
        <v>8.3445954247241811</v>
      </c>
      <c r="I33" s="76"/>
      <c r="J33" s="76">
        <f t="shared" si="6"/>
        <v>3798</v>
      </c>
      <c r="K33" s="76">
        <f t="shared" si="7"/>
        <v>40260</v>
      </c>
      <c r="L33" s="398">
        <f t="shared" si="8"/>
        <v>9.4336810730253351</v>
      </c>
      <c r="M33" s="76"/>
      <c r="N33" s="76">
        <f t="shared" si="9"/>
        <v>4502</v>
      </c>
      <c r="O33" s="76">
        <f t="shared" si="10"/>
        <v>40260</v>
      </c>
      <c r="P33" s="398">
        <f t="shared" si="11"/>
        <v>11.182314952806756</v>
      </c>
    </row>
    <row r="34" spans="1:17">
      <c r="A34" s="75" t="s">
        <v>28</v>
      </c>
      <c r="B34" s="76">
        <f t="shared" si="0"/>
        <v>63452</v>
      </c>
      <c r="C34" s="76">
        <f t="shared" si="1"/>
        <v>298847</v>
      </c>
      <c r="D34" s="398">
        <f t="shared" si="2"/>
        <v>21.232269355221902</v>
      </c>
      <c r="E34" s="76"/>
      <c r="F34" s="76">
        <f t="shared" si="3"/>
        <v>61427</v>
      </c>
      <c r="G34" s="76">
        <f t="shared" si="4"/>
        <v>300340</v>
      </c>
      <c r="H34" s="398">
        <f t="shared" si="5"/>
        <v>20.452487181194645</v>
      </c>
      <c r="I34" s="76"/>
      <c r="J34" s="76">
        <f t="shared" si="6"/>
        <v>67030</v>
      </c>
      <c r="K34" s="76">
        <f t="shared" si="7"/>
        <v>297386</v>
      </c>
      <c r="L34" s="398">
        <f t="shared" si="8"/>
        <v>22.53972950979535</v>
      </c>
      <c r="M34" s="76"/>
      <c r="N34" s="76">
        <f t="shared" si="9"/>
        <v>76913</v>
      </c>
      <c r="O34" s="76">
        <f t="shared" si="10"/>
        <v>297386</v>
      </c>
      <c r="P34" s="398">
        <f t="shared" si="11"/>
        <v>25.863019779007757</v>
      </c>
    </row>
    <row r="35" spans="1:17">
      <c r="A35" s="75" t="s">
        <v>30</v>
      </c>
      <c r="B35" s="76">
        <f t="shared" si="0"/>
        <v>8009</v>
      </c>
      <c r="C35" s="76">
        <f t="shared" si="1"/>
        <v>37958</v>
      </c>
      <c r="D35" s="398">
        <f t="shared" si="2"/>
        <v>21.099636440276097</v>
      </c>
      <c r="E35" s="76"/>
      <c r="F35" s="76">
        <f t="shared" si="3"/>
        <v>8073</v>
      </c>
      <c r="G35" s="76">
        <f t="shared" si="4"/>
        <v>38218</v>
      </c>
      <c r="H35" s="398">
        <f t="shared" si="5"/>
        <v>21.123554346119629</v>
      </c>
      <c r="I35" s="76"/>
      <c r="J35" s="76">
        <f t="shared" si="6"/>
        <v>8397</v>
      </c>
      <c r="K35" s="76">
        <f t="shared" si="7"/>
        <v>37556</v>
      </c>
      <c r="L35" s="398">
        <f t="shared" si="8"/>
        <v>22.35861114069656</v>
      </c>
      <c r="M35" s="76"/>
      <c r="N35" s="76">
        <f t="shared" si="9"/>
        <v>9140</v>
      </c>
      <c r="O35" s="76">
        <f t="shared" si="10"/>
        <v>37556</v>
      </c>
      <c r="P35" s="398">
        <f t="shared" si="11"/>
        <v>24.336990094791776</v>
      </c>
    </row>
    <row r="36" spans="1:17">
      <c r="A36" s="75" t="s">
        <v>35</v>
      </c>
      <c r="B36" s="76">
        <f t="shared" si="0"/>
        <v>29562</v>
      </c>
      <c r="C36" s="76">
        <f t="shared" si="1"/>
        <v>153643</v>
      </c>
      <c r="D36" s="398">
        <f t="shared" si="2"/>
        <v>19.240707354061037</v>
      </c>
      <c r="E36" s="76"/>
      <c r="F36" s="76">
        <f t="shared" si="3"/>
        <v>28635</v>
      </c>
      <c r="G36" s="76">
        <f t="shared" si="4"/>
        <v>154382</v>
      </c>
      <c r="H36" s="398">
        <f t="shared" si="5"/>
        <v>18.548146804679302</v>
      </c>
      <c r="I36" s="76"/>
      <c r="J36" s="76">
        <f t="shared" si="6"/>
        <v>31031</v>
      </c>
      <c r="K36" s="76">
        <f t="shared" si="7"/>
        <v>152653</v>
      </c>
      <c r="L36" s="398">
        <f t="shared" si="8"/>
        <v>20.327802270508933</v>
      </c>
      <c r="M36" s="76"/>
      <c r="N36" s="76">
        <f t="shared" si="9"/>
        <v>35385</v>
      </c>
      <c r="O36" s="76">
        <f t="shared" si="10"/>
        <v>152653</v>
      </c>
      <c r="P36" s="398">
        <f t="shared" si="11"/>
        <v>23.180022665784492</v>
      </c>
    </row>
    <row r="37" spans="1:17">
      <c r="A37" s="75" t="s">
        <v>38</v>
      </c>
      <c r="B37" s="76">
        <f t="shared" si="0"/>
        <v>13411</v>
      </c>
      <c r="C37" s="76">
        <f t="shared" si="1"/>
        <v>87910</v>
      </c>
      <c r="D37" s="398">
        <f t="shared" si="2"/>
        <v>15.255374815151859</v>
      </c>
      <c r="E37" s="76"/>
      <c r="F37" s="76">
        <f t="shared" si="3"/>
        <v>12670</v>
      </c>
      <c r="G37" s="76">
        <f t="shared" si="4"/>
        <v>88749</v>
      </c>
      <c r="H37" s="398">
        <f t="shared" si="5"/>
        <v>14.276217196813484</v>
      </c>
      <c r="I37" s="76"/>
      <c r="J37" s="76">
        <f t="shared" si="6"/>
        <v>14108</v>
      </c>
      <c r="K37" s="76">
        <f t="shared" si="7"/>
        <v>87576</v>
      </c>
      <c r="L37" s="398">
        <f t="shared" si="8"/>
        <v>16.109436375262629</v>
      </c>
      <c r="M37" s="76"/>
      <c r="N37" s="76">
        <f t="shared" si="9"/>
        <v>15998</v>
      </c>
      <c r="O37" s="76">
        <f t="shared" si="10"/>
        <v>87576</v>
      </c>
      <c r="P37" s="398">
        <f t="shared" si="11"/>
        <v>18.267561889102037</v>
      </c>
    </row>
    <row r="38" spans="1:17">
      <c r="A38" s="75" t="s">
        <v>42</v>
      </c>
      <c r="B38" s="76">
        <f t="shared" si="0"/>
        <v>25515</v>
      </c>
      <c r="C38" s="76">
        <f t="shared" si="1"/>
        <v>149864</v>
      </c>
      <c r="D38" s="398">
        <f t="shared" si="2"/>
        <v>17.025436395665402</v>
      </c>
      <c r="E38" s="76"/>
      <c r="F38" s="76">
        <f t="shared" si="3"/>
        <v>23915</v>
      </c>
      <c r="G38" s="76">
        <f t="shared" si="4"/>
        <v>151587</v>
      </c>
      <c r="H38" s="398">
        <f t="shared" si="5"/>
        <v>15.776418822194515</v>
      </c>
      <c r="I38" s="76"/>
      <c r="J38" s="76">
        <f t="shared" si="6"/>
        <v>25722</v>
      </c>
      <c r="K38" s="76">
        <f t="shared" si="7"/>
        <v>149454</v>
      </c>
      <c r="L38" s="398">
        <f t="shared" si="8"/>
        <v>17.210646754185234</v>
      </c>
      <c r="M38" s="76"/>
      <c r="N38" s="76">
        <f t="shared" si="9"/>
        <v>28813</v>
      </c>
      <c r="O38" s="76">
        <f t="shared" si="10"/>
        <v>149454</v>
      </c>
      <c r="P38" s="398">
        <f t="shared" si="11"/>
        <v>19.278841650273662</v>
      </c>
    </row>
    <row r="39" spans="1:17">
      <c r="A39" s="75" t="s">
        <v>44</v>
      </c>
      <c r="B39" s="76">
        <f t="shared" si="0"/>
        <v>8508</v>
      </c>
      <c r="C39" s="76">
        <f t="shared" si="1"/>
        <v>43364</v>
      </c>
      <c r="D39" s="398">
        <f t="shared" si="2"/>
        <v>19.619961258186514</v>
      </c>
      <c r="E39" s="76"/>
      <c r="F39" s="76">
        <f t="shared" si="3"/>
        <v>8406</v>
      </c>
      <c r="G39" s="76">
        <f t="shared" si="4"/>
        <v>43481</v>
      </c>
      <c r="H39" s="398">
        <f t="shared" si="5"/>
        <v>19.332582047331019</v>
      </c>
      <c r="I39" s="76"/>
      <c r="J39" s="76">
        <f t="shared" si="6"/>
        <v>9343</v>
      </c>
      <c r="K39" s="76">
        <f t="shared" si="7"/>
        <v>42822</v>
      </c>
      <c r="L39" s="398">
        <f t="shared" si="8"/>
        <v>21.818224277240674</v>
      </c>
      <c r="M39" s="76"/>
      <c r="N39" s="76">
        <f t="shared" si="9"/>
        <v>10583</v>
      </c>
      <c r="O39" s="76">
        <f t="shared" si="10"/>
        <v>42822</v>
      </c>
      <c r="P39" s="398">
        <f t="shared" si="11"/>
        <v>24.713932090981274</v>
      </c>
    </row>
    <row r="40" spans="1:17">
      <c r="A40" s="75" t="s">
        <v>45</v>
      </c>
      <c r="B40" s="76">
        <f t="shared" si="0"/>
        <v>13705</v>
      </c>
      <c r="C40" s="76">
        <f t="shared" si="1"/>
        <v>80932</v>
      </c>
      <c r="D40" s="398">
        <f t="shared" si="2"/>
        <v>16.933969258142639</v>
      </c>
      <c r="E40" s="76"/>
      <c r="F40" s="76">
        <f t="shared" si="3"/>
        <v>12981</v>
      </c>
      <c r="G40" s="76">
        <f t="shared" si="4"/>
        <v>81779</v>
      </c>
      <c r="H40" s="398">
        <f t="shared" si="5"/>
        <v>15.873268198437252</v>
      </c>
      <c r="I40" s="76"/>
      <c r="J40" s="76">
        <f t="shared" si="6"/>
        <v>14329</v>
      </c>
      <c r="K40" s="76">
        <f t="shared" si="7"/>
        <v>81029</v>
      </c>
      <c r="L40" s="398">
        <f t="shared" si="8"/>
        <v>17.683792222537608</v>
      </c>
      <c r="M40" s="76"/>
      <c r="N40" s="76">
        <f t="shared" si="9"/>
        <v>16409</v>
      </c>
      <c r="O40" s="76">
        <f t="shared" si="10"/>
        <v>81029</v>
      </c>
      <c r="P40" s="398">
        <f t="shared" si="11"/>
        <v>20.250774414098657</v>
      </c>
    </row>
    <row r="41" spans="1:17">
      <c r="A41" s="75" t="s">
        <v>48</v>
      </c>
      <c r="B41" s="76">
        <f>SUM(B32:B39)</f>
        <v>157349</v>
      </c>
      <c r="C41" s="76">
        <f>SUM(C32:C39)</f>
        <v>858516</v>
      </c>
      <c r="D41" s="398">
        <f t="shared" si="2"/>
        <v>18.328021842341901</v>
      </c>
      <c r="F41" s="76">
        <f>SUM(F32:F39)</f>
        <v>151139</v>
      </c>
      <c r="G41" s="76">
        <f>SUM(G32:G39)</f>
        <v>864585</v>
      </c>
      <c r="H41" s="398">
        <f t="shared" si="5"/>
        <v>17.481103650884528</v>
      </c>
      <c r="J41" s="76">
        <f>SUM(J32:J39)</f>
        <v>164351</v>
      </c>
      <c r="K41" s="76">
        <f>SUM(K32:K39)</f>
        <v>854317</v>
      </c>
      <c r="L41" s="398">
        <f t="shared" si="8"/>
        <v>19.237706846521839</v>
      </c>
      <c r="N41" s="76">
        <f>SUM(N32:N39)</f>
        <v>186977</v>
      </c>
      <c r="O41" s="76">
        <f>SUM(O32:O39)</f>
        <v>854317</v>
      </c>
      <c r="P41" s="398">
        <f t="shared" si="11"/>
        <v>21.886138283564531</v>
      </c>
    </row>
    <row r="42" spans="1:17" customFormat="1">
      <c r="A42" s="10" t="s">
        <v>156</v>
      </c>
      <c r="B42" s="15" cm="1">
        <f t="array" ref="B42">SUM(SUMIFS(B$9:B$41,$A$9:$A$41,{"Aberdeen City","Aberdeenshire"}))</f>
        <v>27993</v>
      </c>
      <c r="C42" s="15" cm="1">
        <f t="array" ref="C42">SUM(SUMIFS(C$9:C$41,$A$9:$A$41,{"Aberdeen City","Aberdeenshire"}))</f>
        <v>222705</v>
      </c>
      <c r="D42" s="398">
        <f t="shared" si="2"/>
        <v>12.569542668552568</v>
      </c>
      <c r="E42" s="15"/>
      <c r="F42" s="15" cm="1">
        <f t="array" ref="F42">SUM(SUMIFS(F$9:F$41,$A$9:$A$41,{"Aberdeen City","Aberdeenshire"}))</f>
        <v>26421</v>
      </c>
      <c r="G42" s="15" cm="1">
        <f t="array" ref="G42">SUM(SUMIFS(G$9:G$41,$A$9:$A$41,{"Aberdeen City","Aberdeenshire"}))</f>
        <v>224724</v>
      </c>
      <c r="H42" s="398">
        <f t="shared" si="5"/>
        <v>11.75708869546644</v>
      </c>
      <c r="I42" s="15"/>
      <c r="J42" s="15" cm="1">
        <f t="array" ref="J42">SUM(SUMIFS(J$9:J$41,$A$9:$A$41,{"Aberdeen City","Aberdeenshire"}))</f>
        <v>28738</v>
      </c>
      <c r="K42" s="15" cm="1">
        <f t="array" ref="K42">SUM(SUMIFS(K$9:K$41,$A$9:$A$41,{"Aberdeen City","Aberdeenshire"}))</f>
        <v>227831</v>
      </c>
      <c r="L42" s="398">
        <f t="shared" si="8"/>
        <v>12.613735619823466</v>
      </c>
      <c r="M42" s="15"/>
      <c r="N42" s="15" cm="1">
        <f t="array" ref="N42">SUM(SUMIFS(N$9:N$41,$A$9:$A$41,{"Aberdeen City","Aberdeenshire"}))</f>
        <v>31330</v>
      </c>
      <c r="O42" s="15" cm="1">
        <f t="array" ref="O42">SUM(SUMIFS(O$9:O$41,$A$9:$A$41,{"Aberdeen City","Aberdeenshire"}))</f>
        <v>227831</v>
      </c>
      <c r="P42" s="398">
        <f t="shared" si="11"/>
        <v>13.751421009432431</v>
      </c>
      <c r="Q42" s="15"/>
    </row>
    <row r="43" spans="1:17" customFormat="1">
      <c r="A43" s="10" t="s">
        <v>359</v>
      </c>
      <c r="B43" s="47" cm="1">
        <f t="array" ref="B43">SUM(SUMIFS(B$9:B$41,$A$9:$A$41,{"Falkirk","Stirling","Clackmannanshire"}))</f>
        <v>22671</v>
      </c>
      <c r="C43" s="47" cm="1">
        <f t="array" ref="C43">SUM(SUMIFS(C$9:C$41,$A$9:$A$41,{"Falkirk","Stirling","Clackmannanshire"}))</f>
        <v>137626</v>
      </c>
      <c r="D43" s="398">
        <f t="shared" si="2"/>
        <v>16.472904829029396</v>
      </c>
      <c r="E43" s="7"/>
      <c r="F43" s="47" cm="1">
        <f t="array" ref="F43">SUM(SUMIFS(F$9:F$41,$A$9:$A$41,{"Falkirk","Stirling","Clackmannanshire"}))</f>
        <v>21418</v>
      </c>
      <c r="G43" s="47" cm="1">
        <f t="array" ref="G43">SUM(SUMIFS(G$9:G$41,$A$9:$A$41,{"Falkirk","Stirling","Clackmannanshire"}))</f>
        <v>138412</v>
      </c>
      <c r="H43" s="398">
        <f t="shared" si="5"/>
        <v>15.474091841747825</v>
      </c>
      <c r="I43" s="7"/>
      <c r="J43" s="47" cm="1">
        <f t="array" ref="J43">SUM(SUMIFS(J$9:J$41,$A$9:$A$41,{"Falkirk","Stirling","Clackmannanshire"}))</f>
        <v>23177</v>
      </c>
      <c r="K43" s="47" cm="1">
        <f t="array" ref="K43">SUM(SUMIFS(K$9:K$41,$A$9:$A$41,{"Falkirk","Stirling","Clackmannanshire"}))</f>
        <v>138022</v>
      </c>
      <c r="L43" s="398">
        <f t="shared" si="8"/>
        <v>16.792250510788133</v>
      </c>
      <c r="M43" s="7"/>
      <c r="N43" s="47" cm="1">
        <f t="array" ref="N43">SUM(SUMIFS(N$9:N$41,$A$9:$A$41,{"Falkirk","Stirling","Clackmannanshire"}))</f>
        <v>25729</v>
      </c>
      <c r="O43" s="47" cm="1">
        <f t="array" ref="O43">SUM(SUMIFS(O$9:O$41,$A$9:$A$41,{"Falkirk","Stirling","Clackmannanshire"}))</f>
        <v>138022</v>
      </c>
      <c r="P43" s="398">
        <f t="shared" si="11"/>
        <v>18.64123110808422</v>
      </c>
      <c r="Q43" s="7"/>
    </row>
    <row r="44" spans="1:17" customFormat="1">
      <c r="A44" s="10" t="s">
        <v>157</v>
      </c>
      <c r="B44" s="47" cm="1">
        <f t="array" ref="B44">SUM(SUMIFS(B$9:B$41,$A$9:$A$41,{"East Lothian","Edinburgh, City of","Fife","Midlothian","Scottish Borders","West Lothian"}))</f>
        <v>98883</v>
      </c>
      <c r="C44" s="47" cm="1">
        <f t="array" ref="C44">SUM(SUMIFS(C$9:C$41,$A$9:$A$41,{"East Lothian","Edinburgh, City of","Fife","Midlothian","Scottish Borders","West Lothian"}))</f>
        <v>638288</v>
      </c>
      <c r="D44" s="398">
        <f t="shared" si="2"/>
        <v>15.49190960820194</v>
      </c>
      <c r="E44" s="15"/>
      <c r="F44" s="47" cm="1">
        <f t="array" ref="F44">SUM(SUMIFS(F$9:F$41,$A$9:$A$41,{"East Lothian","Edinburgh, City of","Fife","Midlothian","Scottish Borders","West Lothian"}))</f>
        <v>91183</v>
      </c>
      <c r="G44" s="47" cm="1">
        <f t="array" ref="G44">SUM(SUMIFS(G$9:G$41,$A$9:$A$41,{"East Lothian","Edinburgh, City of","Fife","Midlothian","Scottish Borders","West Lothian"}))</f>
        <v>645360</v>
      </c>
      <c r="H44" s="398">
        <f t="shared" si="5"/>
        <v>14.129013263914715</v>
      </c>
      <c r="I44" s="15"/>
      <c r="J44" s="47" cm="1">
        <f t="array" ref="J44">SUM(SUMIFS(J$9:J$41,$A$9:$A$41,{"East Lothian","Edinburgh, City of","Fife","Midlothian","Scottish Borders","West Lothian"}))</f>
        <v>98516</v>
      </c>
      <c r="K44" s="47" cm="1">
        <f t="array" ref="K44">SUM(SUMIFS(K$9:K$41,$A$9:$A$41,{"East Lothian","Edinburgh, City of","Fife","Midlothian","Scottish Borders","West Lothian"}))</f>
        <v>641502</v>
      </c>
      <c r="L44" s="398">
        <f t="shared" si="8"/>
        <v>15.357083843853955</v>
      </c>
      <c r="M44" s="15"/>
      <c r="N44" s="47" cm="1">
        <f t="array" ref="N44">SUM(SUMIFS(N$9:N$41,$A$9:$A$41,{"East Lothian","Edinburgh, City of","Fife","Midlothian","Scottish Borders","West Lothian"}))</f>
        <v>109983</v>
      </c>
      <c r="O44" s="47" cm="1">
        <f t="array" ref="O44">SUM(SUMIFS(O$9:O$41,$A$9:$A$41,{"East Lothian","Edinburgh, City of","Fife","Midlothian","Scottish Borders","West Lothian"}))</f>
        <v>641502</v>
      </c>
      <c r="P44" s="398">
        <f t="shared" si="11"/>
        <v>17.144607499275139</v>
      </c>
      <c r="Q44" s="15"/>
    </row>
    <row r="45" spans="1:17" customFormat="1">
      <c r="A45" s="10" t="s">
        <v>158</v>
      </c>
      <c r="B45" s="47" cm="1">
        <f t="array" ref="B45">SUM(SUMIFS(B$9:B$41,$A$9:$A$41,{"Angus","Dundee City","Fife","Perth and Kinross"}))</f>
        <v>62190</v>
      </c>
      <c r="C45" s="47" cm="1">
        <f t="array" ref="C45">SUM(SUMIFS(C$9:C$41,$A$9:$A$41,{"Angus","Dundee City","Fife","Perth and Kinross"}))</f>
        <v>367628</v>
      </c>
      <c r="D45" s="398">
        <f t="shared" si="2"/>
        <v>16.916556954312512</v>
      </c>
      <c r="E45" s="15"/>
      <c r="F45" s="47" cm="1">
        <f t="array" ref="F45">SUM(SUMIFS(F$9:F$41,$A$9:$A$41,{"Angus","Dundee City","Fife","Perth and Kinross"}))</f>
        <v>59565</v>
      </c>
      <c r="G45" s="47" cm="1">
        <f t="array" ref="G45">SUM(SUMIFS(G$9:G$41,$A$9:$A$41,{"Angus","Dundee City","Fife","Perth and Kinross"}))</f>
        <v>370532</v>
      </c>
      <c r="H45" s="398">
        <f t="shared" si="5"/>
        <v>16.075534636684552</v>
      </c>
      <c r="I45" s="15"/>
      <c r="J45" s="47" cm="1">
        <f t="array" ref="J45">SUM(SUMIFS(J$9:J$41,$A$9:$A$41,{"Angus","Dundee City","Fife","Perth and Kinross"}))</f>
        <v>64338</v>
      </c>
      <c r="K45" s="47" cm="1">
        <f t="array" ref="K45">SUM(SUMIFS(K$9:K$41,$A$9:$A$41,{"Angus","Dundee City","Fife","Perth and Kinross"}))</f>
        <v>367032</v>
      </c>
      <c r="L45" s="398">
        <f t="shared" si="8"/>
        <v>17.529261753743544</v>
      </c>
      <c r="M45" s="15"/>
      <c r="N45" s="47" cm="1">
        <f t="array" ref="N45">SUM(SUMIFS(N$9:N$41,$A$9:$A$41,{"Angus","Dundee City","Fife","Perth and Kinross"}))</f>
        <v>71080</v>
      </c>
      <c r="O45" s="47" cm="1">
        <f t="array" ref="O45">SUM(SUMIFS(O$9:O$41,$A$9:$A$41,{"Angus","Dundee City","Fife","Perth and Kinross"}))</f>
        <v>367032</v>
      </c>
      <c r="P45" s="398">
        <f t="shared" si="11"/>
        <v>19.366158809041174</v>
      </c>
      <c r="Q45" s="15"/>
    </row>
    <row r="46" spans="1:17">
      <c r="A46" s="75" t="s">
        <v>46</v>
      </c>
      <c r="B46" s="76">
        <f t="shared" ref="B46" si="12">INDEX($B$62:$F$429,MATCH($A46,$B$62:$B$429,0),MATCH(B$8,$B$62:$F$62,0))</f>
        <v>413499</v>
      </c>
      <c r="C46" s="76">
        <f t="shared" ref="C46" si="13">INDEX($J$64:$M$96,MATCH($A46,$I$64:$I$96,0),MATCH(C$8,$J$63:$M$63,0))</f>
        <v>2528823</v>
      </c>
      <c r="D46" s="398">
        <f t="shared" si="2"/>
        <v>16.351440966805505</v>
      </c>
      <c r="E46" s="76"/>
      <c r="F46" s="76">
        <f t="shared" ref="F46" si="14">INDEX($B$62:$F$429,MATCH($A46,$B$62:$B$429,0),MATCH(F$8,$B$62:$F$62,0))</f>
        <v>391743</v>
      </c>
      <c r="G46" s="76">
        <f t="shared" ref="G46" si="15">INDEX($J$64:$M$96,MATCH($A46,$I$64:$I$96,0),MATCH(G$8,$J$63:$M$63,0))</f>
        <v>2549797</v>
      </c>
      <c r="H46" s="398">
        <f t="shared" si="5"/>
        <v>15.363693658750089</v>
      </c>
      <c r="I46" s="76"/>
      <c r="J46" s="76">
        <f t="shared" ref="J46" si="16">INDEX($B$62:$F$429,MATCH($A46,$B$62:$B$429,0),MATCH(J$8,$B$62:$F$62,0))</f>
        <v>424319</v>
      </c>
      <c r="K46" s="76">
        <f t="shared" ref="K46" si="17">INDEX($J$64:$M$96,MATCH($A46,$I$64:$I$96,0),MATCH(K$8,$J$63:$M$63,0))</f>
        <v>2535310</v>
      </c>
      <c r="L46" s="398">
        <f t="shared" si="8"/>
        <v>16.736375433378957</v>
      </c>
      <c r="M46" s="76"/>
      <c r="N46" s="76">
        <f t="shared" ref="N46" si="18">INDEX($B$62:$F$429,MATCH($A46,$B$62:$B$429,0),MATCH(N$8,$B$62:$F$62,0))</f>
        <v>475247</v>
      </c>
      <c r="O46" s="76">
        <f t="shared" ref="O46" si="19">INDEX($J$64:$M$96,MATCH($A46,$I$64:$I$96,0),MATCH(K$8,$J$63:$M$63,0))</f>
        <v>2535310</v>
      </c>
      <c r="P46" s="398">
        <f t="shared" si="11"/>
        <v>18.74512387045371</v>
      </c>
    </row>
    <row r="47" spans="1:17">
      <c r="A47" s="242" t="s">
        <v>246</v>
      </c>
      <c r="B47" s="47" cm="1">
        <f t="array" ref="B47">SUM(SUMIFS(B$9:B$40,$A$9:$A$40,{"East Renfrewshire","East Dunbartonshire","Aberdeenshire","Edinburgh, City of","Perth and Kinross","Aberdeen City","Shetland Islands","Orkney Islands"}))</f>
        <v>79586</v>
      </c>
      <c r="C47" s="47" cm="1">
        <f t="array" ref="C47">SUM(SUMIFS(C$9:C$40,$A$9:$A$40,{"East Renfrewshire","East Dunbartonshire","Aberdeenshire","Edinburgh, City of","Perth and Kinross","Aberdeen City","Shetland Islands","Orkney Islands"}))</f>
        <v>642920</v>
      </c>
      <c r="D47" s="398">
        <f t="shared" si="2"/>
        <v>12.378834069557643</v>
      </c>
      <c r="E47" s="7"/>
      <c r="F47" s="47" cm="1">
        <f t="array" ref="F47">SUM(SUMIFS(F$9:F$40,$A$9:$A$40,{"East Renfrewshire","East Dunbartonshire","Aberdeenshire","Edinburgh, City of","Perth and Kinross","Aberdeen City","Shetland Islands","Orkney Islands"}))</f>
        <v>72586</v>
      </c>
      <c r="G47" s="47" cm="1">
        <f t="array" ref="G47">SUM(SUMIFS(G$9:G$40,$A$9:$A$40,{"East Renfrewshire","East Dunbartonshire","Aberdeenshire","Edinburgh, City of","Perth and Kinross","Aberdeen City","Shetland Islands","Orkney Islands"}))</f>
        <v>649825</v>
      </c>
      <c r="H47" s="398">
        <f t="shared" si="5"/>
        <v>11.170084253452853</v>
      </c>
      <c r="I47" s="7"/>
      <c r="J47" s="47" cm="1">
        <f t="array" ref="J47">SUM(SUMIFS(J$9:J$40,$A$9:$A$40,{"East Renfrewshire","East Dunbartonshire","Aberdeenshire","Edinburgh, City of","Perth and Kinross","Aberdeen City","Shetland Islands","Orkney Islands"}))</f>
        <v>78954</v>
      </c>
      <c r="K47" s="47" cm="1">
        <f t="array" ref="K47">SUM(SUMIFS(K$9:K$40,$A$9:$A$40,{"East Renfrewshire","East Dunbartonshire","Aberdeenshire","Edinburgh, City of","Perth and Kinross","Aberdeen City","Shetland Islands","Orkney Islands"}))</f>
        <v>648991</v>
      </c>
      <c r="L47" s="398">
        <f t="shared" si="8"/>
        <v>12.165654069162747</v>
      </c>
      <c r="M47" s="7"/>
      <c r="N47" s="47" cm="1">
        <f t="array" ref="N47">SUM(SUMIFS(N$9:N$40,$A$9:$A$40,{"East Renfrewshire","East Dunbartonshire","Aberdeenshire","Edinburgh, City of","Perth and Kinross","Aberdeen City","Shetland Islands","Orkney Islands"}))</f>
        <v>87903</v>
      </c>
      <c r="O47" s="47" cm="1">
        <f t="array" ref="O47">SUM(SUMIFS(O$9:O$40,$A$9:$A$40,{"East Renfrewshire","East Dunbartonshire","Aberdeenshire","Edinburgh, City of","Perth and Kinross","Aberdeen City","Shetland Islands","Orkney Islands"}))</f>
        <v>648991</v>
      </c>
      <c r="P47" s="398">
        <f t="shared" si="11"/>
        <v>13.544563792101894</v>
      </c>
    </row>
    <row r="48" spans="1:17">
      <c r="A48" s="242" t="s">
        <v>247</v>
      </c>
      <c r="B48" s="47" cm="1">
        <f t="array" ref="B48">SUM(SUMIFS(B$9:B$40,$A$9:$A$40,{"Moray","Stirling","East Lothian","Angus","Scottish Borders","Highland","Argyll and Bute","Midlothian"}))</f>
        <v>63840</v>
      </c>
      <c r="C48" s="47" cm="1">
        <f t="array" ref="C48">SUM(SUMIFS(C$9:C$40,$A$9:$A$40,{"Moray","Stirling","East Lothian","Angus","Scottish Borders","Highland","Argyll and Bute","Midlothian"}))</f>
        <v>436506</v>
      </c>
      <c r="D48" s="398">
        <f t="shared" si="2"/>
        <v>14.625228519195613</v>
      </c>
      <c r="E48" s="7"/>
      <c r="F48" s="47" cm="1">
        <f t="array" ref="F48">SUM(SUMIFS(F$9:F$40,$A$9:$A$40,{"Moray","Stirling","East Lothian","Angus","Scottish Borders","Highland","Argyll and Bute","Midlothian"}))</f>
        <v>58995</v>
      </c>
      <c r="G48" s="47" cm="1">
        <f t="array" ref="G48">SUM(SUMIFS(G$9:G$40,$A$9:$A$40,{"Moray","Stirling","East Lothian","Angus","Scottish Borders","Highland","Argyll and Bute","Midlothian"}))</f>
        <v>440898</v>
      </c>
      <c r="H48" s="398">
        <f t="shared" si="5"/>
        <v>13.380645863669146</v>
      </c>
      <c r="I48" s="7"/>
      <c r="J48" s="47" cm="1">
        <f t="array" ref="J48">SUM(SUMIFS(J$9:J$40,$A$9:$A$40,{"Moray","Stirling","East Lothian","Angus","Scottish Borders","Highland","Argyll and Bute","Midlothian"}))</f>
        <v>63605</v>
      </c>
      <c r="K48" s="47" cm="1">
        <f t="array" ref="K48">SUM(SUMIFS(K$9:K$40,$A$9:$A$40,{"Moray","Stirling","East Lothian","Angus","Scottish Borders","Highland","Argyll and Bute","Midlothian"}))</f>
        <v>442442</v>
      </c>
      <c r="L48" s="398">
        <f t="shared" si="8"/>
        <v>14.375895597615054</v>
      </c>
      <c r="M48" s="7"/>
      <c r="N48" s="47" cm="1">
        <f t="array" ref="N48">SUM(SUMIFS(N$9:N$40,$A$9:$A$40,{"Moray","Stirling","East Lothian","Angus","Scottish Borders","Highland","Argyll and Bute","Midlothian"}))</f>
        <v>70549</v>
      </c>
      <c r="O48" s="47" cm="1">
        <f t="array" ref="O48">SUM(SUMIFS(O$9:O$40,$A$9:$A$40,{"Moray","Stirling","East Lothian","Angus","Scottish Borders","Highland","Argyll and Bute","Midlothian"}))</f>
        <v>442442</v>
      </c>
      <c r="P48" s="398">
        <f t="shared" si="11"/>
        <v>15.945366850344225</v>
      </c>
    </row>
    <row r="49" spans="1:16">
      <c r="A49" s="242" t="s">
        <v>248</v>
      </c>
      <c r="B49" s="47" cm="1">
        <f t="array" ref="B49">SUM(SUMIFS(B$9:B$40,$A$9:$A$40,{"Falkirk","Dumfries and Galloway","Fife","South Ayrshire","West Lothian","South Lanarkshire","Renfrewshire","Clackmannanshire"}))</f>
        <v>119286</v>
      </c>
      <c r="C49" s="47" cm="1">
        <f t="array" ref="C49">SUM(SUMIFS(C$9:C$40,$A$9:$A$40,{"Falkirk","Dumfries and Galloway","Fife","South Ayrshire","West Lothian","South Lanarkshire","Renfrewshire","Clackmannanshire"}))</f>
        <v>710402</v>
      </c>
      <c r="D49" s="398">
        <f t="shared" si="2"/>
        <v>16.791337862224488</v>
      </c>
      <c r="E49" s="7"/>
      <c r="F49" s="47" cm="1">
        <f t="array" ref="F49">SUM(SUMIFS(F$9:F$40,$A$9:$A$40,{"Falkirk","Dumfries and Galloway","Fife","South Ayrshire","West Lothian","South Lanarkshire","Renfrewshire","Clackmannanshire"}))</f>
        <v>113483</v>
      </c>
      <c r="G49" s="47" cm="1">
        <f t="array" ref="G49">SUM(SUMIFS(G$9:G$40,$A$9:$A$40,{"Falkirk","Dumfries and Galloway","Fife","South Ayrshire","West Lothian","South Lanarkshire","Renfrewshire","Clackmannanshire"}))</f>
        <v>716109</v>
      </c>
      <c r="H49" s="398">
        <f t="shared" si="5"/>
        <v>15.847168517641869</v>
      </c>
      <c r="I49" s="7"/>
      <c r="J49" s="47" cm="1">
        <f t="array" ref="J49">SUM(SUMIFS(J$9:J$40,$A$9:$A$40,{"Falkirk","Dumfries and Galloway","Fife","South Ayrshire","West Lothian","South Lanarkshire","Renfrewshire","Clackmannanshire"}))</f>
        <v>123117</v>
      </c>
      <c r="K49" s="47" cm="1">
        <f t="array" ref="K49">SUM(SUMIFS(K$9:K$40,$A$9:$A$40,{"Falkirk","Dumfries and Galloway","Fife","South Ayrshire","West Lothian","South Lanarkshire","Renfrewshire","Clackmannanshire"}))</f>
        <v>709800</v>
      </c>
      <c r="L49" s="398">
        <f t="shared" si="8"/>
        <v>17.34530853761623</v>
      </c>
      <c r="M49" s="7"/>
      <c r="N49" s="47" cm="1">
        <f t="array" ref="N49">SUM(SUMIFS(N$9:N$40,$A$9:$A$40,{"Falkirk","Dumfries and Galloway","Fife","South Ayrshire","West Lothian","South Lanarkshire","Renfrewshire","Clackmannanshire"}))</f>
        <v>137890</v>
      </c>
      <c r="O49" s="47" cm="1">
        <f t="array" ref="O49">SUM(SUMIFS(O$9:O$40,$A$9:$A$40,{"Falkirk","Dumfries and Galloway","Fife","South Ayrshire","West Lothian","South Lanarkshire","Renfrewshire","Clackmannanshire"}))</f>
        <v>709800</v>
      </c>
      <c r="P49" s="398">
        <f t="shared" si="11"/>
        <v>19.426599041983657</v>
      </c>
    </row>
    <row r="50" spans="1:16">
      <c r="A50" s="242" t="s">
        <v>249</v>
      </c>
      <c r="B50" s="47" cm="1">
        <f t="array" ref="B50">SUM(SUMIFS(B$9:B$40,$A$9:$A$40,{"Na h-Eileanan Siar","Dundee City","East Ayrshire","North Ayrshire","North Lanarkshire","Inverclyde","West Dunbartonshire","Glasgow City"}))</f>
        <v>150774</v>
      </c>
      <c r="C50" s="47" cm="1">
        <f t="array" ref="C50">SUM(SUMIFS(C$9:C$40,$A$9:$A$40,{"Na h-Eileanan Siar","Dundee City","East Ayrshire","North Ayrshire","North Lanarkshire","Inverclyde","West Dunbartonshire","Glasgow City"}))</f>
        <v>738996</v>
      </c>
      <c r="D50" s="398">
        <f t="shared" si="2"/>
        <v>20.402546157218712</v>
      </c>
      <c r="E50" s="7"/>
      <c r="F50" s="47" cm="1">
        <f t="array" ref="F50">SUM(SUMIFS(F$9:F$40,$A$9:$A$40,{"Na h-Eileanan Siar","Dundee City","East Ayrshire","North Ayrshire","North Lanarkshire","Inverclyde","West Dunbartonshire","Glasgow City"}))</f>
        <v>146700</v>
      </c>
      <c r="G50" s="47" cm="1">
        <f t="array" ref="G50">SUM(SUMIFS(G$9:G$40,$A$9:$A$40,{"Na h-Eileanan Siar","Dundee City","East Ayrshire","North Ayrshire","North Lanarkshire","Inverclyde","West Dunbartonshire","Glasgow City"}))</f>
        <v>742966</v>
      </c>
      <c r="H50" s="398">
        <f t="shared" si="5"/>
        <v>19.745183494264879</v>
      </c>
      <c r="I50" s="7"/>
      <c r="J50" s="47" cm="1">
        <f t="array" ref="J50">SUM(SUMIFS(J$9:J$40,$A$9:$A$40,{"Na h-Eileanan Siar","Dundee City","East Ayrshire","North Ayrshire","North Lanarkshire","Inverclyde","West Dunbartonshire","Glasgow City"}))</f>
        <v>158641</v>
      </c>
      <c r="K50" s="47" cm="1">
        <f t="array" ref="K50">SUM(SUMIFS(K$9:K$40,$A$9:$A$40,{"Na h-Eileanan Siar","Dundee City","East Ayrshire","North Ayrshire","North Lanarkshire","Inverclyde","West Dunbartonshire","Glasgow City"}))</f>
        <v>734076</v>
      </c>
      <c r="L50" s="398">
        <f t="shared" si="8"/>
        <v>21.610977609947742</v>
      </c>
      <c r="M50" s="7"/>
      <c r="N50" s="47" cm="1">
        <f t="array" ref="N50">SUM(SUMIFS(N$9:N$40,$A$9:$A$40,{"Na h-Eileanan Siar","Dundee City","East Ayrshire","North Ayrshire","North Lanarkshire","Inverclyde","West Dunbartonshire","Glasgow City"}))</f>
        <v>178901</v>
      </c>
      <c r="O50" s="47" cm="1">
        <f t="array" ref="O50">SUM(SUMIFS(O$9:O$40,$A$9:$A$40,{"Na h-Eileanan Siar","Dundee City","East Ayrshire","North Ayrshire","North Lanarkshire","Inverclyde","West Dunbartonshire","Glasgow City"}))</f>
        <v>734076</v>
      </c>
      <c r="P50" s="398">
        <f t="shared" si="11"/>
        <v>24.370909824050916</v>
      </c>
    </row>
    <row r="51" spans="1:16">
      <c r="A51" s="75" t="s">
        <v>47</v>
      </c>
      <c r="B51" s="399" t="s">
        <v>71</v>
      </c>
      <c r="C51" s="76"/>
      <c r="D51" s="399" t="s">
        <v>71</v>
      </c>
      <c r="E51" s="399"/>
      <c r="F51" s="399" t="s">
        <v>71</v>
      </c>
      <c r="G51" s="399" t="s">
        <v>71</v>
      </c>
      <c r="H51" s="399" t="s">
        <v>71</v>
      </c>
      <c r="I51" s="399"/>
      <c r="J51" s="399" t="s">
        <v>71</v>
      </c>
      <c r="K51" s="399" t="s">
        <v>71</v>
      </c>
      <c r="L51" s="399" t="s">
        <v>71</v>
      </c>
      <c r="M51" s="399"/>
      <c r="N51" s="399" t="s">
        <v>71</v>
      </c>
      <c r="O51" s="399" t="s">
        <v>71</v>
      </c>
      <c r="P51" s="399" t="s">
        <v>71</v>
      </c>
    </row>
    <row r="53" spans="1:16" ht="15.75" thickBot="1"/>
    <row r="54" spans="1:16" ht="15.75" thickBot="1">
      <c r="A54" s="289" t="s">
        <v>369</v>
      </c>
      <c r="B54" s="365"/>
      <c r="C54" s="365"/>
      <c r="D54" s="365"/>
      <c r="E54" s="365"/>
      <c r="F54" s="365"/>
    </row>
    <row r="55" spans="1:16" ht="15.75" thickBot="1">
      <c r="A55" s="289" t="s">
        <v>370</v>
      </c>
      <c r="B55" s="365"/>
      <c r="C55" s="365"/>
      <c r="D55" s="365"/>
      <c r="E55" s="365"/>
      <c r="F55" s="365"/>
    </row>
    <row r="56" spans="1:16" ht="15.75" thickBot="1">
      <c r="A56" s="289" t="s">
        <v>371</v>
      </c>
      <c r="B56" s="365"/>
      <c r="C56" s="365"/>
      <c r="D56" s="365"/>
      <c r="E56" s="365"/>
      <c r="F56" s="365"/>
    </row>
    <row r="57" spans="1:16" ht="15.75" thickBot="1">
      <c r="A57" s="365"/>
      <c r="B57" s="365"/>
      <c r="C57" s="365"/>
      <c r="D57" s="365"/>
      <c r="E57" s="365"/>
      <c r="F57" s="365"/>
    </row>
    <row r="58" spans="1:16" ht="15.75" thickBot="1">
      <c r="A58" s="289" t="s">
        <v>372</v>
      </c>
      <c r="B58" s="365"/>
      <c r="C58" s="365"/>
      <c r="D58" s="365"/>
      <c r="E58" s="365"/>
      <c r="F58" s="365"/>
    </row>
    <row r="59" spans="1:16" ht="15.75" thickBot="1">
      <c r="A59" s="290" t="s">
        <v>373</v>
      </c>
      <c r="B59" s="291" t="s">
        <v>374</v>
      </c>
      <c r="C59" s="365"/>
      <c r="D59" s="365"/>
      <c r="E59" s="365"/>
      <c r="F59" s="365"/>
    </row>
    <row r="60" spans="1:16" ht="15.75" thickBot="1">
      <c r="A60" s="290" t="s">
        <v>375</v>
      </c>
      <c r="B60" s="291" t="s">
        <v>376</v>
      </c>
      <c r="C60" s="365"/>
      <c r="D60" s="365"/>
      <c r="E60" s="365"/>
      <c r="F60" s="365"/>
    </row>
    <row r="61" spans="1:16">
      <c r="A61" s="365"/>
      <c r="B61" s="365"/>
      <c r="C61" s="365"/>
      <c r="D61" s="365"/>
      <c r="E61" s="365"/>
      <c r="F61" s="365"/>
    </row>
    <row r="62" spans="1:16" ht="20.25" thickBot="1">
      <c r="A62" s="400" t="s">
        <v>377</v>
      </c>
      <c r="B62" s="365"/>
      <c r="C62" s="401" t="s">
        <v>418</v>
      </c>
      <c r="D62" s="401" t="s">
        <v>419</v>
      </c>
      <c r="E62" s="401" t="s">
        <v>420</v>
      </c>
      <c r="F62" s="401" t="s">
        <v>421</v>
      </c>
      <c r="I62" s="402" t="s">
        <v>407</v>
      </c>
      <c r="J62"/>
      <c r="K62"/>
      <c r="L62"/>
    </row>
    <row r="63" spans="1:16" ht="37.5" thickTop="1" thickBot="1">
      <c r="A63" s="365"/>
      <c r="B63" s="400" t="s">
        <v>378</v>
      </c>
      <c r="C63" s="365"/>
      <c r="D63" s="365"/>
      <c r="E63" s="365"/>
      <c r="F63" s="365"/>
      <c r="I63" s="403" t="s">
        <v>409</v>
      </c>
      <c r="J63" s="404">
        <v>2020</v>
      </c>
      <c r="K63" s="404">
        <v>2021</v>
      </c>
      <c r="L63" s="404">
        <v>2022</v>
      </c>
      <c r="M63" s="404">
        <v>2023</v>
      </c>
    </row>
    <row r="64" spans="1:16" ht="16.5" thickBot="1">
      <c r="A64" s="365"/>
      <c r="B64" s="405" t="s">
        <v>46</v>
      </c>
      <c r="C64" s="406">
        <v>413499</v>
      </c>
      <c r="D64" s="406">
        <v>391743</v>
      </c>
      <c r="E64" s="406">
        <v>424319</v>
      </c>
      <c r="F64" s="406">
        <v>475247</v>
      </c>
      <c r="I64" s="407" t="s">
        <v>46</v>
      </c>
      <c r="J64" s="408">
        <v>2507625</v>
      </c>
      <c r="K64" s="408">
        <v>2528823</v>
      </c>
      <c r="L64" s="408">
        <v>2549797</v>
      </c>
      <c r="M64" s="408">
        <v>2535310</v>
      </c>
    </row>
    <row r="65" spans="1:13" ht="24.75" thickBot="1">
      <c r="A65" s="365"/>
      <c r="B65" s="405" t="s">
        <v>15</v>
      </c>
      <c r="C65" s="406">
        <v>15834</v>
      </c>
      <c r="D65" s="406">
        <v>14721</v>
      </c>
      <c r="E65" s="406">
        <v>16073</v>
      </c>
      <c r="F65" s="406">
        <v>17239</v>
      </c>
      <c r="I65" s="405" t="s">
        <v>15</v>
      </c>
      <c r="J65" s="60">
        <v>108893</v>
      </c>
      <c r="K65" s="60">
        <v>108844</v>
      </c>
      <c r="L65" s="60">
        <v>109827</v>
      </c>
      <c r="M65" s="410">
        <v>111024</v>
      </c>
    </row>
    <row r="66" spans="1:13" ht="16.5" thickBot="1">
      <c r="A66" s="365"/>
      <c r="B66" s="405" t="s">
        <v>16</v>
      </c>
      <c r="C66" s="406">
        <v>12159</v>
      </c>
      <c r="D66" s="406">
        <v>11700</v>
      </c>
      <c r="E66" s="406">
        <v>12665</v>
      </c>
      <c r="F66" s="406">
        <v>14091</v>
      </c>
      <c r="I66" t="s">
        <v>16</v>
      </c>
      <c r="J66" s="60">
        <v>112713</v>
      </c>
      <c r="K66" s="60">
        <v>113861</v>
      </c>
      <c r="L66" s="60">
        <v>114897</v>
      </c>
      <c r="M66" s="410">
        <v>116807</v>
      </c>
    </row>
    <row r="67" spans="1:13" ht="16.5" thickBot="1">
      <c r="A67" s="365"/>
      <c r="B67" s="405" t="s">
        <v>17</v>
      </c>
      <c r="C67" s="406">
        <v>8163</v>
      </c>
      <c r="D67" s="406">
        <v>7889</v>
      </c>
      <c r="E67" s="406">
        <v>8645</v>
      </c>
      <c r="F67" s="406">
        <v>9590</v>
      </c>
      <c r="I67" t="s">
        <v>17</v>
      </c>
      <c r="J67" s="60">
        <v>54480</v>
      </c>
      <c r="K67" s="60">
        <v>55003</v>
      </c>
      <c r="L67" s="60">
        <v>55441</v>
      </c>
      <c r="M67" s="410">
        <v>54804</v>
      </c>
    </row>
    <row r="68" spans="1:13" ht="16.5" thickBot="1">
      <c r="A68" s="365"/>
      <c r="B68" s="405" t="s">
        <v>18</v>
      </c>
      <c r="C68" s="406">
        <v>5208</v>
      </c>
      <c r="D68" s="406">
        <v>4861</v>
      </c>
      <c r="E68" s="406">
        <v>5354</v>
      </c>
      <c r="F68" s="406">
        <v>6132</v>
      </c>
      <c r="I68" t="s">
        <v>18</v>
      </c>
      <c r="J68" s="60">
        <v>41839</v>
      </c>
      <c r="K68" s="60">
        <v>42384</v>
      </c>
      <c r="L68" s="60">
        <v>42664</v>
      </c>
      <c r="M68" s="410">
        <v>42610</v>
      </c>
    </row>
    <row r="69" spans="1:13" ht="16.5" thickBot="1">
      <c r="A69" s="365"/>
      <c r="B69" s="405" t="s">
        <v>126</v>
      </c>
      <c r="C69" s="406">
        <v>32063</v>
      </c>
      <c r="D69" s="406">
        <v>28104</v>
      </c>
      <c r="E69" s="406">
        <v>30424</v>
      </c>
      <c r="F69" s="406">
        <v>33879</v>
      </c>
      <c r="I69" s="75" t="s">
        <v>126</v>
      </c>
      <c r="J69" s="60">
        <v>239364</v>
      </c>
      <c r="K69" s="60">
        <v>241658</v>
      </c>
      <c r="L69" s="60">
        <v>244738</v>
      </c>
      <c r="M69" s="410">
        <v>242021</v>
      </c>
    </row>
    <row r="70" spans="1:13" ht="24.75" thickBot="1">
      <c r="A70" s="365"/>
      <c r="B70" s="405" t="s">
        <v>19</v>
      </c>
      <c r="C70" s="406">
        <v>4698</v>
      </c>
      <c r="D70" s="406">
        <v>4655</v>
      </c>
      <c r="E70" s="406">
        <v>4954</v>
      </c>
      <c r="F70" s="406">
        <v>5410</v>
      </c>
      <c r="I70" t="s">
        <v>19</v>
      </c>
      <c r="J70" s="60">
        <v>24066</v>
      </c>
      <c r="K70" s="60">
        <v>24077</v>
      </c>
      <c r="L70" s="60">
        <v>24157</v>
      </c>
      <c r="M70" s="410">
        <v>24305</v>
      </c>
    </row>
    <row r="71" spans="1:13" ht="24.75" thickBot="1">
      <c r="A71" s="365"/>
      <c r="B71" s="405" t="s">
        <v>20</v>
      </c>
      <c r="C71" s="406">
        <v>9860</v>
      </c>
      <c r="D71" s="406">
        <v>9721</v>
      </c>
      <c r="E71" s="406">
        <v>10723</v>
      </c>
      <c r="F71" s="406">
        <v>12226</v>
      </c>
      <c r="I71" t="s">
        <v>20</v>
      </c>
      <c r="J71" s="60">
        <v>69957</v>
      </c>
      <c r="K71" s="60">
        <v>70405</v>
      </c>
      <c r="L71" s="60">
        <v>70984</v>
      </c>
      <c r="M71" s="410">
        <v>70696</v>
      </c>
    </row>
    <row r="72" spans="1:13" ht="16.5" thickBot="1">
      <c r="A72" s="365"/>
      <c r="B72" s="405" t="s">
        <v>21</v>
      </c>
      <c r="C72" s="406">
        <v>14520</v>
      </c>
      <c r="D72" s="406">
        <v>14153</v>
      </c>
      <c r="E72" s="406">
        <v>15201</v>
      </c>
      <c r="F72" s="406">
        <v>16523</v>
      </c>
      <c r="I72" t="s">
        <v>21</v>
      </c>
      <c r="J72" s="60">
        <v>70689</v>
      </c>
      <c r="K72" s="60">
        <v>71224</v>
      </c>
      <c r="L72" s="60">
        <v>71701</v>
      </c>
      <c r="M72" s="410">
        <v>70409</v>
      </c>
    </row>
    <row r="73" spans="1:13" ht="16.5" thickBot="1">
      <c r="A73" s="365"/>
      <c r="B73" s="405" t="s">
        <v>22</v>
      </c>
      <c r="C73" s="406">
        <v>11794</v>
      </c>
      <c r="D73" s="406">
        <v>11483</v>
      </c>
      <c r="E73" s="406">
        <v>12215</v>
      </c>
      <c r="F73" s="406">
        <v>13215</v>
      </c>
      <c r="I73" t="s">
        <v>22</v>
      </c>
      <c r="J73" s="60">
        <v>55564</v>
      </c>
      <c r="K73" s="60">
        <v>56149</v>
      </c>
      <c r="L73" s="60">
        <v>56621</v>
      </c>
      <c r="M73" s="410">
        <v>55811</v>
      </c>
    </row>
    <row r="74" spans="1:13" ht="24.75" thickBot="1">
      <c r="A74" s="365"/>
      <c r="B74" s="405" t="s">
        <v>23</v>
      </c>
      <c r="C74" s="406">
        <v>5131</v>
      </c>
      <c r="D74" s="406">
        <v>4617</v>
      </c>
      <c r="E74" s="406">
        <v>4922</v>
      </c>
      <c r="F74" s="406">
        <v>5643</v>
      </c>
      <c r="I74" t="s">
        <v>23</v>
      </c>
      <c r="J74" s="60">
        <v>46563</v>
      </c>
      <c r="K74" s="60">
        <v>46849</v>
      </c>
      <c r="L74" s="60">
        <v>47131</v>
      </c>
      <c r="M74" s="410">
        <v>46610</v>
      </c>
    </row>
    <row r="75" spans="1:13" ht="16.5" thickBot="1">
      <c r="A75" s="365"/>
      <c r="B75" s="405" t="s">
        <v>24</v>
      </c>
      <c r="C75" s="406">
        <v>7920</v>
      </c>
      <c r="D75" s="406">
        <v>7294</v>
      </c>
      <c r="E75" s="406">
        <v>7657</v>
      </c>
      <c r="F75" s="406">
        <v>8477</v>
      </c>
      <c r="I75" t="s">
        <v>24</v>
      </c>
      <c r="J75" s="60">
        <v>47482</v>
      </c>
      <c r="K75" s="60">
        <v>48440</v>
      </c>
      <c r="L75" s="60">
        <v>49220</v>
      </c>
      <c r="M75" s="410">
        <v>49686</v>
      </c>
    </row>
    <row r="76" spans="1:13" ht="24.75" thickBot="1">
      <c r="A76" s="365"/>
      <c r="B76" s="405" t="s">
        <v>25</v>
      </c>
      <c r="C76" s="406">
        <v>3761</v>
      </c>
      <c r="D76" s="406">
        <v>3396</v>
      </c>
      <c r="E76" s="406">
        <v>3798</v>
      </c>
      <c r="F76" s="406">
        <v>4502</v>
      </c>
      <c r="I76" t="s">
        <v>25</v>
      </c>
      <c r="J76" s="60">
        <v>39586</v>
      </c>
      <c r="K76" s="60">
        <v>40081</v>
      </c>
      <c r="L76" s="60">
        <v>40697</v>
      </c>
      <c r="M76" s="410">
        <v>40260</v>
      </c>
    </row>
    <row r="77" spans="1:13" ht="16.5" thickBot="1">
      <c r="A77" s="365"/>
      <c r="B77" s="405" t="s">
        <v>26</v>
      </c>
      <c r="C77" s="406">
        <v>12228</v>
      </c>
      <c r="D77" s="406">
        <v>11634</v>
      </c>
      <c r="E77" s="406">
        <v>12627</v>
      </c>
      <c r="F77" s="406">
        <v>14174</v>
      </c>
      <c r="I77" t="s">
        <v>26</v>
      </c>
      <c r="J77" s="60">
        <v>72994</v>
      </c>
      <c r="K77" s="60">
        <v>73375</v>
      </c>
      <c r="L77" s="60">
        <v>73646</v>
      </c>
      <c r="M77" s="410">
        <v>72907</v>
      </c>
    </row>
    <row r="78" spans="1:13" ht="16.5" thickBot="1">
      <c r="A78" s="365"/>
      <c r="B78" s="405" t="s">
        <v>27</v>
      </c>
      <c r="C78" s="406">
        <v>30792</v>
      </c>
      <c r="D78" s="406">
        <v>29402</v>
      </c>
      <c r="E78" s="406">
        <v>31560</v>
      </c>
      <c r="F78" s="406">
        <v>34839</v>
      </c>
      <c r="I78" t="s">
        <v>27</v>
      </c>
      <c r="J78" s="60">
        <v>169886</v>
      </c>
      <c r="K78" s="60">
        <v>171086</v>
      </c>
      <c r="L78" s="60">
        <v>172287</v>
      </c>
      <c r="M78" s="410">
        <v>170982</v>
      </c>
    </row>
    <row r="79" spans="1:13" ht="24.75" thickBot="1">
      <c r="A79" s="365"/>
      <c r="B79" s="405" t="s">
        <v>28</v>
      </c>
      <c r="C79" s="406">
        <v>63452</v>
      </c>
      <c r="D79" s="406">
        <v>61427</v>
      </c>
      <c r="E79" s="406">
        <v>67030</v>
      </c>
      <c r="F79" s="406">
        <v>76913</v>
      </c>
      <c r="I79" s="409" t="s">
        <v>28</v>
      </c>
      <c r="J79" s="60">
        <v>295761</v>
      </c>
      <c r="K79" s="60">
        <v>298847</v>
      </c>
      <c r="L79" s="60">
        <v>300340</v>
      </c>
      <c r="M79" s="410">
        <v>297386</v>
      </c>
    </row>
    <row r="80" spans="1:13" ht="16.5" thickBot="1">
      <c r="A80" s="365"/>
      <c r="B80" s="405" t="s">
        <v>29</v>
      </c>
      <c r="C80" s="406">
        <v>16780</v>
      </c>
      <c r="D80" s="406">
        <v>15072</v>
      </c>
      <c r="E80" s="406">
        <v>16039</v>
      </c>
      <c r="F80" s="406">
        <v>17305</v>
      </c>
      <c r="I80" t="s">
        <v>29</v>
      </c>
      <c r="J80" s="60">
        <v>110084</v>
      </c>
      <c r="K80" s="60">
        <v>110743</v>
      </c>
      <c r="L80" s="60">
        <v>111633</v>
      </c>
      <c r="M80" s="410">
        <v>112857</v>
      </c>
    </row>
    <row r="81" spans="1:13" ht="16.5" thickBot="1">
      <c r="A81" s="365"/>
      <c r="B81" s="405" t="s">
        <v>30</v>
      </c>
      <c r="C81" s="406">
        <v>8009</v>
      </c>
      <c r="D81" s="406">
        <v>8073</v>
      </c>
      <c r="E81" s="406">
        <v>8397</v>
      </c>
      <c r="F81" s="406">
        <v>9140</v>
      </c>
      <c r="I81" t="s">
        <v>30</v>
      </c>
      <c r="J81" s="60">
        <v>37646</v>
      </c>
      <c r="K81" s="60">
        <v>37958</v>
      </c>
      <c r="L81" s="60">
        <v>38218</v>
      </c>
      <c r="M81" s="410">
        <v>37556</v>
      </c>
    </row>
    <row r="82" spans="1:13" ht="16.5" thickBot="1">
      <c r="A82" s="365"/>
      <c r="B82" s="405" t="s">
        <v>31</v>
      </c>
      <c r="C82" s="406">
        <v>7295</v>
      </c>
      <c r="D82" s="406">
        <v>6637</v>
      </c>
      <c r="E82" s="406">
        <v>7117</v>
      </c>
      <c r="F82" s="406">
        <v>7972</v>
      </c>
      <c r="I82" t="s">
        <v>31</v>
      </c>
      <c r="J82" s="60">
        <v>40137</v>
      </c>
      <c r="K82" s="60">
        <v>40876</v>
      </c>
      <c r="L82" s="60">
        <v>41676</v>
      </c>
      <c r="M82" s="410">
        <v>41958</v>
      </c>
    </row>
    <row r="83" spans="1:13" ht="16.5" thickBot="1">
      <c r="A83" s="365"/>
      <c r="B83" s="405" t="s">
        <v>32</v>
      </c>
      <c r="C83" s="406">
        <v>5621</v>
      </c>
      <c r="D83" s="406">
        <v>5348</v>
      </c>
      <c r="E83" s="406">
        <v>5768</v>
      </c>
      <c r="F83" s="406">
        <v>6521</v>
      </c>
      <c r="I83" t="s">
        <v>32</v>
      </c>
      <c r="J83" s="60">
        <v>43175</v>
      </c>
      <c r="K83" s="60">
        <v>43590</v>
      </c>
      <c r="L83" s="60">
        <v>43995</v>
      </c>
      <c r="M83" s="410">
        <v>43891</v>
      </c>
    </row>
    <row r="84" spans="1:13" ht="24.75" thickBot="1">
      <c r="A84" s="365"/>
      <c r="B84" s="405" t="s">
        <v>33</v>
      </c>
      <c r="C84" s="406">
        <v>1308</v>
      </c>
      <c r="D84" s="406">
        <v>1222</v>
      </c>
      <c r="E84" s="406">
        <v>1293</v>
      </c>
      <c r="F84" s="406">
        <v>1446</v>
      </c>
      <c r="I84" t="s">
        <v>33</v>
      </c>
      <c r="J84" s="60">
        <v>12849</v>
      </c>
      <c r="K84" s="60">
        <v>12925</v>
      </c>
      <c r="L84" s="60">
        <v>12986</v>
      </c>
      <c r="M84" s="410">
        <v>12806</v>
      </c>
    </row>
    <row r="85" spans="1:13" ht="16.5" thickBot="1">
      <c r="A85" s="365"/>
      <c r="B85" s="405" t="s">
        <v>34</v>
      </c>
      <c r="C85" s="406">
        <v>13621</v>
      </c>
      <c r="D85" s="406">
        <v>13301</v>
      </c>
      <c r="E85" s="406">
        <v>14131</v>
      </c>
      <c r="F85" s="406">
        <v>15696</v>
      </c>
      <c r="I85" t="s">
        <v>34</v>
      </c>
      <c r="J85" s="60">
        <v>64415</v>
      </c>
      <c r="K85" s="60">
        <v>64886</v>
      </c>
      <c r="L85" s="60">
        <v>65237</v>
      </c>
      <c r="M85" s="410">
        <v>64633</v>
      </c>
    </row>
    <row r="86" spans="1:13" ht="24.75" thickBot="1">
      <c r="A86" s="365"/>
      <c r="B86" s="405" t="s">
        <v>35</v>
      </c>
      <c r="C86" s="406">
        <v>29562</v>
      </c>
      <c r="D86" s="406">
        <v>28635</v>
      </c>
      <c r="E86" s="406">
        <v>31031</v>
      </c>
      <c r="F86" s="406">
        <v>35385</v>
      </c>
      <c r="I86" t="s">
        <v>35</v>
      </c>
      <c r="J86" s="60">
        <v>152910</v>
      </c>
      <c r="K86" s="60">
        <v>153643</v>
      </c>
      <c r="L86" s="60">
        <v>154382</v>
      </c>
      <c r="M86" s="410">
        <v>152653</v>
      </c>
    </row>
    <row r="87" spans="1:13" ht="16.5" thickBot="1">
      <c r="A87" s="365"/>
      <c r="B87" s="405" t="s">
        <v>36</v>
      </c>
      <c r="C87" s="406">
        <v>843</v>
      </c>
      <c r="D87" s="406">
        <v>864</v>
      </c>
      <c r="E87" s="406">
        <v>988</v>
      </c>
      <c r="F87" s="406">
        <v>1148</v>
      </c>
      <c r="I87" t="s">
        <v>36</v>
      </c>
      <c r="J87" s="60">
        <v>10635</v>
      </c>
      <c r="K87" s="60">
        <v>10758</v>
      </c>
      <c r="L87" s="60">
        <v>10799</v>
      </c>
      <c r="M87" s="410">
        <v>10811</v>
      </c>
    </row>
    <row r="88" spans="1:13" ht="16.5" thickBot="1">
      <c r="A88" s="365"/>
      <c r="B88" s="405" t="s">
        <v>37</v>
      </c>
      <c r="C88" s="406">
        <v>8715</v>
      </c>
      <c r="D88" s="406">
        <v>8121</v>
      </c>
      <c r="E88" s="406">
        <v>8932</v>
      </c>
      <c r="F88" s="406">
        <v>10128</v>
      </c>
      <c r="I88" t="s">
        <v>37</v>
      </c>
      <c r="J88" s="60">
        <v>69432</v>
      </c>
      <c r="K88" s="60">
        <v>70315</v>
      </c>
      <c r="L88" s="60">
        <v>71103</v>
      </c>
      <c r="M88" s="410">
        <v>70837</v>
      </c>
    </row>
    <row r="89" spans="1:13" ht="16.5" thickBot="1">
      <c r="A89" s="365"/>
      <c r="B89" s="405" t="s">
        <v>38</v>
      </c>
      <c r="C89" s="406">
        <v>13411</v>
      </c>
      <c r="D89" s="406">
        <v>12670</v>
      </c>
      <c r="E89" s="406">
        <v>14108</v>
      </c>
      <c r="F89" s="406">
        <v>15998</v>
      </c>
      <c r="I89" t="s">
        <v>38</v>
      </c>
      <c r="J89" s="60">
        <v>87241</v>
      </c>
      <c r="K89" s="60">
        <v>87910</v>
      </c>
      <c r="L89" s="60">
        <v>88749</v>
      </c>
      <c r="M89" s="410">
        <v>87576</v>
      </c>
    </row>
    <row r="90" spans="1:13" ht="16.5" thickBot="1">
      <c r="A90" s="365"/>
      <c r="B90" s="405" t="s">
        <v>39</v>
      </c>
      <c r="C90" s="406">
        <v>7108</v>
      </c>
      <c r="D90" s="406">
        <v>6765</v>
      </c>
      <c r="E90" s="406">
        <v>7429</v>
      </c>
      <c r="F90" s="406">
        <v>8407</v>
      </c>
      <c r="I90" t="s">
        <v>39</v>
      </c>
      <c r="J90" s="60">
        <v>54796</v>
      </c>
      <c r="K90" s="60">
        <v>55296</v>
      </c>
      <c r="L90" s="60">
        <v>55660</v>
      </c>
      <c r="M90" s="410">
        <v>55826</v>
      </c>
    </row>
    <row r="91" spans="1:13" ht="16.5" thickBot="1">
      <c r="A91" s="365"/>
      <c r="B91" s="405" t="s">
        <v>40</v>
      </c>
      <c r="C91" s="406">
        <v>1080</v>
      </c>
      <c r="D91" s="406">
        <v>1063</v>
      </c>
      <c r="E91" s="406">
        <v>1152</v>
      </c>
      <c r="F91" s="406">
        <v>1273</v>
      </c>
      <c r="I91" t="s">
        <v>40</v>
      </c>
      <c r="J91" s="60">
        <v>10461</v>
      </c>
      <c r="K91" s="60">
        <v>10554</v>
      </c>
      <c r="L91" s="60">
        <v>10633</v>
      </c>
      <c r="M91" s="410">
        <v>10621</v>
      </c>
    </row>
    <row r="92" spans="1:13" ht="16.5" thickBot="1">
      <c r="A92" s="365"/>
      <c r="B92" s="405" t="s">
        <v>41</v>
      </c>
      <c r="C92" s="406">
        <v>9077</v>
      </c>
      <c r="D92" s="406">
        <v>8505</v>
      </c>
      <c r="E92" s="406">
        <v>9094</v>
      </c>
      <c r="F92" s="406">
        <v>10021</v>
      </c>
      <c r="I92" t="s">
        <v>41</v>
      </c>
      <c r="J92" s="60">
        <v>52571</v>
      </c>
      <c r="K92" s="60">
        <v>52753</v>
      </c>
      <c r="L92" s="60">
        <v>52920</v>
      </c>
      <c r="M92" s="410">
        <v>52851</v>
      </c>
    </row>
    <row r="93" spans="1:13" ht="24.75" thickBot="1">
      <c r="A93" s="365"/>
      <c r="B93" s="405" t="s">
        <v>42</v>
      </c>
      <c r="C93" s="406">
        <v>25515</v>
      </c>
      <c r="D93" s="406">
        <v>23915</v>
      </c>
      <c r="E93" s="406">
        <v>25722</v>
      </c>
      <c r="F93" s="406">
        <v>28813</v>
      </c>
      <c r="I93" t="s">
        <v>42</v>
      </c>
      <c r="J93" s="60">
        <v>148483</v>
      </c>
      <c r="K93" s="60">
        <v>149864</v>
      </c>
      <c r="L93" s="60">
        <v>151587</v>
      </c>
      <c r="M93" s="410">
        <v>149454</v>
      </c>
    </row>
    <row r="94" spans="1:13" ht="16.5" thickBot="1">
      <c r="A94" s="365"/>
      <c r="B94" s="405" t="s">
        <v>43</v>
      </c>
      <c r="C94" s="406">
        <v>5745</v>
      </c>
      <c r="D94" s="406">
        <v>5129</v>
      </c>
      <c r="E94" s="406">
        <v>5596</v>
      </c>
      <c r="F94" s="406">
        <v>6145</v>
      </c>
      <c r="I94" t="s">
        <v>43</v>
      </c>
      <c r="J94" s="60">
        <v>39896</v>
      </c>
      <c r="K94" s="60">
        <v>40174</v>
      </c>
      <c r="L94" s="60">
        <v>40609</v>
      </c>
      <c r="M94" s="410">
        <v>40810</v>
      </c>
    </row>
    <row r="95" spans="1:13" ht="24.75" thickBot="1">
      <c r="A95" s="365"/>
      <c r="B95" s="405" t="s">
        <v>44</v>
      </c>
      <c r="C95" s="406">
        <v>8508</v>
      </c>
      <c r="D95" s="406">
        <v>8406</v>
      </c>
      <c r="E95" s="406">
        <v>9343</v>
      </c>
      <c r="F95" s="406">
        <v>10583</v>
      </c>
      <c r="I95" t="s">
        <v>44</v>
      </c>
      <c r="J95" s="60">
        <v>43164</v>
      </c>
      <c r="K95" s="60">
        <v>43364</v>
      </c>
      <c r="L95" s="60">
        <v>43481</v>
      </c>
      <c r="M95" s="410">
        <v>42822</v>
      </c>
    </row>
    <row r="96" spans="1:13" ht="16.5" thickBot="1">
      <c r="A96" s="365"/>
      <c r="B96" s="405" t="s">
        <v>45</v>
      </c>
      <c r="C96" s="406">
        <v>13705</v>
      </c>
      <c r="D96" s="406">
        <v>12981</v>
      </c>
      <c r="E96" s="406">
        <v>14329</v>
      </c>
      <c r="F96" s="406">
        <v>16409</v>
      </c>
      <c r="I96" t="s">
        <v>45</v>
      </c>
      <c r="J96" s="60">
        <v>79892</v>
      </c>
      <c r="K96" s="60">
        <v>80932</v>
      </c>
      <c r="L96" s="60">
        <v>81779</v>
      </c>
      <c r="M96" s="410">
        <v>81029</v>
      </c>
    </row>
    <row r="97" spans="1:6" ht="15.75" thickBot="1">
      <c r="A97" s="365"/>
      <c r="B97" s="405" t="s">
        <v>82</v>
      </c>
      <c r="C97" s="406">
        <v>420775</v>
      </c>
      <c r="D97" s="406">
        <v>399593</v>
      </c>
      <c r="E97" s="406">
        <v>427370</v>
      </c>
      <c r="F97" s="406">
        <v>478053</v>
      </c>
    </row>
    <row r="98" spans="1:6" ht="15.75" thickBot="1">
      <c r="A98" s="365"/>
      <c r="B98" s="405"/>
      <c r="C98" s="406"/>
      <c r="D98" s="406"/>
      <c r="E98" s="406"/>
      <c r="F98" s="406"/>
    </row>
    <row r="99" spans="1:6" ht="15.75" thickBot="1">
      <c r="A99" s="365"/>
      <c r="B99" s="405"/>
      <c r="C99" s="406"/>
      <c r="D99" s="406"/>
      <c r="E99" s="406"/>
      <c r="F99" s="406"/>
    </row>
    <row r="100" spans="1:6" ht="15.75" thickBot="1">
      <c r="A100" s="365"/>
      <c r="B100" s="405"/>
      <c r="C100" s="406"/>
      <c r="D100" s="406"/>
      <c r="E100" s="406"/>
      <c r="F100" s="406"/>
    </row>
    <row r="101" spans="1:6" ht="15.75" thickBot="1">
      <c r="A101" s="365"/>
      <c r="B101" s="405"/>
      <c r="C101" s="406"/>
      <c r="D101" s="406"/>
      <c r="E101" s="406"/>
      <c r="F101" s="406"/>
    </row>
    <row r="102" spans="1:6" ht="15.75" thickBot="1">
      <c r="A102" s="365"/>
      <c r="B102" s="405"/>
      <c r="C102" s="406"/>
      <c r="D102" s="406"/>
      <c r="E102" s="406"/>
      <c r="F102" s="406"/>
    </row>
    <row r="103" spans="1:6" ht="15.75" thickBot="1">
      <c r="A103" s="365"/>
      <c r="B103" s="405"/>
      <c r="C103" s="406"/>
      <c r="D103" s="406"/>
      <c r="E103" s="406"/>
      <c r="F103" s="406"/>
    </row>
    <row r="104" spans="1:6" ht="15.75" thickBot="1">
      <c r="A104" s="365"/>
      <c r="B104" s="405"/>
      <c r="C104" s="406"/>
      <c r="D104" s="406"/>
      <c r="E104" s="406"/>
      <c r="F104" s="406"/>
    </row>
    <row r="105" spans="1:6" ht="15.75" thickBot="1">
      <c r="A105" s="365"/>
      <c r="B105" s="405"/>
      <c r="C105" s="406"/>
      <c r="D105" s="406"/>
      <c r="E105" s="406"/>
      <c r="F105" s="406"/>
    </row>
    <row r="106" spans="1:6" ht="15.75" thickBot="1">
      <c r="A106" s="365"/>
      <c r="B106" s="405"/>
      <c r="C106" s="406"/>
      <c r="D106" s="406"/>
      <c r="E106" s="406"/>
      <c r="F106" s="406"/>
    </row>
    <row r="107" spans="1:6" ht="15.75" thickBot="1">
      <c r="A107" s="365"/>
      <c r="B107" s="405"/>
      <c r="C107" s="406"/>
      <c r="D107" s="406"/>
      <c r="E107" s="406"/>
      <c r="F107" s="406"/>
    </row>
    <row r="108" spans="1:6" ht="15.75" thickBot="1">
      <c r="A108" s="365"/>
      <c r="B108" s="405"/>
      <c r="C108" s="406"/>
      <c r="D108" s="406"/>
      <c r="E108" s="406"/>
      <c r="F108" s="406"/>
    </row>
    <row r="109" spans="1:6" ht="15.75" thickBot="1">
      <c r="A109" s="365"/>
      <c r="B109" s="405"/>
      <c r="C109" s="406"/>
      <c r="D109" s="406"/>
      <c r="E109" s="406"/>
      <c r="F109" s="406"/>
    </row>
    <row r="110" spans="1:6" ht="15.75" thickBot="1">
      <c r="A110" s="365"/>
      <c r="B110" s="405"/>
      <c r="C110" s="406"/>
      <c r="D110" s="406"/>
      <c r="E110" s="406"/>
      <c r="F110" s="406"/>
    </row>
    <row r="111" spans="1:6" ht="15.75" thickBot="1">
      <c r="A111" s="365"/>
      <c r="B111" s="405"/>
      <c r="C111" s="406"/>
      <c r="D111" s="406"/>
      <c r="E111" s="406"/>
      <c r="F111" s="406"/>
    </row>
    <row r="112" spans="1:6" ht="15.75" thickBot="1">
      <c r="A112" s="365"/>
      <c r="B112" s="405"/>
      <c r="C112" s="406"/>
      <c r="D112" s="406"/>
      <c r="E112" s="406"/>
      <c r="F112" s="406"/>
    </row>
    <row r="113" spans="1:6" ht="15.75" thickBot="1">
      <c r="A113" s="365"/>
      <c r="B113" s="405"/>
      <c r="C113" s="406"/>
      <c r="D113" s="406"/>
      <c r="E113" s="406"/>
      <c r="F113" s="406"/>
    </row>
    <row r="114" spans="1:6" ht="15.75" thickBot="1">
      <c r="A114" s="365"/>
      <c r="B114" s="405"/>
      <c r="C114" s="406"/>
      <c r="D114" s="406"/>
      <c r="E114" s="406"/>
      <c r="F114" s="406"/>
    </row>
    <row r="115" spans="1:6" ht="15.75" thickBot="1">
      <c r="A115" s="365"/>
      <c r="B115" s="405"/>
      <c r="C115" s="406"/>
      <c r="D115" s="406"/>
      <c r="E115" s="406"/>
      <c r="F115" s="406"/>
    </row>
    <row r="116" spans="1:6" ht="15.75" thickBot="1">
      <c r="A116" s="365"/>
      <c r="B116" s="405"/>
      <c r="C116" s="406"/>
      <c r="D116" s="406"/>
      <c r="E116" s="406"/>
      <c r="F116" s="406"/>
    </row>
    <row r="117" spans="1:6" ht="15.75" thickBot="1">
      <c r="A117" s="365"/>
      <c r="B117" s="405"/>
      <c r="C117" s="406"/>
      <c r="D117" s="406"/>
      <c r="E117" s="406"/>
      <c r="F117" s="406"/>
    </row>
    <row r="118" spans="1:6" ht="15.75" thickBot="1">
      <c r="A118" s="365"/>
      <c r="B118" s="405"/>
      <c r="C118" s="406"/>
      <c r="D118" s="406"/>
      <c r="E118" s="406"/>
      <c r="F118" s="406"/>
    </row>
    <row r="119" spans="1:6" ht="15.75" thickBot="1">
      <c r="A119" s="365"/>
      <c r="B119" s="405"/>
      <c r="C119" s="406"/>
      <c r="D119" s="406"/>
      <c r="E119" s="406"/>
      <c r="F119" s="406"/>
    </row>
    <row r="120" spans="1:6" ht="15.75" thickBot="1">
      <c r="A120" s="365"/>
      <c r="B120" s="405"/>
      <c r="C120" s="406"/>
      <c r="D120" s="406"/>
      <c r="E120" s="406"/>
      <c r="F120" s="406"/>
    </row>
    <row r="121" spans="1:6" ht="15.75" thickBot="1">
      <c r="A121" s="365"/>
      <c r="B121" s="405"/>
      <c r="C121" s="406"/>
      <c r="D121" s="406"/>
      <c r="E121" s="406"/>
      <c r="F121" s="406"/>
    </row>
    <row r="122" spans="1:6" ht="15.75" thickBot="1">
      <c r="A122" s="365"/>
      <c r="B122" s="405"/>
      <c r="C122" s="406"/>
      <c r="D122" s="406"/>
      <c r="E122" s="406"/>
      <c r="F122" s="406"/>
    </row>
    <row r="123" spans="1:6" ht="15.75" thickBot="1">
      <c r="A123" s="365"/>
      <c r="B123" s="405"/>
      <c r="C123" s="406"/>
      <c r="D123" s="406"/>
      <c r="E123" s="406"/>
      <c r="F123" s="406"/>
    </row>
    <row r="124" spans="1:6" ht="15.75" thickBot="1">
      <c r="A124" s="365"/>
      <c r="B124" s="405"/>
      <c r="C124" s="406"/>
      <c r="D124" s="406"/>
      <c r="E124" s="406"/>
      <c r="F124" s="406"/>
    </row>
    <row r="125" spans="1:6" ht="15.75" thickBot="1">
      <c r="A125" s="365"/>
      <c r="B125" s="405"/>
      <c r="C125" s="406"/>
      <c r="D125" s="406"/>
      <c r="E125" s="406"/>
      <c r="F125" s="406"/>
    </row>
    <row r="126" spans="1:6" ht="15.75" thickBot="1">
      <c r="A126" s="365"/>
      <c r="B126" s="405"/>
      <c r="C126" s="406"/>
      <c r="D126" s="406"/>
      <c r="E126" s="406"/>
      <c r="F126" s="406"/>
    </row>
    <row r="127" spans="1:6" ht="15.75" thickBot="1">
      <c r="A127" s="365"/>
      <c r="B127" s="405"/>
      <c r="C127" s="406"/>
      <c r="D127" s="406"/>
      <c r="E127" s="406"/>
      <c r="F127" s="406"/>
    </row>
    <row r="128" spans="1:6" ht="15.75" thickBot="1">
      <c r="A128" s="365"/>
      <c r="B128" s="405"/>
      <c r="C128" s="406"/>
      <c r="D128" s="406"/>
      <c r="E128" s="406"/>
      <c r="F128" s="406"/>
    </row>
    <row r="129" spans="1:6" ht="15.75" thickBot="1">
      <c r="A129" s="365"/>
      <c r="B129" s="405"/>
      <c r="C129" s="406"/>
      <c r="D129" s="406"/>
      <c r="E129" s="406"/>
      <c r="F129" s="406"/>
    </row>
    <row r="130" spans="1:6" ht="15.75" thickBot="1">
      <c r="A130" s="365"/>
      <c r="B130" s="405"/>
      <c r="C130" s="406"/>
      <c r="D130" s="406"/>
      <c r="E130" s="406"/>
      <c r="F130" s="406"/>
    </row>
    <row r="131" spans="1:6" ht="15.75" thickBot="1">
      <c r="A131" s="365"/>
      <c r="B131" s="405"/>
      <c r="C131" s="406"/>
      <c r="D131" s="406"/>
      <c r="E131" s="406"/>
      <c r="F131" s="406"/>
    </row>
    <row r="132" spans="1:6" ht="15.75" thickBot="1">
      <c r="A132" s="365"/>
      <c r="B132" s="405"/>
      <c r="C132" s="406"/>
      <c r="D132" s="406"/>
      <c r="E132" s="406"/>
      <c r="F132" s="406"/>
    </row>
    <row r="133" spans="1:6" ht="15.75" thickBot="1">
      <c r="A133" s="365"/>
      <c r="B133" s="405"/>
      <c r="C133" s="406"/>
      <c r="D133" s="406"/>
      <c r="E133" s="406"/>
      <c r="F133" s="406"/>
    </row>
    <row r="134" spans="1:6" ht="15.75" thickBot="1">
      <c r="A134" s="365"/>
      <c r="B134" s="405"/>
      <c r="C134" s="406"/>
      <c r="D134" s="406"/>
      <c r="E134" s="406"/>
      <c r="F134" s="406"/>
    </row>
    <row r="135" spans="1:6" ht="15.75" thickBot="1">
      <c r="A135" s="365"/>
      <c r="B135" s="405"/>
      <c r="C135" s="406"/>
      <c r="D135" s="406"/>
      <c r="E135" s="406"/>
      <c r="F135" s="406"/>
    </row>
    <row r="136" spans="1:6" ht="15.75" thickBot="1">
      <c r="A136" s="365"/>
      <c r="B136" s="405"/>
      <c r="C136" s="406"/>
      <c r="D136" s="406"/>
      <c r="E136" s="406"/>
      <c r="F136" s="406"/>
    </row>
    <row r="137" spans="1:6" ht="15.75" thickBot="1">
      <c r="A137" s="365"/>
      <c r="B137" s="405"/>
      <c r="C137" s="406"/>
      <c r="D137" s="406"/>
      <c r="E137" s="406"/>
      <c r="F137" s="406"/>
    </row>
    <row r="138" spans="1:6" ht="15.75" thickBot="1">
      <c r="A138" s="365"/>
      <c r="B138" s="405"/>
      <c r="C138" s="406"/>
      <c r="D138" s="406"/>
      <c r="E138" s="406"/>
      <c r="F138" s="406"/>
    </row>
    <row r="139" spans="1:6" ht="15.75" thickBot="1">
      <c r="A139" s="365"/>
      <c r="B139" s="405"/>
      <c r="C139" s="406"/>
      <c r="D139" s="406"/>
      <c r="E139" s="406"/>
      <c r="F139" s="406"/>
    </row>
    <row r="140" spans="1:6" ht="15.75" thickBot="1">
      <c r="A140" s="365"/>
      <c r="B140" s="405"/>
      <c r="C140" s="406"/>
      <c r="D140" s="406"/>
      <c r="E140" s="406"/>
      <c r="F140" s="406"/>
    </row>
    <row r="141" spans="1:6" ht="15.75" thickBot="1">
      <c r="A141" s="365"/>
      <c r="B141" s="405"/>
      <c r="C141" s="406"/>
      <c r="D141" s="406"/>
      <c r="E141" s="406"/>
      <c r="F141" s="406"/>
    </row>
    <row r="142" spans="1:6" ht="15.75" thickBot="1">
      <c r="A142" s="365"/>
      <c r="B142" s="405"/>
      <c r="C142" s="406"/>
      <c r="D142" s="406"/>
      <c r="E142" s="406"/>
      <c r="F142" s="406"/>
    </row>
    <row r="143" spans="1:6" ht="15.75" thickBot="1">
      <c r="A143" s="365"/>
      <c r="B143" s="405"/>
      <c r="C143" s="406"/>
      <c r="D143" s="406"/>
      <c r="E143" s="406"/>
      <c r="F143" s="406"/>
    </row>
    <row r="144" spans="1:6" ht="15.75" thickBot="1">
      <c r="A144" s="365"/>
      <c r="B144" s="405"/>
      <c r="C144" s="406"/>
      <c r="D144" s="406"/>
      <c r="E144" s="406"/>
      <c r="F144" s="406"/>
    </row>
    <row r="145" spans="1:6" ht="15.75" thickBot="1">
      <c r="A145" s="365"/>
      <c r="B145" s="405"/>
      <c r="C145" s="406"/>
      <c r="D145" s="406"/>
      <c r="E145" s="406"/>
      <c r="F145" s="406"/>
    </row>
    <row r="146" spans="1:6" ht="15.75" thickBot="1">
      <c r="A146" s="365"/>
      <c r="B146" s="405"/>
      <c r="C146" s="406"/>
      <c r="D146" s="406"/>
      <c r="E146" s="406"/>
      <c r="F146" s="406"/>
    </row>
    <row r="147" spans="1:6" ht="15.75" thickBot="1">
      <c r="A147" s="365"/>
      <c r="B147" s="405"/>
      <c r="C147" s="406"/>
      <c r="D147" s="406"/>
      <c r="E147" s="406"/>
      <c r="F147" s="406"/>
    </row>
    <row r="148" spans="1:6" ht="15.75" thickBot="1">
      <c r="A148" s="365"/>
      <c r="B148" s="405"/>
      <c r="C148" s="406"/>
      <c r="D148" s="406"/>
      <c r="E148" s="406"/>
      <c r="F148" s="406"/>
    </row>
    <row r="149" spans="1:6" ht="15.75" thickBot="1">
      <c r="A149" s="365"/>
      <c r="B149" s="405"/>
      <c r="C149" s="406"/>
      <c r="D149" s="406"/>
      <c r="E149" s="406"/>
      <c r="F149" s="406"/>
    </row>
    <row r="150" spans="1:6" ht="15.75" thickBot="1">
      <c r="A150" s="365"/>
      <c r="B150" s="405"/>
      <c r="C150" s="406"/>
      <c r="D150" s="406"/>
      <c r="E150" s="406"/>
      <c r="F150" s="406"/>
    </row>
    <row r="151" spans="1:6" ht="15.75" thickBot="1">
      <c r="A151" s="365"/>
      <c r="B151" s="405"/>
      <c r="C151" s="406"/>
      <c r="D151" s="406"/>
      <c r="E151" s="406"/>
      <c r="F151" s="406"/>
    </row>
    <row r="152" spans="1:6" ht="15.75" thickBot="1">
      <c r="A152" s="365"/>
      <c r="B152" s="405"/>
      <c r="C152" s="406"/>
      <c r="D152" s="406"/>
      <c r="E152" s="406"/>
      <c r="F152" s="406"/>
    </row>
    <row r="153" spans="1:6" ht="15.75" thickBot="1">
      <c r="A153" s="365"/>
      <c r="B153" s="405"/>
      <c r="C153" s="406"/>
      <c r="D153" s="406"/>
      <c r="E153" s="406"/>
      <c r="F153" s="406"/>
    </row>
    <row r="154" spans="1:6" ht="15.75" thickBot="1">
      <c r="A154" s="365"/>
      <c r="B154" s="405"/>
      <c r="C154" s="406"/>
      <c r="D154" s="406"/>
      <c r="E154" s="406"/>
      <c r="F154" s="406"/>
    </row>
    <row r="155" spans="1:6" ht="15.75" thickBot="1">
      <c r="A155" s="365"/>
      <c r="B155" s="405"/>
      <c r="C155" s="406"/>
      <c r="D155" s="406"/>
      <c r="E155" s="406"/>
      <c r="F155" s="406"/>
    </row>
    <row r="156" spans="1:6" ht="15.75" thickBot="1">
      <c r="A156" s="365"/>
      <c r="B156" s="405"/>
      <c r="C156" s="406"/>
      <c r="D156" s="406"/>
      <c r="E156" s="406"/>
      <c r="F156" s="406"/>
    </row>
    <row r="157" spans="1:6" ht="15.75" thickBot="1">
      <c r="A157" s="365"/>
      <c r="B157" s="405"/>
      <c r="C157" s="406"/>
      <c r="D157" s="406"/>
      <c r="E157" s="406"/>
      <c r="F157" s="406"/>
    </row>
    <row r="158" spans="1:6" ht="15.75" thickBot="1">
      <c r="A158" s="365"/>
      <c r="B158" s="405"/>
      <c r="C158" s="406"/>
      <c r="D158" s="406"/>
      <c r="E158" s="406"/>
      <c r="F158" s="406"/>
    </row>
    <row r="159" spans="1:6" ht="15.75" thickBot="1">
      <c r="A159" s="365"/>
      <c r="B159" s="405"/>
      <c r="C159" s="406"/>
      <c r="D159" s="406"/>
      <c r="E159" s="406"/>
      <c r="F159" s="406"/>
    </row>
    <row r="160" spans="1:6" ht="15.75" thickBot="1">
      <c r="A160" s="365"/>
      <c r="B160" s="405"/>
      <c r="C160" s="406"/>
      <c r="D160" s="406"/>
      <c r="E160" s="406"/>
      <c r="F160" s="406"/>
    </row>
    <row r="161" spans="1:6" ht="15.75" thickBot="1">
      <c r="A161" s="365"/>
      <c r="B161" s="405"/>
      <c r="C161" s="406"/>
      <c r="D161" s="406"/>
      <c r="E161" s="406"/>
      <c r="F161" s="406"/>
    </row>
    <row r="162" spans="1:6" ht="15.75" thickBot="1">
      <c r="A162" s="365"/>
      <c r="B162" s="405"/>
      <c r="C162" s="406"/>
      <c r="D162" s="406"/>
      <c r="E162" s="406"/>
      <c r="F162" s="406"/>
    </row>
    <row r="163" spans="1:6" ht="15.75" thickBot="1">
      <c r="A163" s="365"/>
      <c r="B163" s="405"/>
      <c r="C163" s="406"/>
      <c r="D163" s="406"/>
      <c r="E163" s="406"/>
      <c r="F163" s="406"/>
    </row>
    <row r="164" spans="1:6" ht="15.75" thickBot="1">
      <c r="A164" s="365"/>
      <c r="B164" s="405"/>
      <c r="C164" s="406"/>
      <c r="D164" s="406"/>
      <c r="E164" s="406"/>
      <c r="F164" s="406"/>
    </row>
    <row r="165" spans="1:6" ht="15.75" thickBot="1">
      <c r="A165" s="365"/>
      <c r="B165" s="405"/>
      <c r="C165" s="406"/>
      <c r="D165" s="406"/>
      <c r="E165" s="406"/>
      <c r="F165" s="406"/>
    </row>
    <row r="166" spans="1:6" ht="15.75" thickBot="1">
      <c r="A166" s="365"/>
      <c r="B166" s="405"/>
      <c r="C166" s="406"/>
      <c r="D166" s="406"/>
      <c r="E166" s="406"/>
      <c r="F166" s="406"/>
    </row>
    <row r="167" spans="1:6" ht="15.75" thickBot="1">
      <c r="A167" s="365"/>
      <c r="B167" s="405"/>
      <c r="C167" s="406"/>
      <c r="D167" s="406"/>
      <c r="E167" s="406"/>
      <c r="F167" s="406"/>
    </row>
    <row r="168" spans="1:6" ht="15.75" thickBot="1">
      <c r="A168" s="365"/>
      <c r="B168" s="405"/>
      <c r="C168" s="406"/>
      <c r="D168" s="406"/>
      <c r="E168" s="406"/>
      <c r="F168" s="406"/>
    </row>
    <row r="169" spans="1:6" ht="15.75" thickBot="1">
      <c r="A169" s="365"/>
      <c r="B169" s="405"/>
      <c r="C169" s="406"/>
      <c r="D169" s="406"/>
      <c r="E169" s="406"/>
      <c r="F169" s="406"/>
    </row>
    <row r="170" spans="1:6" ht="15.75" thickBot="1">
      <c r="A170" s="365"/>
      <c r="B170" s="405"/>
      <c r="C170" s="406"/>
      <c r="D170" s="406"/>
      <c r="E170" s="406"/>
      <c r="F170" s="406"/>
    </row>
    <row r="171" spans="1:6" ht="15.75" thickBot="1">
      <c r="A171" s="365"/>
      <c r="B171" s="405"/>
      <c r="C171" s="406"/>
      <c r="D171" s="406"/>
      <c r="E171" s="406"/>
      <c r="F171" s="406"/>
    </row>
    <row r="172" spans="1:6" ht="15.75" thickBot="1">
      <c r="A172" s="365"/>
      <c r="B172" s="405"/>
      <c r="C172" s="406"/>
      <c r="D172" s="406"/>
      <c r="E172" s="406"/>
      <c r="F172" s="406"/>
    </row>
    <row r="173" spans="1:6" ht="15.75" thickBot="1">
      <c r="A173" s="365"/>
      <c r="B173" s="405"/>
      <c r="C173" s="406"/>
      <c r="D173" s="406"/>
      <c r="E173" s="406"/>
      <c r="F173" s="406"/>
    </row>
    <row r="174" spans="1:6" ht="15.75" thickBot="1">
      <c r="A174" s="365"/>
      <c r="B174" s="405"/>
      <c r="C174" s="406"/>
      <c r="D174" s="406"/>
      <c r="E174" s="406"/>
      <c r="F174" s="406"/>
    </row>
    <row r="175" spans="1:6" ht="15.75" thickBot="1">
      <c r="A175" s="365"/>
      <c r="B175" s="405"/>
      <c r="C175" s="406"/>
      <c r="D175" s="406"/>
      <c r="E175" s="406"/>
      <c r="F175" s="406"/>
    </row>
    <row r="176" spans="1:6" ht="15.75" thickBot="1">
      <c r="A176" s="365"/>
      <c r="B176" s="405"/>
      <c r="C176" s="406"/>
      <c r="D176" s="406"/>
      <c r="E176" s="406"/>
      <c r="F176" s="406"/>
    </row>
    <row r="177" spans="1:6" ht="15.75" thickBot="1">
      <c r="A177" s="365"/>
      <c r="B177" s="405"/>
      <c r="C177" s="406"/>
      <c r="D177" s="406"/>
      <c r="E177" s="406"/>
      <c r="F177" s="406"/>
    </row>
    <row r="178" spans="1:6" ht="15.75" thickBot="1">
      <c r="A178" s="365"/>
      <c r="B178" s="405"/>
      <c r="C178" s="406"/>
      <c r="D178" s="406"/>
      <c r="E178" s="406"/>
      <c r="F178" s="406"/>
    </row>
    <row r="179" spans="1:6" ht="15.75" thickBot="1">
      <c r="A179" s="365"/>
      <c r="B179" s="405"/>
      <c r="C179" s="406"/>
      <c r="D179" s="406"/>
      <c r="E179" s="406"/>
      <c r="F179" s="406"/>
    </row>
    <row r="180" spans="1:6" ht="15.75" thickBot="1">
      <c r="A180" s="365"/>
      <c r="B180" s="405"/>
      <c r="C180" s="406"/>
      <c r="D180" s="406"/>
      <c r="E180" s="406"/>
      <c r="F180" s="406"/>
    </row>
    <row r="181" spans="1:6" ht="15.75" thickBot="1">
      <c r="A181" s="365"/>
      <c r="B181" s="405"/>
      <c r="C181" s="406"/>
      <c r="D181" s="406"/>
      <c r="E181" s="406"/>
      <c r="F181" s="406"/>
    </row>
    <row r="182" spans="1:6" ht="15.75" thickBot="1">
      <c r="A182" s="365"/>
      <c r="B182" s="405"/>
      <c r="C182" s="406"/>
      <c r="D182" s="406"/>
      <c r="E182" s="406"/>
      <c r="F182" s="406"/>
    </row>
    <row r="183" spans="1:6" ht="15.75" thickBot="1">
      <c r="A183" s="365"/>
      <c r="B183" s="405"/>
      <c r="C183" s="406"/>
      <c r="D183" s="406"/>
      <c r="E183" s="406"/>
      <c r="F183" s="406"/>
    </row>
    <row r="184" spans="1:6" ht="15.75" thickBot="1">
      <c r="A184" s="365"/>
      <c r="B184" s="405"/>
      <c r="C184" s="406"/>
      <c r="D184" s="406"/>
      <c r="E184" s="406"/>
      <c r="F184" s="406"/>
    </row>
    <row r="185" spans="1:6" ht="15.75" thickBot="1">
      <c r="A185" s="365"/>
      <c r="B185" s="405"/>
      <c r="C185" s="406"/>
      <c r="D185" s="406"/>
      <c r="E185" s="406"/>
      <c r="F185" s="406"/>
    </row>
    <row r="186" spans="1:6" ht="15.75" thickBot="1">
      <c r="A186" s="365"/>
      <c r="B186" s="405"/>
      <c r="C186" s="406"/>
      <c r="D186" s="406"/>
      <c r="E186" s="406"/>
      <c r="F186" s="406"/>
    </row>
    <row r="187" spans="1:6" ht="15.75" thickBot="1">
      <c r="A187" s="365"/>
      <c r="B187" s="405"/>
      <c r="C187" s="406"/>
      <c r="D187" s="406"/>
      <c r="E187" s="406"/>
      <c r="F187" s="406"/>
    </row>
    <row r="188" spans="1:6" ht="15.75" thickBot="1">
      <c r="A188" s="365"/>
      <c r="B188" s="405"/>
      <c r="C188" s="406"/>
      <c r="D188" s="406"/>
      <c r="E188" s="406"/>
      <c r="F188" s="406"/>
    </row>
    <row r="189" spans="1:6" ht="15.75" thickBot="1">
      <c r="A189" s="365"/>
      <c r="B189" s="405"/>
      <c r="C189" s="406"/>
      <c r="D189" s="406"/>
      <c r="E189" s="406"/>
      <c r="F189" s="406"/>
    </row>
    <row r="190" spans="1:6" ht="15.75" thickBot="1">
      <c r="A190" s="365"/>
      <c r="B190" s="405"/>
      <c r="C190" s="406"/>
      <c r="D190" s="406"/>
      <c r="E190" s="406"/>
      <c r="F190" s="406"/>
    </row>
    <row r="191" spans="1:6" ht="15.75" thickBot="1">
      <c r="A191" s="365"/>
      <c r="B191" s="405"/>
      <c r="C191" s="406"/>
      <c r="D191" s="406"/>
      <c r="E191" s="406"/>
      <c r="F191" s="406"/>
    </row>
    <row r="192" spans="1:6" ht="15.75" thickBot="1">
      <c r="A192" s="365"/>
      <c r="B192" s="405"/>
      <c r="C192" s="406"/>
      <c r="D192" s="406"/>
      <c r="E192" s="406"/>
      <c r="F192" s="406"/>
    </row>
    <row r="193" spans="1:6" ht="15.75" thickBot="1">
      <c r="A193" s="365"/>
      <c r="B193" s="405"/>
      <c r="C193" s="406"/>
      <c r="D193" s="406"/>
      <c r="E193" s="406"/>
      <c r="F193" s="406"/>
    </row>
    <row r="194" spans="1:6" ht="15.75" thickBot="1">
      <c r="A194" s="365"/>
      <c r="B194" s="405"/>
      <c r="C194" s="406"/>
      <c r="D194" s="406"/>
      <c r="E194" s="406"/>
      <c r="F194" s="406"/>
    </row>
    <row r="195" spans="1:6" ht="15.75" thickBot="1">
      <c r="A195" s="365"/>
      <c r="B195" s="405"/>
      <c r="C195" s="406"/>
      <c r="D195" s="406"/>
      <c r="E195" s="406"/>
      <c r="F195" s="406"/>
    </row>
    <row r="196" spans="1:6" ht="15.75" thickBot="1">
      <c r="A196" s="365"/>
      <c r="B196" s="405"/>
      <c r="C196" s="406"/>
      <c r="D196" s="406"/>
      <c r="E196" s="406"/>
      <c r="F196" s="406"/>
    </row>
    <row r="197" spans="1:6" ht="15.75" thickBot="1">
      <c r="A197" s="365"/>
      <c r="B197" s="405"/>
      <c r="C197" s="406"/>
      <c r="D197" s="406"/>
      <c r="E197" s="406"/>
      <c r="F197" s="406"/>
    </row>
    <row r="198" spans="1:6" ht="15.75" thickBot="1">
      <c r="A198" s="365"/>
      <c r="B198" s="405"/>
      <c r="C198" s="406"/>
      <c r="D198" s="406"/>
      <c r="E198" s="406"/>
      <c r="F198" s="406"/>
    </row>
    <row r="199" spans="1:6" ht="15.75" thickBot="1">
      <c r="A199" s="365"/>
      <c r="B199" s="405"/>
      <c r="C199" s="406"/>
      <c r="D199" s="406"/>
      <c r="E199" s="406"/>
      <c r="F199" s="406"/>
    </row>
    <row r="200" spans="1:6" ht="15.75" thickBot="1">
      <c r="A200" s="365"/>
      <c r="B200" s="405"/>
      <c r="C200" s="406"/>
      <c r="D200" s="406"/>
      <c r="E200" s="406"/>
      <c r="F200" s="406"/>
    </row>
    <row r="201" spans="1:6" ht="15.75" thickBot="1">
      <c r="A201" s="365"/>
      <c r="B201" s="405"/>
      <c r="C201" s="406"/>
      <c r="D201" s="406"/>
      <c r="E201" s="406"/>
      <c r="F201" s="406"/>
    </row>
    <row r="202" spans="1:6" ht="15.75" thickBot="1">
      <c r="A202" s="365"/>
      <c r="B202" s="405"/>
      <c r="C202" s="406"/>
      <c r="D202" s="406"/>
      <c r="E202" s="406"/>
      <c r="F202" s="406"/>
    </row>
    <row r="203" spans="1:6" ht="15.75" thickBot="1">
      <c r="A203" s="365"/>
      <c r="B203" s="405"/>
      <c r="C203" s="406"/>
      <c r="D203" s="406"/>
      <c r="E203" s="406"/>
      <c r="F203" s="406"/>
    </row>
    <row r="204" spans="1:6" ht="15.75" thickBot="1">
      <c r="A204" s="365"/>
      <c r="B204" s="405"/>
      <c r="C204" s="406"/>
      <c r="D204" s="406"/>
      <c r="E204" s="406"/>
      <c r="F204" s="406"/>
    </row>
    <row r="205" spans="1:6" ht="15.75" thickBot="1">
      <c r="A205" s="365"/>
      <c r="B205" s="405"/>
      <c r="C205" s="406"/>
      <c r="D205" s="406"/>
      <c r="E205" s="406"/>
      <c r="F205" s="406"/>
    </row>
    <row r="206" spans="1:6" ht="15.75" thickBot="1">
      <c r="A206" s="365"/>
      <c r="B206" s="405"/>
      <c r="C206" s="406"/>
      <c r="D206" s="406"/>
      <c r="E206" s="406"/>
      <c r="F206" s="406"/>
    </row>
    <row r="207" spans="1:6" ht="15.75" thickBot="1">
      <c r="A207" s="365"/>
      <c r="B207" s="405"/>
      <c r="C207" s="406"/>
      <c r="D207" s="406"/>
      <c r="E207" s="406"/>
      <c r="F207" s="406"/>
    </row>
    <row r="208" spans="1:6" ht="15.75" thickBot="1">
      <c r="A208" s="365"/>
      <c r="B208" s="405"/>
      <c r="C208" s="406"/>
      <c r="D208" s="406"/>
      <c r="E208" s="406"/>
      <c r="F208" s="406"/>
    </row>
    <row r="209" spans="1:6" ht="15.75" thickBot="1">
      <c r="A209" s="365"/>
      <c r="B209" s="405"/>
      <c r="C209" s="406"/>
      <c r="D209" s="406"/>
      <c r="E209" s="406"/>
      <c r="F209" s="406"/>
    </row>
    <row r="210" spans="1:6" ht="15.75" thickBot="1">
      <c r="A210" s="365"/>
      <c r="B210" s="405"/>
      <c r="C210" s="406"/>
      <c r="D210" s="406"/>
      <c r="E210" s="406"/>
      <c r="F210" s="406"/>
    </row>
    <row r="211" spans="1:6" ht="15.75" thickBot="1">
      <c r="A211" s="365"/>
      <c r="B211" s="405"/>
      <c r="C211" s="406"/>
      <c r="D211" s="406"/>
      <c r="E211" s="406"/>
      <c r="F211" s="406"/>
    </row>
    <row r="212" spans="1:6" ht="15.75" thickBot="1">
      <c r="A212" s="365"/>
      <c r="B212" s="405"/>
      <c r="C212" s="406"/>
      <c r="D212" s="406"/>
      <c r="E212" s="406"/>
      <c r="F212" s="406"/>
    </row>
    <row r="213" spans="1:6" ht="15.75" thickBot="1">
      <c r="A213" s="365"/>
      <c r="B213" s="405"/>
      <c r="C213" s="406"/>
      <c r="D213" s="406"/>
      <c r="E213" s="406"/>
      <c r="F213" s="406"/>
    </row>
    <row r="214" spans="1:6" ht="15.75" thickBot="1">
      <c r="A214" s="365"/>
      <c r="B214" s="405"/>
      <c r="C214" s="406"/>
      <c r="D214" s="406"/>
      <c r="E214" s="406"/>
      <c r="F214" s="406"/>
    </row>
    <row r="215" spans="1:6" ht="15.75" thickBot="1">
      <c r="A215" s="365"/>
      <c r="B215" s="405"/>
      <c r="C215" s="406"/>
      <c r="D215" s="406"/>
      <c r="E215" s="406"/>
      <c r="F215" s="406"/>
    </row>
    <row r="216" spans="1:6" ht="15.75" thickBot="1">
      <c r="A216" s="365"/>
      <c r="B216" s="405"/>
      <c r="C216" s="406"/>
      <c r="D216" s="406"/>
      <c r="E216" s="406"/>
      <c r="F216" s="406"/>
    </row>
    <row r="217" spans="1:6" ht="15.75" thickBot="1">
      <c r="A217" s="365"/>
      <c r="B217" s="405"/>
      <c r="C217" s="406"/>
      <c r="D217" s="406"/>
      <c r="E217" s="406"/>
      <c r="F217" s="406"/>
    </row>
    <row r="218" spans="1:6" ht="15.75" thickBot="1">
      <c r="A218" s="365"/>
      <c r="B218" s="405"/>
      <c r="C218" s="406"/>
      <c r="D218" s="406"/>
      <c r="E218" s="406"/>
      <c r="F218" s="406"/>
    </row>
    <row r="219" spans="1:6" ht="15.75" thickBot="1">
      <c r="A219" s="365"/>
      <c r="B219" s="405"/>
      <c r="C219" s="406"/>
      <c r="D219" s="406"/>
      <c r="E219" s="406"/>
      <c r="F219" s="406"/>
    </row>
    <row r="220" spans="1:6" ht="15.75" thickBot="1">
      <c r="A220" s="365"/>
      <c r="B220" s="405"/>
      <c r="C220" s="406"/>
      <c r="D220" s="406"/>
      <c r="E220" s="406"/>
      <c r="F220" s="406"/>
    </row>
    <row r="221" spans="1:6" ht="15.75" thickBot="1">
      <c r="A221" s="365"/>
      <c r="B221" s="405"/>
      <c r="C221" s="406"/>
      <c r="D221" s="406"/>
      <c r="E221" s="406"/>
      <c r="F221" s="406"/>
    </row>
    <row r="222" spans="1:6" ht="15.75" thickBot="1">
      <c r="A222" s="365"/>
      <c r="B222" s="405"/>
      <c r="C222" s="406"/>
      <c r="D222" s="406"/>
      <c r="E222" s="406"/>
      <c r="F222" s="406"/>
    </row>
    <row r="223" spans="1:6" ht="15.75" thickBot="1">
      <c r="A223" s="365"/>
      <c r="B223" s="405"/>
      <c r="C223" s="406"/>
      <c r="D223" s="406"/>
      <c r="E223" s="406"/>
      <c r="F223" s="406"/>
    </row>
    <row r="224" spans="1:6" ht="15.75" thickBot="1">
      <c r="A224" s="365"/>
      <c r="B224" s="405"/>
      <c r="C224" s="406"/>
      <c r="D224" s="406"/>
      <c r="E224" s="406"/>
      <c r="F224" s="406"/>
    </row>
    <row r="225" spans="1:6" ht="15.75" thickBot="1">
      <c r="A225" s="365"/>
      <c r="B225" s="405"/>
      <c r="C225" s="406"/>
      <c r="D225" s="406"/>
      <c r="E225" s="406"/>
      <c r="F225" s="406"/>
    </row>
    <row r="226" spans="1:6" ht="15.75" thickBot="1">
      <c r="A226" s="365"/>
      <c r="B226" s="405"/>
      <c r="C226" s="406"/>
      <c r="D226" s="406"/>
      <c r="E226" s="406"/>
      <c r="F226" s="406"/>
    </row>
    <row r="227" spans="1:6" ht="15.75" thickBot="1">
      <c r="A227" s="365"/>
      <c r="B227" s="405"/>
      <c r="C227" s="406"/>
      <c r="D227" s="406"/>
      <c r="E227" s="406"/>
      <c r="F227" s="406"/>
    </row>
    <row r="228" spans="1:6" ht="15.75" thickBot="1">
      <c r="A228" s="365"/>
      <c r="B228" s="405"/>
      <c r="C228" s="406"/>
      <c r="D228" s="406"/>
      <c r="E228" s="406"/>
      <c r="F228" s="406"/>
    </row>
    <row r="229" spans="1:6" ht="15.75" thickBot="1">
      <c r="A229" s="365"/>
      <c r="B229" s="405"/>
      <c r="C229" s="406"/>
      <c r="D229" s="406"/>
      <c r="E229" s="406"/>
      <c r="F229" s="406"/>
    </row>
    <row r="230" spans="1:6" ht="15.75" thickBot="1">
      <c r="A230" s="365"/>
      <c r="B230" s="405"/>
      <c r="C230" s="406"/>
      <c r="D230" s="406"/>
      <c r="E230" s="406"/>
      <c r="F230" s="406"/>
    </row>
    <row r="231" spans="1:6" ht="15.75" thickBot="1">
      <c r="A231" s="365"/>
      <c r="B231" s="405"/>
      <c r="C231" s="406"/>
      <c r="D231" s="406"/>
      <c r="E231" s="406"/>
      <c r="F231" s="406"/>
    </row>
    <row r="232" spans="1:6" ht="15.75" thickBot="1">
      <c r="A232" s="365"/>
      <c r="B232" s="405"/>
      <c r="C232" s="406"/>
      <c r="D232" s="406"/>
      <c r="E232" s="406"/>
      <c r="F232" s="406"/>
    </row>
    <row r="233" spans="1:6" ht="15.75" thickBot="1">
      <c r="A233" s="365"/>
      <c r="B233" s="405"/>
      <c r="C233" s="406"/>
      <c r="D233" s="406"/>
      <c r="E233" s="406"/>
      <c r="F233" s="406"/>
    </row>
    <row r="234" spans="1:6" ht="15.75" thickBot="1">
      <c r="A234" s="365"/>
      <c r="B234" s="405"/>
      <c r="C234" s="406"/>
      <c r="D234" s="406"/>
      <c r="E234" s="406"/>
      <c r="F234" s="406"/>
    </row>
    <row r="235" spans="1:6" ht="15.75" thickBot="1">
      <c r="A235" s="365"/>
      <c r="B235" s="405"/>
      <c r="C235" s="406"/>
      <c r="D235" s="406"/>
      <c r="E235" s="406"/>
      <c r="F235" s="406"/>
    </row>
    <row r="236" spans="1:6" ht="15.75" thickBot="1">
      <c r="A236" s="365"/>
      <c r="B236" s="405"/>
      <c r="C236" s="406"/>
      <c r="D236" s="406"/>
      <c r="E236" s="406"/>
      <c r="F236" s="406"/>
    </row>
    <row r="237" spans="1:6" ht="15.75" thickBot="1">
      <c r="A237" s="365"/>
      <c r="B237" s="405"/>
      <c r="C237" s="406"/>
      <c r="D237" s="406"/>
      <c r="E237" s="406"/>
      <c r="F237" s="406"/>
    </row>
    <row r="238" spans="1:6" ht="15.75" thickBot="1">
      <c r="A238" s="365"/>
      <c r="B238" s="405"/>
      <c r="C238" s="406"/>
      <c r="D238" s="406"/>
      <c r="E238" s="406"/>
      <c r="F238" s="406"/>
    </row>
    <row r="239" spans="1:6" ht="15.75" thickBot="1">
      <c r="A239" s="365"/>
      <c r="B239" s="405"/>
      <c r="C239" s="406"/>
      <c r="D239" s="406"/>
      <c r="E239" s="406"/>
      <c r="F239" s="406"/>
    </row>
    <row r="240" spans="1:6" ht="15.75" thickBot="1">
      <c r="A240" s="365"/>
      <c r="B240" s="405"/>
      <c r="C240" s="406"/>
      <c r="D240" s="406"/>
      <c r="E240" s="406"/>
      <c r="F240" s="406"/>
    </row>
    <row r="241" spans="1:6" ht="15.75" thickBot="1">
      <c r="A241" s="365"/>
      <c r="B241" s="405"/>
      <c r="C241" s="406"/>
      <c r="D241" s="406"/>
      <c r="E241" s="406"/>
      <c r="F241" s="406"/>
    </row>
    <row r="242" spans="1:6" ht="15.75" thickBot="1">
      <c r="A242" s="365"/>
      <c r="B242" s="405"/>
      <c r="C242" s="406"/>
      <c r="D242" s="406"/>
      <c r="E242" s="406"/>
      <c r="F242" s="406"/>
    </row>
    <row r="243" spans="1:6" ht="15.75" thickBot="1">
      <c r="A243" s="365"/>
      <c r="B243" s="405"/>
      <c r="C243" s="406"/>
      <c r="D243" s="406"/>
      <c r="E243" s="406"/>
      <c r="F243" s="406"/>
    </row>
    <row r="244" spans="1:6" ht="15.75" thickBot="1">
      <c r="A244" s="365"/>
      <c r="B244" s="405"/>
      <c r="C244" s="406"/>
      <c r="D244" s="406"/>
      <c r="E244" s="406"/>
      <c r="F244" s="406"/>
    </row>
    <row r="245" spans="1:6" ht="15.75" thickBot="1">
      <c r="A245" s="365"/>
      <c r="B245" s="405"/>
      <c r="C245" s="406"/>
      <c r="D245" s="406"/>
      <c r="E245" s="406"/>
      <c r="F245" s="406"/>
    </row>
    <row r="246" spans="1:6" ht="15.75" thickBot="1">
      <c r="A246" s="365"/>
      <c r="B246" s="405"/>
      <c r="C246" s="406"/>
      <c r="D246" s="406"/>
      <c r="E246" s="406"/>
      <c r="F246" s="406"/>
    </row>
    <row r="247" spans="1:6" ht="15.75" thickBot="1">
      <c r="A247" s="365"/>
      <c r="B247" s="405"/>
      <c r="C247" s="406"/>
      <c r="D247" s="406"/>
      <c r="E247" s="406"/>
      <c r="F247" s="406"/>
    </row>
    <row r="248" spans="1:6" ht="15.75" thickBot="1">
      <c r="A248" s="365"/>
      <c r="B248" s="405"/>
      <c r="C248" s="406"/>
      <c r="D248" s="406"/>
      <c r="E248" s="406"/>
      <c r="F248" s="406"/>
    </row>
    <row r="249" spans="1:6" ht="15.75" thickBot="1">
      <c r="A249" s="365"/>
      <c r="B249" s="405"/>
      <c r="C249" s="406"/>
      <c r="D249" s="406"/>
      <c r="E249" s="406"/>
      <c r="F249" s="406"/>
    </row>
    <row r="250" spans="1:6" ht="15.75" thickBot="1">
      <c r="A250" s="365"/>
      <c r="B250" s="405"/>
      <c r="C250" s="406"/>
      <c r="D250" s="406"/>
      <c r="E250" s="406"/>
      <c r="F250" s="406"/>
    </row>
    <row r="251" spans="1:6" ht="15.75" thickBot="1">
      <c r="A251" s="365"/>
      <c r="B251" s="405"/>
      <c r="C251" s="406"/>
      <c r="D251" s="406"/>
      <c r="E251" s="406"/>
      <c r="F251" s="406"/>
    </row>
    <row r="252" spans="1:6" ht="15.75" thickBot="1">
      <c r="A252" s="365"/>
      <c r="B252" s="405"/>
      <c r="C252" s="406"/>
      <c r="D252" s="406"/>
      <c r="E252" s="406"/>
      <c r="F252" s="406"/>
    </row>
    <row r="253" spans="1:6" ht="15.75" thickBot="1">
      <c r="A253" s="365"/>
      <c r="B253" s="405"/>
      <c r="C253" s="406"/>
      <c r="D253" s="406"/>
      <c r="E253" s="406"/>
      <c r="F253" s="406"/>
    </row>
    <row r="254" spans="1:6" ht="15.75" thickBot="1">
      <c r="A254" s="365"/>
      <c r="B254" s="405"/>
      <c r="C254" s="406"/>
      <c r="D254" s="406"/>
      <c r="E254" s="406"/>
      <c r="F254" s="406"/>
    </row>
    <row r="255" spans="1:6" ht="15.75" thickBot="1">
      <c r="A255" s="365"/>
      <c r="B255" s="405"/>
      <c r="C255" s="406"/>
      <c r="D255" s="406"/>
      <c r="E255" s="406"/>
      <c r="F255" s="406"/>
    </row>
    <row r="256" spans="1:6" ht="15.75" thickBot="1">
      <c r="A256" s="365"/>
      <c r="B256" s="405"/>
      <c r="C256" s="406"/>
      <c r="D256" s="406"/>
      <c r="E256" s="406"/>
      <c r="F256" s="406"/>
    </row>
    <row r="257" spans="1:6" ht="15.75" thickBot="1">
      <c r="A257" s="365"/>
      <c r="B257" s="405"/>
      <c r="C257" s="406"/>
      <c r="D257" s="406"/>
      <c r="E257" s="406"/>
      <c r="F257" s="406"/>
    </row>
    <row r="258" spans="1:6" ht="15.75" thickBot="1">
      <c r="A258" s="365"/>
      <c r="B258" s="405"/>
      <c r="C258" s="406"/>
      <c r="D258" s="406"/>
      <c r="E258" s="406"/>
      <c r="F258" s="406"/>
    </row>
    <row r="259" spans="1:6" ht="15.75" thickBot="1">
      <c r="A259" s="365"/>
      <c r="B259" s="405"/>
      <c r="C259" s="406"/>
      <c r="D259" s="406"/>
      <c r="E259" s="406"/>
      <c r="F259" s="406"/>
    </row>
    <row r="260" spans="1:6" ht="15.75" thickBot="1">
      <c r="A260" s="365"/>
      <c r="B260" s="405"/>
      <c r="C260" s="406"/>
      <c r="D260" s="406"/>
      <c r="E260" s="406"/>
      <c r="F260" s="406"/>
    </row>
    <row r="261" spans="1:6" ht="15.75" thickBot="1">
      <c r="A261" s="365"/>
      <c r="B261" s="405"/>
      <c r="C261" s="406"/>
      <c r="D261" s="406"/>
      <c r="E261" s="406"/>
      <c r="F261" s="406"/>
    </row>
    <row r="262" spans="1:6" ht="15.75" thickBot="1">
      <c r="A262" s="365"/>
      <c r="B262" s="405"/>
      <c r="C262" s="406"/>
      <c r="D262" s="406"/>
      <c r="E262" s="406"/>
      <c r="F262" s="406"/>
    </row>
    <row r="263" spans="1:6" ht="15.75" thickBot="1">
      <c r="A263" s="365"/>
      <c r="B263" s="405"/>
      <c r="C263" s="406"/>
      <c r="D263" s="406"/>
      <c r="E263" s="406"/>
      <c r="F263" s="406"/>
    </row>
    <row r="264" spans="1:6" ht="15.75" thickBot="1">
      <c r="A264" s="365"/>
      <c r="B264" s="405"/>
      <c r="C264" s="406"/>
      <c r="D264" s="406"/>
      <c r="E264" s="406"/>
      <c r="F264" s="406"/>
    </row>
    <row r="265" spans="1:6" ht="15.75" thickBot="1">
      <c r="A265" s="365"/>
      <c r="B265" s="405"/>
      <c r="C265" s="406"/>
      <c r="D265" s="406"/>
      <c r="E265" s="406"/>
      <c r="F265" s="406"/>
    </row>
    <row r="266" spans="1:6" ht="15.75" thickBot="1">
      <c r="A266" s="365"/>
      <c r="B266" s="405"/>
      <c r="C266" s="406"/>
      <c r="D266" s="406"/>
      <c r="E266" s="406"/>
      <c r="F266" s="406"/>
    </row>
    <row r="267" spans="1:6" ht="15.75" thickBot="1">
      <c r="A267" s="365"/>
      <c r="B267" s="405"/>
      <c r="C267" s="406"/>
      <c r="D267" s="406"/>
      <c r="E267" s="406"/>
      <c r="F267" s="406"/>
    </row>
    <row r="268" spans="1:6" ht="15.75" thickBot="1">
      <c r="A268" s="365"/>
      <c r="B268" s="405"/>
      <c r="C268" s="406"/>
      <c r="D268" s="406"/>
      <c r="E268" s="406"/>
      <c r="F268" s="406"/>
    </row>
    <row r="269" spans="1:6" ht="15.75" thickBot="1">
      <c r="A269" s="365"/>
      <c r="B269" s="405"/>
      <c r="C269" s="406"/>
      <c r="D269" s="406"/>
      <c r="E269" s="406"/>
      <c r="F269" s="406"/>
    </row>
    <row r="270" spans="1:6" ht="15.75" thickBot="1">
      <c r="A270" s="365"/>
      <c r="B270" s="405"/>
      <c r="C270" s="406"/>
      <c r="D270" s="406"/>
      <c r="E270" s="406"/>
      <c r="F270" s="406"/>
    </row>
    <row r="271" spans="1:6" ht="15.75" thickBot="1">
      <c r="A271" s="365"/>
      <c r="B271" s="405"/>
      <c r="C271" s="406"/>
      <c r="D271" s="406"/>
      <c r="E271" s="406"/>
      <c r="F271" s="406"/>
    </row>
    <row r="272" spans="1:6" ht="15.75" thickBot="1">
      <c r="A272" s="365"/>
      <c r="B272" s="405"/>
      <c r="C272" s="406"/>
      <c r="D272" s="406"/>
      <c r="E272" s="406"/>
      <c r="F272" s="406"/>
    </row>
    <row r="273" spans="1:6" ht="15.75" thickBot="1">
      <c r="A273" s="365"/>
      <c r="B273" s="405"/>
      <c r="C273" s="406"/>
      <c r="D273" s="406"/>
      <c r="E273" s="406"/>
      <c r="F273" s="406"/>
    </row>
    <row r="274" spans="1:6" ht="15.75" thickBot="1">
      <c r="A274" s="365"/>
      <c r="B274" s="405"/>
      <c r="C274" s="406"/>
      <c r="D274" s="406"/>
      <c r="E274" s="406"/>
      <c r="F274" s="406"/>
    </row>
    <row r="275" spans="1:6" ht="15.75" thickBot="1">
      <c r="A275" s="365"/>
      <c r="B275" s="405"/>
      <c r="C275" s="406"/>
      <c r="D275" s="406"/>
      <c r="E275" s="406"/>
      <c r="F275" s="406"/>
    </row>
    <row r="276" spans="1:6" ht="15.75" thickBot="1">
      <c r="A276" s="365"/>
      <c r="B276" s="405"/>
      <c r="C276" s="406"/>
      <c r="D276" s="406"/>
      <c r="E276" s="406"/>
      <c r="F276" s="406"/>
    </row>
    <row r="277" spans="1:6" ht="15.75" thickBot="1">
      <c r="A277" s="365"/>
      <c r="B277" s="405"/>
      <c r="C277" s="406"/>
      <c r="D277" s="406"/>
      <c r="E277" s="406"/>
      <c r="F277" s="406"/>
    </row>
    <row r="278" spans="1:6" ht="15.75" thickBot="1">
      <c r="A278" s="365"/>
      <c r="B278" s="405"/>
      <c r="C278" s="406"/>
      <c r="D278" s="406"/>
      <c r="E278" s="406"/>
      <c r="F278" s="406"/>
    </row>
    <row r="279" spans="1:6" ht="15.75" thickBot="1">
      <c r="A279" s="365"/>
      <c r="B279" s="405"/>
      <c r="C279" s="406"/>
      <c r="D279" s="406"/>
      <c r="E279" s="406"/>
      <c r="F279" s="406"/>
    </row>
    <row r="280" spans="1:6" ht="15.75" thickBot="1">
      <c r="A280" s="365"/>
      <c r="B280" s="405"/>
      <c r="C280" s="406"/>
      <c r="D280" s="406"/>
      <c r="E280" s="406"/>
      <c r="F280" s="406"/>
    </row>
    <row r="281" spans="1:6" ht="15.75" thickBot="1">
      <c r="A281" s="365"/>
      <c r="B281" s="405"/>
      <c r="C281" s="406"/>
      <c r="D281" s="406"/>
      <c r="E281" s="406"/>
      <c r="F281" s="406"/>
    </row>
    <row r="282" spans="1:6" ht="15.75" thickBot="1">
      <c r="A282" s="365"/>
      <c r="B282" s="405"/>
      <c r="C282" s="406"/>
      <c r="D282" s="406"/>
      <c r="E282" s="406"/>
      <c r="F282" s="406"/>
    </row>
    <row r="283" spans="1:6" ht="15.75" thickBot="1">
      <c r="A283" s="365"/>
      <c r="B283" s="405"/>
      <c r="C283" s="406"/>
      <c r="D283" s="406"/>
      <c r="E283" s="406"/>
      <c r="F283" s="406"/>
    </row>
    <row r="284" spans="1:6" ht="15.75" thickBot="1">
      <c r="A284" s="365"/>
      <c r="B284" s="405"/>
      <c r="C284" s="406"/>
      <c r="D284" s="406"/>
      <c r="E284" s="406"/>
      <c r="F284" s="406"/>
    </row>
    <row r="285" spans="1:6" ht="15.75" thickBot="1">
      <c r="A285" s="365"/>
      <c r="B285" s="405"/>
      <c r="C285" s="406"/>
      <c r="D285" s="406"/>
      <c r="E285" s="406"/>
      <c r="F285" s="406"/>
    </row>
    <row r="286" spans="1:6" ht="15.75" thickBot="1">
      <c r="A286" s="365"/>
      <c r="B286" s="405"/>
      <c r="C286" s="406"/>
      <c r="D286" s="406"/>
      <c r="E286" s="406"/>
      <c r="F286" s="406"/>
    </row>
    <row r="287" spans="1:6" ht="15.75" thickBot="1">
      <c r="A287" s="365"/>
      <c r="B287" s="405"/>
      <c r="C287" s="406"/>
      <c r="D287" s="406"/>
      <c r="E287" s="406"/>
      <c r="F287" s="406"/>
    </row>
    <row r="288" spans="1:6" ht="15.75" thickBot="1">
      <c r="A288" s="365"/>
      <c r="B288" s="405"/>
      <c r="C288" s="406"/>
      <c r="D288" s="406"/>
      <c r="E288" s="406"/>
      <c r="F288" s="406"/>
    </row>
    <row r="289" spans="1:6" ht="15.75" thickBot="1">
      <c r="A289" s="365"/>
      <c r="B289" s="405"/>
      <c r="C289" s="406"/>
      <c r="D289" s="406"/>
      <c r="E289" s="406"/>
      <c r="F289" s="406"/>
    </row>
    <row r="290" spans="1:6" ht="15.75" thickBot="1">
      <c r="A290" s="365"/>
      <c r="B290" s="405"/>
      <c r="C290" s="406"/>
      <c r="D290" s="406"/>
      <c r="E290" s="406"/>
      <c r="F290" s="406"/>
    </row>
    <row r="291" spans="1:6" ht="15.75" thickBot="1">
      <c r="A291" s="365"/>
      <c r="B291" s="405"/>
      <c r="C291" s="406"/>
      <c r="D291" s="406"/>
      <c r="E291" s="406"/>
      <c r="F291" s="406"/>
    </row>
    <row r="292" spans="1:6" ht="15.75" thickBot="1">
      <c r="A292" s="365"/>
      <c r="B292" s="405"/>
      <c r="C292" s="406"/>
      <c r="D292" s="406"/>
      <c r="E292" s="406"/>
      <c r="F292" s="406"/>
    </row>
    <row r="293" spans="1:6" ht="15.75" thickBot="1">
      <c r="A293" s="365"/>
      <c r="B293" s="405"/>
      <c r="C293" s="406"/>
      <c r="D293" s="406"/>
      <c r="E293" s="406"/>
      <c r="F293" s="406"/>
    </row>
    <row r="294" spans="1:6" ht="15.75" thickBot="1">
      <c r="A294" s="365"/>
      <c r="B294" s="405"/>
      <c r="C294" s="406"/>
      <c r="D294" s="406"/>
      <c r="E294" s="406"/>
      <c r="F294" s="406"/>
    </row>
    <row r="295" spans="1:6" ht="15.75" thickBot="1">
      <c r="A295" s="365"/>
      <c r="B295" s="405"/>
      <c r="C295" s="406"/>
      <c r="D295" s="406"/>
      <c r="E295" s="406"/>
      <c r="F295" s="406"/>
    </row>
    <row r="296" spans="1:6" ht="15.75" thickBot="1">
      <c r="A296" s="365"/>
      <c r="B296" s="405"/>
      <c r="C296" s="406"/>
      <c r="D296" s="406"/>
      <c r="E296" s="406"/>
      <c r="F296" s="406"/>
    </row>
    <row r="297" spans="1:6" ht="15.75" thickBot="1">
      <c r="A297" s="365"/>
      <c r="B297" s="405"/>
      <c r="C297" s="406"/>
      <c r="D297" s="406"/>
      <c r="E297" s="406"/>
      <c r="F297" s="406"/>
    </row>
    <row r="298" spans="1:6" ht="15.75" thickBot="1">
      <c r="A298" s="365"/>
      <c r="B298" s="405"/>
      <c r="C298" s="406"/>
      <c r="D298" s="406"/>
      <c r="E298" s="406"/>
      <c r="F298" s="406"/>
    </row>
    <row r="299" spans="1:6" ht="15.75" thickBot="1">
      <c r="A299" s="365"/>
      <c r="B299" s="405"/>
      <c r="C299" s="406"/>
      <c r="D299" s="406"/>
      <c r="E299" s="406"/>
      <c r="F299" s="406"/>
    </row>
    <row r="300" spans="1:6" ht="15.75" thickBot="1">
      <c r="A300" s="365"/>
      <c r="B300" s="405"/>
      <c r="C300" s="406"/>
      <c r="D300" s="406"/>
      <c r="E300" s="406"/>
      <c r="F300" s="406"/>
    </row>
    <row r="301" spans="1:6" ht="15.75" thickBot="1">
      <c r="A301" s="365"/>
      <c r="B301" s="405"/>
      <c r="C301" s="406"/>
      <c r="D301" s="406"/>
      <c r="E301" s="406"/>
      <c r="F301" s="406"/>
    </row>
    <row r="302" spans="1:6" ht="15.75" thickBot="1">
      <c r="A302" s="365"/>
      <c r="B302" s="405"/>
      <c r="C302" s="406"/>
      <c r="D302" s="406"/>
      <c r="E302" s="406"/>
      <c r="F302" s="406"/>
    </row>
    <row r="303" spans="1:6" ht="15.75" thickBot="1">
      <c r="A303" s="365"/>
      <c r="B303" s="405"/>
      <c r="C303" s="406"/>
      <c r="D303" s="406"/>
      <c r="E303" s="406"/>
      <c r="F303" s="406"/>
    </row>
    <row r="304" spans="1:6" ht="15.75" thickBot="1">
      <c r="A304" s="365"/>
      <c r="B304" s="405"/>
      <c r="C304" s="406"/>
      <c r="D304" s="406"/>
      <c r="E304" s="406"/>
      <c r="F304" s="406"/>
    </row>
    <row r="305" spans="1:6" ht="15.75" thickBot="1">
      <c r="A305" s="365"/>
      <c r="B305" s="405"/>
      <c r="C305" s="406"/>
      <c r="D305" s="406"/>
      <c r="E305" s="406"/>
      <c r="F305" s="406"/>
    </row>
    <row r="306" spans="1:6" ht="15.75" thickBot="1">
      <c r="A306" s="365"/>
      <c r="B306" s="405"/>
      <c r="C306" s="406"/>
      <c r="D306" s="406"/>
      <c r="E306" s="406"/>
      <c r="F306" s="406"/>
    </row>
    <row r="307" spans="1:6" ht="15.75" thickBot="1">
      <c r="A307" s="365"/>
      <c r="B307" s="405"/>
      <c r="C307" s="406"/>
      <c r="D307" s="406"/>
      <c r="E307" s="406"/>
      <c r="F307" s="406"/>
    </row>
    <row r="308" spans="1:6" ht="15.75" thickBot="1">
      <c r="A308" s="365"/>
      <c r="B308" s="405"/>
      <c r="C308" s="406"/>
      <c r="D308" s="406"/>
      <c r="E308" s="406"/>
      <c r="F308" s="406"/>
    </row>
    <row r="309" spans="1:6" ht="15.75" thickBot="1">
      <c r="A309" s="365"/>
      <c r="B309" s="405"/>
      <c r="C309" s="406"/>
      <c r="D309" s="406"/>
      <c r="E309" s="406"/>
      <c r="F309" s="406"/>
    </row>
    <row r="310" spans="1:6" ht="15.75" thickBot="1">
      <c r="A310" s="365"/>
      <c r="B310" s="405"/>
      <c r="C310" s="406"/>
      <c r="D310" s="406"/>
      <c r="E310" s="406"/>
      <c r="F310" s="406"/>
    </row>
    <row r="311" spans="1:6" ht="15.75" thickBot="1">
      <c r="A311" s="365"/>
      <c r="B311" s="405"/>
      <c r="C311" s="406"/>
      <c r="D311" s="406"/>
      <c r="E311" s="406"/>
      <c r="F311" s="406"/>
    </row>
    <row r="312" spans="1:6" ht="15.75" thickBot="1">
      <c r="A312" s="365"/>
      <c r="B312" s="405"/>
      <c r="C312" s="406"/>
      <c r="D312" s="406"/>
      <c r="E312" s="406"/>
      <c r="F312" s="406"/>
    </row>
    <row r="313" spans="1:6" ht="15.75" thickBot="1">
      <c r="A313" s="365"/>
      <c r="B313" s="405"/>
      <c r="C313" s="406"/>
      <c r="D313" s="406"/>
      <c r="E313" s="406"/>
      <c r="F313" s="406"/>
    </row>
    <row r="314" spans="1:6" ht="15.75" thickBot="1">
      <c r="A314" s="365"/>
      <c r="B314" s="405"/>
      <c r="C314" s="406"/>
      <c r="D314" s="406"/>
      <c r="E314" s="406"/>
      <c r="F314" s="406"/>
    </row>
    <row r="315" spans="1:6" ht="15.75" thickBot="1">
      <c r="A315" s="365"/>
      <c r="B315" s="405"/>
      <c r="C315" s="406"/>
      <c r="D315" s="406"/>
      <c r="E315" s="406"/>
      <c r="F315" s="406"/>
    </row>
    <row r="316" spans="1:6" ht="15.75" thickBot="1">
      <c r="A316" s="365"/>
      <c r="B316" s="405"/>
      <c r="C316" s="406"/>
      <c r="D316" s="406"/>
      <c r="E316" s="406"/>
      <c r="F316" s="406"/>
    </row>
    <row r="317" spans="1:6" ht="15.75" thickBot="1">
      <c r="A317" s="365"/>
      <c r="B317" s="405"/>
      <c r="C317" s="406"/>
      <c r="D317" s="406"/>
      <c r="E317" s="406"/>
      <c r="F317" s="406"/>
    </row>
    <row r="318" spans="1:6" ht="15.75" thickBot="1">
      <c r="A318" s="365"/>
      <c r="B318" s="405"/>
      <c r="C318" s="406"/>
      <c r="D318" s="406"/>
      <c r="E318" s="406"/>
      <c r="F318" s="406"/>
    </row>
    <row r="319" spans="1:6" ht="15.75" thickBot="1">
      <c r="A319" s="365"/>
      <c r="B319" s="405"/>
      <c r="C319" s="406"/>
      <c r="D319" s="406"/>
      <c r="E319" s="406"/>
      <c r="F319" s="406"/>
    </row>
    <row r="320" spans="1:6" ht="15.75" thickBot="1">
      <c r="A320" s="365"/>
      <c r="B320" s="405"/>
      <c r="C320" s="406"/>
      <c r="D320" s="406"/>
      <c r="E320" s="406"/>
      <c r="F320" s="406"/>
    </row>
    <row r="321" spans="1:6" ht="15.75" thickBot="1">
      <c r="A321" s="365"/>
      <c r="B321" s="405"/>
      <c r="C321" s="406"/>
      <c r="D321" s="406"/>
      <c r="E321" s="406"/>
      <c r="F321" s="406"/>
    </row>
    <row r="322" spans="1:6" ht="15.75" thickBot="1">
      <c r="A322" s="365"/>
      <c r="B322" s="405"/>
      <c r="C322" s="406"/>
      <c r="D322" s="406"/>
      <c r="E322" s="406"/>
      <c r="F322" s="406"/>
    </row>
    <row r="323" spans="1:6" ht="15.75" thickBot="1">
      <c r="A323" s="365"/>
      <c r="B323" s="405"/>
      <c r="C323" s="406"/>
      <c r="D323" s="406"/>
      <c r="E323" s="406"/>
      <c r="F323" s="406"/>
    </row>
    <row r="324" spans="1:6" ht="15.75" thickBot="1">
      <c r="A324" s="365"/>
      <c r="B324" s="405"/>
      <c r="C324" s="406"/>
      <c r="D324" s="406"/>
      <c r="E324" s="406"/>
      <c r="F324" s="406"/>
    </row>
    <row r="325" spans="1:6" ht="15.75" thickBot="1">
      <c r="A325" s="365"/>
      <c r="B325" s="405"/>
      <c r="C325" s="406"/>
      <c r="D325" s="406"/>
      <c r="E325" s="406"/>
      <c r="F325" s="406"/>
    </row>
    <row r="326" spans="1:6" ht="15.75" thickBot="1">
      <c r="A326" s="365"/>
      <c r="B326" s="405"/>
      <c r="C326" s="406"/>
      <c r="D326" s="406"/>
      <c r="E326" s="406"/>
      <c r="F326" s="406"/>
    </row>
    <row r="327" spans="1:6" ht="15.75" thickBot="1">
      <c r="A327" s="365"/>
      <c r="B327" s="405"/>
      <c r="C327" s="406"/>
      <c r="D327" s="406"/>
      <c r="E327" s="406"/>
      <c r="F327" s="406"/>
    </row>
    <row r="328" spans="1:6" ht="15.75" thickBot="1">
      <c r="A328" s="365"/>
      <c r="B328" s="405"/>
      <c r="C328" s="406"/>
      <c r="D328" s="406"/>
      <c r="E328" s="406"/>
      <c r="F328" s="406"/>
    </row>
    <row r="329" spans="1:6" ht="15.75" thickBot="1">
      <c r="A329" s="365"/>
      <c r="B329" s="405"/>
      <c r="C329" s="406"/>
      <c r="D329" s="406"/>
      <c r="E329" s="406"/>
      <c r="F329" s="406"/>
    </row>
    <row r="330" spans="1:6" ht="15.75" thickBot="1">
      <c r="A330" s="365"/>
      <c r="B330" s="405"/>
      <c r="C330" s="406"/>
      <c r="D330" s="406"/>
      <c r="E330" s="406"/>
      <c r="F330" s="406"/>
    </row>
    <row r="331" spans="1:6" ht="15.75" thickBot="1">
      <c r="A331" s="365"/>
      <c r="B331" s="405"/>
      <c r="C331" s="406"/>
      <c r="D331" s="406"/>
      <c r="E331" s="406"/>
      <c r="F331" s="406"/>
    </row>
    <row r="332" spans="1:6" ht="15.75" thickBot="1">
      <c r="A332" s="365"/>
      <c r="B332" s="405"/>
      <c r="C332" s="406"/>
      <c r="D332" s="406"/>
      <c r="E332" s="406"/>
      <c r="F332" s="406"/>
    </row>
    <row r="333" spans="1:6" ht="15.75" thickBot="1">
      <c r="A333" s="365"/>
      <c r="B333" s="405"/>
      <c r="C333" s="406"/>
      <c r="D333" s="406"/>
      <c r="E333" s="406"/>
      <c r="F333" s="406"/>
    </row>
    <row r="334" spans="1:6" ht="15.75" thickBot="1">
      <c r="A334" s="365"/>
      <c r="B334" s="405"/>
      <c r="C334" s="406"/>
      <c r="D334" s="406"/>
      <c r="E334" s="406"/>
      <c r="F334" s="406"/>
    </row>
    <row r="335" spans="1:6" ht="15.75" thickBot="1">
      <c r="A335" s="365"/>
      <c r="B335" s="405"/>
      <c r="C335" s="406"/>
      <c r="D335" s="406"/>
      <c r="E335" s="406"/>
      <c r="F335" s="406"/>
    </row>
    <row r="336" spans="1:6" ht="15.75" thickBot="1">
      <c r="A336" s="365"/>
      <c r="B336" s="405"/>
      <c r="C336" s="406"/>
      <c r="D336" s="406"/>
      <c r="E336" s="406"/>
      <c r="F336" s="406"/>
    </row>
    <row r="337" spans="1:6" ht="15.75" thickBot="1">
      <c r="A337" s="365"/>
      <c r="B337" s="405"/>
      <c r="C337" s="406"/>
      <c r="D337" s="406"/>
      <c r="E337" s="406"/>
      <c r="F337" s="406"/>
    </row>
    <row r="338" spans="1:6" ht="15.75" thickBot="1">
      <c r="A338" s="365"/>
      <c r="B338" s="405"/>
      <c r="C338" s="406"/>
      <c r="D338" s="406"/>
      <c r="E338" s="406"/>
      <c r="F338" s="406"/>
    </row>
    <row r="339" spans="1:6" ht="15.75" thickBot="1">
      <c r="A339" s="365"/>
      <c r="B339" s="405"/>
      <c r="C339" s="406"/>
      <c r="D339" s="406"/>
      <c r="E339" s="406"/>
      <c r="F339" s="406"/>
    </row>
    <row r="340" spans="1:6" ht="15.75" thickBot="1">
      <c r="A340" s="365"/>
      <c r="B340" s="405"/>
      <c r="C340" s="406"/>
      <c r="D340" s="406"/>
      <c r="E340" s="406"/>
      <c r="F340" s="406"/>
    </row>
    <row r="341" spans="1:6" ht="15.75" thickBot="1">
      <c r="A341" s="365"/>
      <c r="B341" s="405"/>
      <c r="C341" s="406"/>
      <c r="D341" s="406"/>
      <c r="E341" s="406"/>
      <c r="F341" s="406"/>
    </row>
    <row r="342" spans="1:6" ht="15.75" thickBot="1">
      <c r="A342" s="365"/>
      <c r="B342" s="405"/>
      <c r="C342" s="406"/>
      <c r="D342" s="406"/>
      <c r="E342" s="406"/>
      <c r="F342" s="406"/>
    </row>
    <row r="343" spans="1:6" ht="15.75" thickBot="1">
      <c r="A343" s="365"/>
      <c r="B343" s="405"/>
      <c r="C343" s="406"/>
      <c r="D343" s="406"/>
      <c r="E343" s="406"/>
      <c r="F343" s="406"/>
    </row>
    <row r="344" spans="1:6" ht="15.75" thickBot="1">
      <c r="A344" s="365"/>
      <c r="B344" s="405"/>
      <c r="C344" s="406"/>
      <c r="D344" s="406"/>
      <c r="E344" s="406"/>
      <c r="F344" s="406"/>
    </row>
    <row r="345" spans="1:6" ht="15.75" thickBot="1">
      <c r="A345" s="365"/>
      <c r="B345" s="405"/>
      <c r="C345" s="406"/>
      <c r="D345" s="406"/>
      <c r="E345" s="406"/>
      <c r="F345" s="406"/>
    </row>
    <row r="346" spans="1:6" ht="15.75" thickBot="1">
      <c r="A346" s="365"/>
      <c r="B346" s="405"/>
      <c r="C346" s="406"/>
      <c r="D346" s="406"/>
      <c r="E346" s="406"/>
      <c r="F346" s="406"/>
    </row>
    <row r="347" spans="1:6" ht="15.75" thickBot="1">
      <c r="A347" s="365"/>
      <c r="B347" s="405"/>
      <c r="C347" s="406"/>
      <c r="D347" s="406"/>
      <c r="E347" s="406"/>
      <c r="F347" s="406"/>
    </row>
    <row r="348" spans="1:6" ht="15.75" thickBot="1">
      <c r="A348" s="365"/>
      <c r="B348" s="405"/>
      <c r="C348" s="406"/>
      <c r="D348" s="406"/>
      <c r="E348" s="406"/>
      <c r="F348" s="406"/>
    </row>
    <row r="349" spans="1:6" ht="15.75" thickBot="1">
      <c r="A349" s="365"/>
      <c r="B349" s="405"/>
      <c r="C349" s="406"/>
      <c r="D349" s="406"/>
      <c r="E349" s="406"/>
      <c r="F349" s="406"/>
    </row>
    <row r="350" spans="1:6" ht="15.75" thickBot="1">
      <c r="A350" s="365"/>
      <c r="B350" s="405"/>
      <c r="C350" s="406"/>
      <c r="D350" s="406"/>
      <c r="E350" s="406"/>
      <c r="F350" s="406"/>
    </row>
    <row r="351" spans="1:6" ht="15.75" thickBot="1">
      <c r="A351" s="365"/>
      <c r="B351" s="405"/>
      <c r="C351" s="406"/>
      <c r="D351" s="406"/>
      <c r="E351" s="406"/>
      <c r="F351" s="406"/>
    </row>
    <row r="352" spans="1:6" ht="15.75" thickBot="1">
      <c r="A352" s="365"/>
      <c r="B352" s="405"/>
      <c r="C352" s="406"/>
      <c r="D352" s="406"/>
      <c r="E352" s="406"/>
      <c r="F352" s="406"/>
    </row>
    <row r="353" spans="1:6" ht="15.75" thickBot="1">
      <c r="A353" s="365"/>
      <c r="B353" s="405"/>
      <c r="C353" s="406"/>
      <c r="D353" s="406"/>
      <c r="E353" s="406"/>
      <c r="F353" s="406"/>
    </row>
    <row r="354" spans="1:6" ht="15.75" thickBot="1">
      <c r="A354" s="365"/>
      <c r="B354" s="405"/>
      <c r="C354" s="406"/>
      <c r="D354" s="406"/>
      <c r="E354" s="406"/>
      <c r="F354" s="406"/>
    </row>
    <row r="355" spans="1:6" ht="15.75" thickBot="1">
      <c r="A355" s="365"/>
      <c r="B355" s="405"/>
      <c r="C355" s="406"/>
      <c r="D355" s="406"/>
      <c r="E355" s="406"/>
      <c r="F355" s="406"/>
    </row>
    <row r="356" spans="1:6" ht="15.75" thickBot="1">
      <c r="A356" s="365"/>
      <c r="B356" s="405"/>
      <c r="C356" s="406"/>
      <c r="D356" s="406"/>
      <c r="E356" s="406"/>
      <c r="F356" s="406"/>
    </row>
    <row r="357" spans="1:6" ht="15.75" thickBot="1">
      <c r="A357" s="365"/>
      <c r="B357" s="405"/>
      <c r="C357" s="406"/>
      <c r="D357" s="406"/>
      <c r="E357" s="406"/>
      <c r="F357" s="406"/>
    </row>
    <row r="358" spans="1:6" ht="15.75" thickBot="1">
      <c r="A358" s="365"/>
      <c r="B358" s="405"/>
      <c r="C358" s="406"/>
      <c r="D358" s="406"/>
      <c r="E358" s="406"/>
      <c r="F358" s="406"/>
    </row>
    <row r="359" spans="1:6" ht="15.75" thickBot="1">
      <c r="A359" s="365"/>
      <c r="B359" s="405"/>
      <c r="C359" s="406"/>
      <c r="D359" s="406"/>
      <c r="E359" s="406"/>
      <c r="F359" s="406"/>
    </row>
    <row r="360" spans="1:6" ht="15.75" thickBot="1">
      <c r="A360" s="365"/>
      <c r="B360" s="405"/>
      <c r="C360" s="406"/>
      <c r="D360" s="406"/>
      <c r="E360" s="406"/>
      <c r="F360" s="406"/>
    </row>
    <row r="361" spans="1:6" ht="15.75" thickBot="1">
      <c r="A361" s="365"/>
      <c r="B361" s="405"/>
      <c r="C361" s="406"/>
      <c r="D361" s="406"/>
      <c r="E361" s="406"/>
      <c r="F361" s="406"/>
    </row>
    <row r="362" spans="1:6" ht="15.75" thickBot="1">
      <c r="A362" s="365"/>
      <c r="B362" s="405"/>
      <c r="C362" s="406"/>
      <c r="D362" s="406"/>
      <c r="E362" s="406"/>
      <c r="F362" s="406"/>
    </row>
    <row r="363" spans="1:6" ht="15.75" thickBot="1">
      <c r="A363" s="365"/>
      <c r="B363" s="405"/>
      <c r="C363" s="406"/>
      <c r="D363" s="406"/>
      <c r="E363" s="406"/>
      <c r="F363" s="406"/>
    </row>
    <row r="364" spans="1:6" ht="15.75" thickBot="1">
      <c r="A364" s="365"/>
      <c r="B364" s="405"/>
      <c r="C364" s="406"/>
      <c r="D364" s="406"/>
      <c r="E364" s="406"/>
      <c r="F364" s="406"/>
    </row>
    <row r="365" spans="1:6" ht="15.75" thickBot="1">
      <c r="A365" s="365"/>
      <c r="B365" s="405"/>
      <c r="C365" s="406"/>
      <c r="D365" s="406"/>
      <c r="E365" s="406"/>
      <c r="F365" s="406"/>
    </row>
    <row r="366" spans="1:6" ht="15.75" thickBot="1">
      <c r="A366" s="365"/>
      <c r="B366" s="405"/>
      <c r="C366" s="406"/>
      <c r="D366" s="406"/>
      <c r="E366" s="406"/>
      <c r="F366" s="406"/>
    </row>
    <row r="367" spans="1:6" ht="15.75" thickBot="1">
      <c r="A367" s="365"/>
      <c r="B367" s="405"/>
      <c r="C367" s="406"/>
      <c r="D367" s="406"/>
      <c r="E367" s="406"/>
      <c r="F367" s="406"/>
    </row>
    <row r="368" spans="1:6" ht="15.75" thickBot="1">
      <c r="A368" s="365"/>
      <c r="B368" s="405"/>
      <c r="C368" s="406"/>
      <c r="D368" s="406"/>
      <c r="E368" s="406"/>
      <c r="F368" s="406"/>
    </row>
    <row r="369" spans="1:6" ht="15.75" thickBot="1">
      <c r="A369" s="365"/>
      <c r="B369" s="405"/>
      <c r="C369" s="406"/>
      <c r="D369" s="406"/>
      <c r="E369" s="406"/>
      <c r="F369" s="406"/>
    </row>
    <row r="370" spans="1:6" ht="15.75" thickBot="1">
      <c r="A370" s="365"/>
      <c r="B370" s="405"/>
      <c r="C370" s="406"/>
      <c r="D370" s="406"/>
      <c r="E370" s="406"/>
      <c r="F370" s="406"/>
    </row>
    <row r="371" spans="1:6" ht="15.75" thickBot="1">
      <c r="A371" s="365"/>
      <c r="B371" s="405"/>
      <c r="C371" s="406"/>
      <c r="D371" s="406"/>
      <c r="E371" s="406"/>
      <c r="F371" s="406"/>
    </row>
    <row r="372" spans="1:6" ht="15.75" thickBot="1">
      <c r="A372" s="365"/>
      <c r="B372" s="405"/>
      <c r="C372" s="406"/>
      <c r="D372" s="406"/>
      <c r="E372" s="406"/>
      <c r="F372" s="406"/>
    </row>
    <row r="373" spans="1:6" ht="15.75" thickBot="1">
      <c r="A373" s="365"/>
      <c r="B373" s="405"/>
      <c r="C373" s="406"/>
      <c r="D373" s="406"/>
      <c r="E373" s="406"/>
      <c r="F373" s="406"/>
    </row>
    <row r="374" spans="1:6" ht="15.75" thickBot="1">
      <c r="A374" s="365"/>
      <c r="B374" s="405"/>
      <c r="C374" s="406"/>
      <c r="D374" s="406"/>
      <c r="E374" s="406"/>
      <c r="F374" s="406"/>
    </row>
    <row r="375" spans="1:6" ht="15.75" thickBot="1">
      <c r="A375" s="365"/>
      <c r="B375" s="405"/>
      <c r="C375" s="406"/>
      <c r="D375" s="406"/>
      <c r="E375" s="406"/>
      <c r="F375" s="406"/>
    </row>
    <row r="376" spans="1:6" ht="15.75" thickBot="1">
      <c r="A376" s="365"/>
      <c r="B376" s="405"/>
      <c r="C376" s="406"/>
      <c r="D376" s="406"/>
      <c r="E376" s="406"/>
      <c r="F376" s="406"/>
    </row>
    <row r="377" spans="1:6" ht="15.75" thickBot="1">
      <c r="A377" s="365"/>
      <c r="B377" s="405"/>
      <c r="C377" s="406"/>
      <c r="D377" s="406"/>
      <c r="E377" s="406"/>
      <c r="F377" s="406"/>
    </row>
    <row r="378" spans="1:6" ht="15.75" thickBot="1">
      <c r="A378" s="365"/>
      <c r="B378" s="405"/>
      <c r="C378" s="406"/>
      <c r="D378" s="406"/>
      <c r="E378" s="406"/>
      <c r="F378" s="406"/>
    </row>
    <row r="379" spans="1:6" ht="15.75" thickBot="1">
      <c r="A379" s="365"/>
      <c r="B379" s="405"/>
      <c r="C379" s="406"/>
      <c r="D379" s="406"/>
      <c r="E379" s="406"/>
      <c r="F379" s="406"/>
    </row>
    <row r="380" spans="1:6" ht="15.75" thickBot="1">
      <c r="A380" s="365"/>
      <c r="B380" s="405"/>
      <c r="C380" s="406"/>
      <c r="D380" s="406"/>
      <c r="E380" s="406"/>
      <c r="F380" s="406"/>
    </row>
    <row r="381" spans="1:6" ht="15.75" thickBot="1">
      <c r="A381" s="365"/>
      <c r="B381" s="405"/>
      <c r="C381" s="406"/>
      <c r="D381" s="406"/>
      <c r="E381" s="406"/>
      <c r="F381" s="406"/>
    </row>
    <row r="382" spans="1:6" ht="15.75" thickBot="1">
      <c r="A382" s="365"/>
      <c r="B382" s="405"/>
      <c r="C382" s="406"/>
      <c r="D382" s="406"/>
      <c r="E382" s="406"/>
      <c r="F382" s="406"/>
    </row>
    <row r="383" spans="1:6" ht="15.75" thickBot="1">
      <c r="A383" s="365"/>
      <c r="B383" s="405"/>
      <c r="C383" s="406"/>
      <c r="D383" s="406"/>
      <c r="E383" s="406"/>
      <c r="F383" s="406"/>
    </row>
    <row r="384" spans="1:6" ht="15.75" thickBot="1">
      <c r="A384" s="365"/>
      <c r="B384" s="405"/>
      <c r="C384" s="406"/>
      <c r="D384" s="406"/>
      <c r="E384" s="406"/>
      <c r="F384" s="406"/>
    </row>
    <row r="385" spans="1:6" ht="15.75" thickBot="1">
      <c r="A385" s="365"/>
      <c r="B385" s="405"/>
      <c r="C385" s="406"/>
      <c r="D385" s="406"/>
      <c r="E385" s="406"/>
      <c r="F385" s="406"/>
    </row>
    <row r="386" spans="1:6" ht="15.75" thickBot="1">
      <c r="A386" s="365"/>
      <c r="B386" s="405"/>
      <c r="C386" s="406"/>
      <c r="D386" s="406"/>
      <c r="E386" s="406"/>
      <c r="F386" s="406"/>
    </row>
    <row r="387" spans="1:6" ht="15.75" thickBot="1">
      <c r="A387" s="365"/>
      <c r="B387" s="405"/>
      <c r="C387" s="406"/>
      <c r="D387" s="406"/>
      <c r="E387" s="406"/>
      <c r="F387" s="406"/>
    </row>
    <row r="388" spans="1:6" ht="15.75" thickBot="1">
      <c r="A388" s="365"/>
      <c r="B388" s="405"/>
      <c r="C388" s="406"/>
      <c r="D388" s="406"/>
      <c r="E388" s="406"/>
      <c r="F388" s="406"/>
    </row>
    <row r="389" spans="1:6" ht="15.75" thickBot="1">
      <c r="A389" s="365"/>
      <c r="B389" s="405"/>
      <c r="C389" s="406"/>
      <c r="D389" s="406"/>
      <c r="E389" s="406"/>
      <c r="F389" s="406"/>
    </row>
    <row r="390" spans="1:6" ht="15.75" thickBot="1">
      <c r="A390" s="365"/>
      <c r="B390" s="405"/>
      <c r="C390" s="406"/>
      <c r="D390" s="406"/>
      <c r="E390" s="406"/>
      <c r="F390" s="406"/>
    </row>
    <row r="391" spans="1:6" ht="15.75" thickBot="1">
      <c r="A391" s="365"/>
      <c r="B391" s="405"/>
      <c r="C391" s="406"/>
      <c r="D391" s="406"/>
      <c r="E391" s="406"/>
      <c r="F391" s="406"/>
    </row>
    <row r="392" spans="1:6" ht="15.75" thickBot="1">
      <c r="A392" s="365"/>
      <c r="B392" s="405"/>
      <c r="C392" s="406"/>
      <c r="D392" s="406"/>
      <c r="E392" s="406"/>
      <c r="F392" s="406"/>
    </row>
    <row r="393" spans="1:6" ht="15.75" thickBot="1">
      <c r="A393" s="365"/>
      <c r="B393" s="405"/>
      <c r="C393" s="406"/>
      <c r="D393" s="406"/>
      <c r="E393" s="406"/>
      <c r="F393" s="406"/>
    </row>
    <row r="394" spans="1:6" ht="15.75" thickBot="1">
      <c r="A394" s="365"/>
      <c r="B394" s="405"/>
      <c r="C394" s="406"/>
      <c r="D394" s="406"/>
      <c r="E394" s="406"/>
      <c r="F394" s="406"/>
    </row>
    <row r="395" spans="1:6" ht="15.75" thickBot="1">
      <c r="A395" s="365"/>
      <c r="B395" s="405"/>
      <c r="C395" s="406"/>
      <c r="D395" s="406"/>
      <c r="E395" s="406"/>
      <c r="F395" s="406"/>
    </row>
    <row r="396" spans="1:6" ht="15.75" thickBot="1">
      <c r="A396" s="365"/>
      <c r="B396" s="405"/>
      <c r="C396" s="406"/>
      <c r="D396" s="406"/>
      <c r="E396" s="406"/>
      <c r="F396" s="406"/>
    </row>
    <row r="397" spans="1:6" ht="15.75" thickBot="1">
      <c r="A397" s="365"/>
      <c r="B397" s="405"/>
      <c r="C397" s="406"/>
      <c r="D397" s="406"/>
      <c r="E397" s="406"/>
      <c r="F397" s="406"/>
    </row>
    <row r="398" spans="1:6" ht="15.75" thickBot="1">
      <c r="A398" s="365"/>
      <c r="B398" s="405"/>
      <c r="C398" s="406"/>
      <c r="D398" s="406"/>
      <c r="E398" s="406"/>
      <c r="F398" s="406"/>
    </row>
    <row r="399" spans="1:6" ht="15.75" thickBot="1">
      <c r="A399" s="365"/>
      <c r="C399" s="406"/>
      <c r="D399" s="406"/>
      <c r="E399" s="406"/>
      <c r="F399" s="406"/>
    </row>
    <row r="400" spans="1:6" ht="15.75" thickBot="1">
      <c r="A400" s="365"/>
      <c r="B400" s="405"/>
      <c r="C400" s="406"/>
      <c r="D400" s="406"/>
      <c r="E400" s="406"/>
      <c r="F400" s="406"/>
    </row>
    <row r="401" spans="1:6" ht="15.75" thickBot="1">
      <c r="A401" s="365"/>
      <c r="B401" s="405"/>
      <c r="C401" s="406"/>
      <c r="D401" s="406"/>
      <c r="E401" s="406"/>
      <c r="F401" s="406"/>
    </row>
    <row r="402" spans="1:6" ht="15.75" thickBot="1">
      <c r="A402" s="365"/>
      <c r="B402" s="405"/>
      <c r="C402" s="406"/>
      <c r="D402" s="406"/>
      <c r="E402" s="406"/>
      <c r="F402" s="406"/>
    </row>
    <row r="403" spans="1:6" ht="15.75" thickBot="1">
      <c r="A403" s="365"/>
      <c r="B403" s="405"/>
      <c r="C403" s="406"/>
      <c r="D403" s="406"/>
      <c r="E403" s="406"/>
      <c r="F403" s="406"/>
    </row>
    <row r="404" spans="1:6" ht="15.75" thickBot="1">
      <c r="A404" s="365"/>
      <c r="B404" s="405"/>
      <c r="C404" s="406"/>
      <c r="D404" s="406"/>
      <c r="E404" s="406"/>
      <c r="F404" s="406"/>
    </row>
    <row r="405" spans="1:6" ht="15.75" thickBot="1">
      <c r="A405" s="365"/>
      <c r="B405" s="405"/>
      <c r="C405" s="406"/>
      <c r="D405" s="406"/>
      <c r="E405" s="406"/>
      <c r="F405" s="406"/>
    </row>
    <row r="406" spans="1:6" ht="15.75" thickBot="1">
      <c r="A406" s="365"/>
      <c r="B406" s="405"/>
      <c r="C406" s="406"/>
      <c r="D406" s="406"/>
      <c r="E406" s="406"/>
      <c r="F406" s="406"/>
    </row>
    <row r="407" spans="1:6" ht="15.75" thickBot="1">
      <c r="A407" s="365"/>
      <c r="B407" s="405"/>
      <c r="C407" s="406"/>
      <c r="D407" s="406"/>
      <c r="E407" s="406"/>
      <c r="F407" s="406"/>
    </row>
    <row r="408" spans="1:6" ht="15.75" thickBot="1">
      <c r="A408" s="365"/>
      <c r="B408" s="405"/>
      <c r="C408" s="406"/>
      <c r="D408" s="406"/>
      <c r="E408" s="406"/>
      <c r="F408" s="406"/>
    </row>
    <row r="409" spans="1:6" ht="15.75" thickBot="1">
      <c r="A409" s="365"/>
      <c r="B409" s="405"/>
      <c r="C409" s="406"/>
      <c r="D409" s="406"/>
      <c r="E409" s="406"/>
      <c r="F409" s="406"/>
    </row>
    <row r="410" spans="1:6" ht="15.75" thickBot="1">
      <c r="A410" s="365"/>
      <c r="B410" s="405"/>
      <c r="C410" s="406"/>
      <c r="D410" s="406"/>
      <c r="E410" s="406"/>
      <c r="F410" s="406"/>
    </row>
    <row r="411" spans="1:6" ht="15.75" thickBot="1">
      <c r="A411" s="365"/>
      <c r="B411" s="405"/>
      <c r="C411" s="406"/>
      <c r="D411" s="406"/>
      <c r="E411" s="406"/>
      <c r="F411" s="406"/>
    </row>
    <row r="412" spans="1:6" ht="15.75" thickBot="1">
      <c r="A412" s="365"/>
      <c r="B412" s="405"/>
      <c r="C412" s="406"/>
      <c r="D412" s="406"/>
      <c r="E412" s="406"/>
      <c r="F412" s="406"/>
    </row>
    <row r="413" spans="1:6" ht="15.75" thickBot="1">
      <c r="A413" s="365"/>
      <c r="B413" s="405"/>
      <c r="C413" s="406"/>
      <c r="D413" s="406"/>
      <c r="E413" s="406"/>
      <c r="F413" s="406"/>
    </row>
    <row r="414" spans="1:6" ht="15.75" thickBot="1">
      <c r="A414" s="365"/>
      <c r="B414" s="405"/>
      <c r="C414" s="406"/>
      <c r="D414" s="406"/>
      <c r="E414" s="406"/>
      <c r="F414" s="406"/>
    </row>
    <row r="415" spans="1:6" ht="15.75" thickBot="1">
      <c r="A415" s="365"/>
      <c r="B415" s="405"/>
      <c r="C415" s="406"/>
      <c r="D415" s="406"/>
      <c r="E415" s="406"/>
      <c r="F415" s="406"/>
    </row>
    <row r="416" spans="1:6" ht="15.75" thickBot="1">
      <c r="A416" s="365"/>
      <c r="B416" s="405"/>
      <c r="C416" s="406"/>
      <c r="D416" s="406"/>
      <c r="E416" s="406"/>
      <c r="F416" s="406"/>
    </row>
    <row r="417" spans="1:6" ht="15.75" thickBot="1">
      <c r="A417" s="365"/>
      <c r="B417" s="405"/>
      <c r="C417" s="406"/>
      <c r="D417" s="406"/>
      <c r="E417" s="406"/>
      <c r="F417" s="406"/>
    </row>
    <row r="418" spans="1:6" ht="15.75" thickBot="1">
      <c r="A418" s="365"/>
      <c r="B418" s="405"/>
      <c r="C418" s="406"/>
      <c r="D418" s="406"/>
      <c r="E418" s="406"/>
      <c r="F418" s="406"/>
    </row>
    <row r="419" spans="1:6" ht="15.75" thickBot="1">
      <c r="A419" s="365"/>
      <c r="B419" s="405"/>
      <c r="C419" s="406"/>
      <c r="D419" s="406"/>
      <c r="E419" s="406"/>
      <c r="F419" s="406"/>
    </row>
    <row r="420" spans="1:6" ht="15.75" thickBot="1">
      <c r="A420" s="365"/>
      <c r="B420" s="405"/>
      <c r="C420" s="406"/>
      <c r="D420" s="406"/>
      <c r="E420" s="406"/>
      <c r="F420" s="406"/>
    </row>
    <row r="421" spans="1:6" ht="15.75" thickBot="1">
      <c r="A421" s="365"/>
      <c r="B421" s="405"/>
      <c r="C421" s="406"/>
      <c r="D421" s="406"/>
      <c r="E421" s="406"/>
      <c r="F421" s="406"/>
    </row>
    <row r="422" spans="1:6" ht="15.75" thickBot="1">
      <c r="A422" s="365"/>
      <c r="B422" s="405"/>
      <c r="C422" s="406"/>
      <c r="D422" s="406"/>
      <c r="E422" s="406"/>
      <c r="F422" s="406"/>
    </row>
    <row r="423" spans="1:6" ht="15.75" thickBot="1">
      <c r="A423" s="365"/>
      <c r="B423" s="405"/>
      <c r="C423" s="406"/>
      <c r="D423" s="406"/>
      <c r="E423" s="406"/>
      <c r="F423" s="406"/>
    </row>
    <row r="424" spans="1:6" ht="15.75" thickBot="1">
      <c r="A424" s="365"/>
      <c r="B424" s="405"/>
      <c r="C424" s="406"/>
      <c r="D424" s="406"/>
      <c r="E424" s="406"/>
      <c r="F424" s="406"/>
    </row>
    <row r="425" spans="1:6" ht="15.75" thickBot="1">
      <c r="A425" s="365"/>
      <c r="B425" s="405"/>
      <c r="C425" s="406"/>
      <c r="D425" s="406"/>
      <c r="E425" s="406"/>
      <c r="F425" s="406"/>
    </row>
    <row r="426" spans="1:6" ht="15.75" thickBot="1">
      <c r="A426" s="365"/>
      <c r="B426" s="405"/>
      <c r="C426" s="406"/>
      <c r="D426" s="406"/>
      <c r="E426" s="406"/>
      <c r="F426" s="406"/>
    </row>
    <row r="427" spans="1:6" ht="15.75" thickBot="1">
      <c r="A427" s="365"/>
      <c r="B427" s="405"/>
      <c r="C427" s="406"/>
      <c r="D427" s="406"/>
      <c r="E427" s="406"/>
      <c r="F427" s="406"/>
    </row>
    <row r="428" spans="1:6" ht="15.75" thickBot="1">
      <c r="A428" s="365"/>
      <c r="B428" s="405"/>
      <c r="C428" s="406"/>
      <c r="D428" s="406"/>
      <c r="E428" s="406"/>
      <c r="F428" s="406"/>
    </row>
    <row r="429" spans="1:6" ht="15.75" thickBot="1">
      <c r="A429" s="365"/>
      <c r="B429" s="405"/>
      <c r="C429" s="406"/>
      <c r="D429" s="406"/>
      <c r="E429" s="406"/>
      <c r="F429" s="406"/>
    </row>
  </sheetData>
  <conditionalFormatting sqref="A1:XFD1048576">
    <cfRule type="expression" dxfId="86"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072B-E03D-407B-B242-E48F8A1DA250}">
  <sheetPr>
    <tabColor rgb="FFFFF2CC"/>
    <pageSetUpPr autoPageBreaks="0"/>
  </sheetPr>
  <dimension ref="A1:Q85"/>
  <sheetViews>
    <sheetView topLeftCell="D18" zoomScale="60" zoomScaleNormal="60" workbookViewId="0">
      <selection activeCell="T38" sqref="T38"/>
    </sheetView>
  </sheetViews>
  <sheetFormatPr defaultColWidth="26.140625" defaultRowHeight="15"/>
  <sheetData>
    <row r="1" spans="1:17">
      <c r="A1" t="s">
        <v>296</v>
      </c>
    </row>
    <row r="2" spans="1:17">
      <c r="A2" t="s">
        <v>297</v>
      </c>
    </row>
    <row r="3" spans="1:17">
      <c r="A3" t="s">
        <v>298</v>
      </c>
    </row>
    <row r="7" spans="1:17">
      <c r="A7" t="s">
        <v>7</v>
      </c>
      <c r="B7">
        <v>2020</v>
      </c>
      <c r="F7">
        <v>2021</v>
      </c>
      <c r="J7">
        <v>2022</v>
      </c>
      <c r="N7">
        <v>2023</v>
      </c>
    </row>
    <row r="8" spans="1:17">
      <c r="B8" t="s">
        <v>8</v>
      </c>
      <c r="C8" t="s">
        <v>9</v>
      </c>
      <c r="D8" t="s">
        <v>10</v>
      </c>
      <c r="E8" t="s">
        <v>11</v>
      </c>
      <c r="F8" t="s">
        <v>8</v>
      </c>
      <c r="G8" t="s">
        <v>9</v>
      </c>
      <c r="H8" t="s">
        <v>10</v>
      </c>
      <c r="I8" t="s">
        <v>11</v>
      </c>
      <c r="J8" t="s">
        <v>8</v>
      </c>
      <c r="K8" t="s">
        <v>9</v>
      </c>
      <c r="L8" t="s">
        <v>10</v>
      </c>
      <c r="M8" t="s">
        <v>11</v>
      </c>
      <c r="N8" t="s">
        <v>8</v>
      </c>
      <c r="O8" t="s">
        <v>9</v>
      </c>
      <c r="P8" t="s">
        <v>10</v>
      </c>
      <c r="Q8" t="s">
        <v>11</v>
      </c>
    </row>
    <row r="9" spans="1:17" ht="15.75">
      <c r="A9" t="s">
        <v>15</v>
      </c>
      <c r="B9">
        <v>17605</v>
      </c>
      <c r="C9">
        <v>20310</v>
      </c>
      <c r="D9">
        <v>86.681437715411121</v>
      </c>
      <c r="F9">
        <v>17580</v>
      </c>
      <c r="G9">
        <v>20310</v>
      </c>
      <c r="H9">
        <v>86.55834564254063</v>
      </c>
      <c r="J9">
        <v>17580</v>
      </c>
      <c r="K9">
        <v>20310</v>
      </c>
      <c r="L9">
        <v>86.55834564254063</v>
      </c>
      <c r="N9" s="317">
        <v>17210</v>
      </c>
      <c r="O9" s="60">
        <v>20075</v>
      </c>
      <c r="P9" s="319">
        <f>SUM(N9/O9)*100</f>
        <v>85.728518057285186</v>
      </c>
    </row>
    <row r="10" spans="1:17" ht="15.75">
      <c r="A10" t="s">
        <v>16</v>
      </c>
      <c r="B10">
        <v>23235</v>
      </c>
      <c r="C10">
        <v>28755</v>
      </c>
      <c r="D10">
        <v>80.803338549817425</v>
      </c>
      <c r="F10">
        <v>22960</v>
      </c>
      <c r="G10">
        <v>28535</v>
      </c>
      <c r="H10">
        <v>80.462589801997538</v>
      </c>
      <c r="J10">
        <v>22960</v>
      </c>
      <c r="K10">
        <v>28535</v>
      </c>
      <c r="L10">
        <v>80.462589801997538</v>
      </c>
      <c r="N10" s="317">
        <v>22350</v>
      </c>
      <c r="O10" s="60">
        <v>28230</v>
      </c>
      <c r="P10" s="319">
        <f t="shared" ref="P10:P52" si="0">SUM(N10/O10)*100</f>
        <v>79.171094580233785</v>
      </c>
    </row>
    <row r="11" spans="1:17" ht="15.75">
      <c r="A11" t="s">
        <v>17</v>
      </c>
      <c r="B11">
        <v>11375</v>
      </c>
      <c r="C11">
        <v>12215</v>
      </c>
      <c r="D11">
        <v>93.123209169054448</v>
      </c>
      <c r="F11">
        <v>11220</v>
      </c>
      <c r="G11">
        <v>12125</v>
      </c>
      <c r="H11">
        <v>92.536082474226802</v>
      </c>
      <c r="J11">
        <v>11220</v>
      </c>
      <c r="K11">
        <v>12125</v>
      </c>
      <c r="L11">
        <v>92.536082474226802</v>
      </c>
      <c r="N11" s="317">
        <v>11140</v>
      </c>
      <c r="O11" s="60">
        <v>12135</v>
      </c>
      <c r="P11" s="319">
        <f t="shared" si="0"/>
        <v>91.800576843840133</v>
      </c>
    </row>
    <row r="12" spans="1:17" ht="15.75">
      <c r="A12" t="s">
        <v>18</v>
      </c>
      <c r="B12">
        <v>7615</v>
      </c>
      <c r="C12">
        <v>8060</v>
      </c>
      <c r="D12">
        <v>94.478908188585606</v>
      </c>
      <c r="F12">
        <v>7510</v>
      </c>
      <c r="G12">
        <v>7980</v>
      </c>
      <c r="H12">
        <v>94.110275689223059</v>
      </c>
      <c r="J12">
        <v>7510</v>
      </c>
      <c r="K12">
        <v>7980</v>
      </c>
      <c r="L12">
        <v>94.110275689223059</v>
      </c>
      <c r="N12" s="317">
        <v>7420</v>
      </c>
      <c r="O12" s="60">
        <v>7945</v>
      </c>
      <c r="P12" s="319">
        <f t="shared" si="0"/>
        <v>93.392070484581495</v>
      </c>
    </row>
    <row r="13" spans="1:17" ht="15.75">
      <c r="A13" t="s">
        <v>126</v>
      </c>
      <c r="B13">
        <v>40235</v>
      </c>
      <c r="C13">
        <v>46470</v>
      </c>
      <c r="D13">
        <v>86.582741553690553</v>
      </c>
      <c r="F13">
        <v>39560</v>
      </c>
      <c r="G13">
        <v>46060</v>
      </c>
      <c r="H13">
        <v>85.887972210160655</v>
      </c>
      <c r="J13">
        <v>39560</v>
      </c>
      <c r="K13">
        <v>46060</v>
      </c>
      <c r="L13">
        <v>85.887972210160655</v>
      </c>
      <c r="N13" s="317">
        <v>38280</v>
      </c>
      <c r="O13" s="60">
        <v>45220</v>
      </c>
      <c r="P13" s="319">
        <f t="shared" si="0"/>
        <v>84.65280849181778</v>
      </c>
    </row>
    <row r="14" spans="1:17" ht="15.75">
      <c r="A14" t="s">
        <v>19</v>
      </c>
      <c r="B14">
        <v>5625</v>
      </c>
      <c r="C14">
        <v>5975</v>
      </c>
      <c r="D14">
        <v>94.142259414225933</v>
      </c>
      <c r="F14">
        <v>5590</v>
      </c>
      <c r="G14">
        <v>5960</v>
      </c>
      <c r="H14">
        <v>93.791946308724832</v>
      </c>
      <c r="J14">
        <v>5590</v>
      </c>
      <c r="K14">
        <v>5960</v>
      </c>
      <c r="L14">
        <v>93.791946308724832</v>
      </c>
      <c r="N14" s="317">
        <v>5450</v>
      </c>
      <c r="O14" s="60">
        <v>5865</v>
      </c>
      <c r="P14" s="319">
        <f t="shared" si="0"/>
        <v>92.924126172208005</v>
      </c>
    </row>
    <row r="15" spans="1:17" ht="15.75">
      <c r="A15" t="s">
        <v>20</v>
      </c>
      <c r="B15">
        <v>14460</v>
      </c>
      <c r="C15">
        <v>14895</v>
      </c>
      <c r="D15">
        <v>97.079556898288004</v>
      </c>
      <c r="F15">
        <v>14405</v>
      </c>
      <c r="G15">
        <v>14870</v>
      </c>
      <c r="H15">
        <v>96.872898453261598</v>
      </c>
      <c r="J15">
        <v>14405</v>
      </c>
      <c r="K15">
        <v>14870</v>
      </c>
      <c r="L15">
        <v>96.872898453261598</v>
      </c>
      <c r="N15" s="317">
        <v>14180</v>
      </c>
      <c r="O15" s="60">
        <v>14710</v>
      </c>
      <c r="P15" s="319">
        <f t="shared" si="0"/>
        <v>96.39700883752549</v>
      </c>
    </row>
    <row r="16" spans="1:17" ht="15.75">
      <c r="A16" t="s">
        <v>21</v>
      </c>
      <c r="B16">
        <v>14785</v>
      </c>
      <c r="C16">
        <v>15325</v>
      </c>
      <c r="D16">
        <v>96.476345840130506</v>
      </c>
      <c r="F16">
        <v>14615</v>
      </c>
      <c r="G16">
        <v>15220</v>
      </c>
      <c r="H16">
        <v>96.024967148488827</v>
      </c>
      <c r="J16">
        <v>14615</v>
      </c>
      <c r="K16">
        <v>15220</v>
      </c>
      <c r="L16">
        <v>96.024967148488827</v>
      </c>
      <c r="N16" s="317">
        <v>14465</v>
      </c>
      <c r="O16" s="60">
        <v>15145</v>
      </c>
      <c r="P16" s="319">
        <f t="shared" si="0"/>
        <v>95.510069329811813</v>
      </c>
    </row>
    <row r="17" spans="1:16" ht="15.75">
      <c r="A17" t="s">
        <v>22</v>
      </c>
      <c r="B17">
        <v>13250</v>
      </c>
      <c r="C17">
        <v>13850</v>
      </c>
      <c r="D17">
        <v>95.667870036101093</v>
      </c>
      <c r="F17">
        <v>13125</v>
      </c>
      <c r="G17">
        <v>13795</v>
      </c>
      <c r="H17">
        <v>95.14316781442551</v>
      </c>
      <c r="J17">
        <v>13125</v>
      </c>
      <c r="K17">
        <v>13795</v>
      </c>
      <c r="L17">
        <v>95.14316781442551</v>
      </c>
      <c r="N17" s="317">
        <v>12910</v>
      </c>
      <c r="O17" s="60">
        <v>13700</v>
      </c>
      <c r="P17" s="319">
        <f t="shared" si="0"/>
        <v>94.233576642335777</v>
      </c>
    </row>
    <row r="18" spans="1:16" ht="15.75">
      <c r="A18" t="s">
        <v>23</v>
      </c>
      <c r="B18">
        <v>10175</v>
      </c>
      <c r="C18">
        <v>12170</v>
      </c>
      <c r="D18">
        <v>83.607230895645017</v>
      </c>
      <c r="F18">
        <v>10040</v>
      </c>
      <c r="G18">
        <v>12150</v>
      </c>
      <c r="H18">
        <v>82.633744855967066</v>
      </c>
      <c r="J18">
        <v>10040</v>
      </c>
      <c r="K18">
        <v>12150</v>
      </c>
      <c r="L18">
        <v>82.633744855967066</v>
      </c>
      <c r="N18" s="317">
        <v>9765</v>
      </c>
      <c r="O18" s="60">
        <v>12025</v>
      </c>
      <c r="P18" s="319">
        <f t="shared" si="0"/>
        <v>81.205821205821209</v>
      </c>
    </row>
    <row r="19" spans="1:16" ht="15.75">
      <c r="A19" t="s">
        <v>24</v>
      </c>
      <c r="B19">
        <v>11180</v>
      </c>
      <c r="C19">
        <v>12495</v>
      </c>
      <c r="D19">
        <v>89.475790316126449</v>
      </c>
      <c r="F19">
        <v>11180</v>
      </c>
      <c r="G19">
        <v>12575</v>
      </c>
      <c r="H19">
        <v>88.906560636182903</v>
      </c>
      <c r="J19">
        <v>11180</v>
      </c>
      <c r="K19">
        <v>12575</v>
      </c>
      <c r="L19">
        <v>88.906560636182903</v>
      </c>
      <c r="N19" s="317">
        <v>11025</v>
      </c>
      <c r="O19" s="60">
        <v>12545</v>
      </c>
      <c r="P19" s="319">
        <f t="shared" si="0"/>
        <v>87.883618971701878</v>
      </c>
    </row>
    <row r="20" spans="1:16" ht="15.75">
      <c r="A20" t="s">
        <v>25</v>
      </c>
      <c r="B20">
        <v>9395</v>
      </c>
      <c r="C20">
        <v>11420</v>
      </c>
      <c r="D20">
        <v>82.267950963222418</v>
      </c>
      <c r="F20">
        <v>9295</v>
      </c>
      <c r="G20">
        <v>11440</v>
      </c>
      <c r="H20">
        <v>81.25</v>
      </c>
      <c r="J20">
        <v>9295</v>
      </c>
      <c r="K20">
        <v>11440</v>
      </c>
      <c r="L20">
        <v>81.25</v>
      </c>
      <c r="N20" s="317">
        <v>9065</v>
      </c>
      <c r="O20" s="60">
        <v>11400</v>
      </c>
      <c r="P20" s="319">
        <f t="shared" si="0"/>
        <v>79.517543859649123</v>
      </c>
    </row>
    <row r="21" spans="1:16" ht="15.75">
      <c r="A21" t="s">
        <v>26</v>
      </c>
      <c r="B21">
        <v>16935</v>
      </c>
      <c r="C21">
        <v>18380</v>
      </c>
      <c r="D21">
        <v>92.138193688792171</v>
      </c>
      <c r="F21">
        <v>16640</v>
      </c>
      <c r="G21">
        <v>18135</v>
      </c>
      <c r="H21">
        <v>91.756272401433691</v>
      </c>
      <c r="J21">
        <v>16640</v>
      </c>
      <c r="K21">
        <v>18135</v>
      </c>
      <c r="L21">
        <v>91.756272401433691</v>
      </c>
      <c r="N21" s="317">
        <v>16320</v>
      </c>
      <c r="O21" s="60">
        <v>17965</v>
      </c>
      <c r="P21" s="319">
        <f t="shared" si="0"/>
        <v>90.843306429167825</v>
      </c>
    </row>
    <row r="22" spans="1:16" ht="15.75">
      <c r="A22" t="s">
        <v>27</v>
      </c>
      <c r="B22">
        <v>38615</v>
      </c>
      <c r="C22">
        <v>40950</v>
      </c>
      <c r="D22">
        <v>94.297924297924297</v>
      </c>
      <c r="F22">
        <v>38205</v>
      </c>
      <c r="G22">
        <v>40695</v>
      </c>
      <c r="H22">
        <v>93.881312200516035</v>
      </c>
      <c r="J22">
        <v>38205</v>
      </c>
      <c r="K22">
        <v>40695</v>
      </c>
      <c r="L22">
        <v>93.881312200516035</v>
      </c>
      <c r="N22" s="317">
        <v>37540</v>
      </c>
      <c r="O22" s="60">
        <v>40335</v>
      </c>
      <c r="P22" s="319">
        <f t="shared" si="0"/>
        <v>93.070534275443165</v>
      </c>
    </row>
    <row r="23" spans="1:16" ht="15.75">
      <c r="A23" t="s">
        <v>28</v>
      </c>
      <c r="B23">
        <v>60405</v>
      </c>
      <c r="C23">
        <v>62725</v>
      </c>
      <c r="D23">
        <v>96.301315265045844</v>
      </c>
      <c r="F23">
        <v>59440</v>
      </c>
      <c r="G23">
        <v>61870</v>
      </c>
      <c r="H23">
        <v>96.072409891708418</v>
      </c>
      <c r="J23">
        <v>59440</v>
      </c>
      <c r="K23">
        <v>61870</v>
      </c>
      <c r="L23">
        <v>96.072409891708418</v>
      </c>
      <c r="N23" s="317">
        <v>58595</v>
      </c>
      <c r="O23" s="60">
        <v>61270</v>
      </c>
      <c r="P23" s="319">
        <f t="shared" si="0"/>
        <v>95.634078668189986</v>
      </c>
    </row>
    <row r="24" spans="1:16" ht="15.75">
      <c r="A24" t="s">
        <v>29</v>
      </c>
      <c r="B24">
        <v>22745</v>
      </c>
      <c r="C24">
        <v>24145</v>
      </c>
      <c r="D24">
        <v>94.201698074135436</v>
      </c>
      <c r="F24">
        <v>22555</v>
      </c>
      <c r="G24">
        <v>24035</v>
      </c>
      <c r="H24">
        <v>93.842313293114216</v>
      </c>
      <c r="J24">
        <v>22555</v>
      </c>
      <c r="K24">
        <v>24035</v>
      </c>
      <c r="L24">
        <v>93.842313293114216</v>
      </c>
      <c r="N24" s="317">
        <v>22205</v>
      </c>
      <c r="O24" s="60">
        <v>23855</v>
      </c>
      <c r="P24" s="319">
        <f t="shared" si="0"/>
        <v>93.08321106686229</v>
      </c>
    </row>
    <row r="25" spans="1:16" ht="15.75">
      <c r="A25" t="s">
        <v>30</v>
      </c>
      <c r="B25">
        <v>7910</v>
      </c>
      <c r="C25">
        <v>8370</v>
      </c>
      <c r="D25">
        <v>94.504181600955789</v>
      </c>
      <c r="F25">
        <v>7825</v>
      </c>
      <c r="G25">
        <v>8315</v>
      </c>
      <c r="H25">
        <v>94.107035478051714</v>
      </c>
      <c r="J25">
        <v>7825</v>
      </c>
      <c r="K25">
        <v>8315</v>
      </c>
      <c r="L25">
        <v>94.107035478051714</v>
      </c>
      <c r="N25" s="317">
        <v>7690</v>
      </c>
      <c r="O25" s="60">
        <v>8220</v>
      </c>
      <c r="P25" s="319">
        <f t="shared" si="0"/>
        <v>93.552311435523123</v>
      </c>
    </row>
    <row r="26" spans="1:16" ht="15.75">
      <c r="A26" t="s">
        <v>31</v>
      </c>
      <c r="B26">
        <v>10805</v>
      </c>
      <c r="C26">
        <v>11600</v>
      </c>
      <c r="D26">
        <v>93.146551724137922</v>
      </c>
      <c r="F26">
        <v>10835</v>
      </c>
      <c r="G26">
        <v>11745</v>
      </c>
      <c r="H26">
        <v>92.252022137079607</v>
      </c>
      <c r="J26">
        <v>10835</v>
      </c>
      <c r="K26">
        <v>11745</v>
      </c>
      <c r="L26">
        <v>92.252022137079607</v>
      </c>
      <c r="N26" s="317">
        <v>10760</v>
      </c>
      <c r="O26" s="60">
        <v>11810</v>
      </c>
      <c r="P26" s="319">
        <f t="shared" si="0"/>
        <v>91.109229466553771</v>
      </c>
    </row>
    <row r="27" spans="1:16" ht="15.75">
      <c r="A27" t="s">
        <v>32</v>
      </c>
      <c r="B27">
        <v>9010</v>
      </c>
      <c r="C27">
        <v>9730</v>
      </c>
      <c r="D27">
        <v>92.600205549845839</v>
      </c>
      <c r="F27">
        <v>8995</v>
      </c>
      <c r="G27">
        <v>9755</v>
      </c>
      <c r="H27">
        <v>92.209123526396723</v>
      </c>
      <c r="J27">
        <v>8995</v>
      </c>
      <c r="K27">
        <v>9755</v>
      </c>
      <c r="L27">
        <v>92.209123526396723</v>
      </c>
      <c r="N27" s="317">
        <v>8895</v>
      </c>
      <c r="O27" s="60">
        <v>9770</v>
      </c>
      <c r="P27" s="319">
        <f t="shared" si="0"/>
        <v>91.044012282497448</v>
      </c>
    </row>
    <row r="28" spans="1:16" ht="15.75">
      <c r="A28" t="s">
        <v>33</v>
      </c>
      <c r="B28">
        <v>2355</v>
      </c>
      <c r="C28">
        <v>2490</v>
      </c>
      <c r="D28">
        <v>94.578313253012041</v>
      </c>
      <c r="F28">
        <v>2335</v>
      </c>
      <c r="G28">
        <v>2480</v>
      </c>
      <c r="H28">
        <v>94.153225806451616</v>
      </c>
      <c r="J28">
        <v>2335</v>
      </c>
      <c r="K28">
        <v>2480</v>
      </c>
      <c r="L28">
        <v>94.153225806451616</v>
      </c>
      <c r="N28" s="317">
        <v>2275</v>
      </c>
      <c r="O28" s="60">
        <v>2430</v>
      </c>
      <c r="P28" s="319">
        <f t="shared" si="0"/>
        <v>93.621399176954739</v>
      </c>
    </row>
    <row r="29" spans="1:16" ht="15.75">
      <c r="A29" t="s">
        <v>34</v>
      </c>
      <c r="B29">
        <v>14205</v>
      </c>
      <c r="C29">
        <v>14780</v>
      </c>
      <c r="D29">
        <v>96.10960757780785</v>
      </c>
      <c r="F29">
        <v>14120</v>
      </c>
      <c r="G29">
        <v>14735</v>
      </c>
      <c r="H29">
        <v>95.82626399728538</v>
      </c>
      <c r="J29">
        <v>14120</v>
      </c>
      <c r="K29">
        <v>14735</v>
      </c>
      <c r="L29">
        <v>95.82626399728538</v>
      </c>
      <c r="N29" s="317">
        <v>13880</v>
      </c>
      <c r="O29" s="60">
        <v>14595</v>
      </c>
      <c r="P29" s="319">
        <f t="shared" si="0"/>
        <v>95.101062007536825</v>
      </c>
    </row>
    <row r="30" spans="1:16" ht="15.75">
      <c r="A30" t="s">
        <v>35</v>
      </c>
      <c r="B30">
        <v>38850</v>
      </c>
      <c r="C30">
        <v>40765</v>
      </c>
      <c r="D30">
        <v>95.302342695940141</v>
      </c>
      <c r="F30">
        <v>38175</v>
      </c>
      <c r="G30">
        <v>40225</v>
      </c>
      <c r="H30">
        <v>94.90366687383468</v>
      </c>
      <c r="J30">
        <v>38175</v>
      </c>
      <c r="K30">
        <v>40225</v>
      </c>
      <c r="L30">
        <v>94.90366687383468</v>
      </c>
      <c r="N30" s="317">
        <v>37585</v>
      </c>
      <c r="O30" s="60">
        <v>39920</v>
      </c>
      <c r="P30" s="319">
        <f t="shared" si="0"/>
        <v>94.150801603206418</v>
      </c>
    </row>
    <row r="31" spans="1:16" ht="15.75">
      <c r="A31" t="s">
        <v>36</v>
      </c>
      <c r="B31">
        <v>2005</v>
      </c>
      <c r="C31">
        <v>2095</v>
      </c>
      <c r="D31">
        <v>95.704057279236281</v>
      </c>
      <c r="F31">
        <v>1990</v>
      </c>
      <c r="G31">
        <v>2090</v>
      </c>
      <c r="H31">
        <v>95.215311004784681</v>
      </c>
      <c r="J31">
        <v>1990</v>
      </c>
      <c r="K31">
        <v>2090</v>
      </c>
      <c r="L31">
        <v>95.215311004784681</v>
      </c>
      <c r="N31" s="317">
        <v>1970</v>
      </c>
      <c r="O31" s="60">
        <v>2075</v>
      </c>
      <c r="P31" s="319">
        <f t="shared" si="0"/>
        <v>94.939759036144579</v>
      </c>
    </row>
    <row r="32" spans="1:16" ht="15.75">
      <c r="A32" t="s">
        <v>37</v>
      </c>
      <c r="B32">
        <v>14135</v>
      </c>
      <c r="C32">
        <v>15430</v>
      </c>
      <c r="D32">
        <v>91.607258587167848</v>
      </c>
      <c r="F32">
        <v>14025</v>
      </c>
      <c r="G32">
        <v>15380</v>
      </c>
      <c r="H32">
        <v>91.18985695708713</v>
      </c>
      <c r="J32">
        <v>14025</v>
      </c>
      <c r="K32">
        <v>15380</v>
      </c>
      <c r="L32">
        <v>91.18985695708713</v>
      </c>
      <c r="N32" s="317">
        <v>13795</v>
      </c>
      <c r="O32" s="60">
        <v>15305</v>
      </c>
      <c r="P32" s="319">
        <f t="shared" si="0"/>
        <v>90.133943155831432</v>
      </c>
    </row>
    <row r="33" spans="1:17" ht="15.75">
      <c r="A33" t="s">
        <v>38</v>
      </c>
      <c r="B33">
        <v>18695</v>
      </c>
      <c r="C33">
        <v>19990</v>
      </c>
      <c r="D33">
        <v>93.521760880440212</v>
      </c>
      <c r="F33">
        <v>18645</v>
      </c>
      <c r="G33">
        <v>20015</v>
      </c>
      <c r="H33">
        <v>93.155133649762675</v>
      </c>
      <c r="J33">
        <v>18645</v>
      </c>
      <c r="K33">
        <v>20015</v>
      </c>
      <c r="L33">
        <v>93.155133649762675</v>
      </c>
      <c r="N33" s="317">
        <v>18340</v>
      </c>
      <c r="O33" s="60">
        <v>19915</v>
      </c>
      <c r="P33" s="319">
        <f t="shared" si="0"/>
        <v>92.091388400702982</v>
      </c>
    </row>
    <row r="34" spans="1:17" ht="15.75">
      <c r="A34" t="s">
        <v>39</v>
      </c>
      <c r="B34">
        <v>10935</v>
      </c>
      <c r="C34">
        <v>11685</v>
      </c>
      <c r="D34">
        <v>93.581514762516051</v>
      </c>
      <c r="F34">
        <v>10775</v>
      </c>
      <c r="G34">
        <v>11550</v>
      </c>
      <c r="H34">
        <v>93.290043290043286</v>
      </c>
      <c r="J34">
        <v>10775</v>
      </c>
      <c r="K34">
        <v>11550</v>
      </c>
      <c r="L34">
        <v>93.290043290043286</v>
      </c>
      <c r="N34" s="317">
        <v>10525</v>
      </c>
      <c r="O34" s="60">
        <v>11405</v>
      </c>
      <c r="P34" s="319">
        <f t="shared" si="0"/>
        <v>92.284085927224908</v>
      </c>
    </row>
    <row r="35" spans="1:17" ht="15.75">
      <c r="A35" t="s">
        <v>40</v>
      </c>
      <c r="B35">
        <v>2130</v>
      </c>
      <c r="C35">
        <v>2355</v>
      </c>
      <c r="D35">
        <v>90.445859872611464</v>
      </c>
      <c r="F35">
        <v>2110</v>
      </c>
      <c r="G35">
        <v>2325</v>
      </c>
      <c r="H35">
        <v>90.752688172043008</v>
      </c>
      <c r="J35">
        <v>2110</v>
      </c>
      <c r="K35">
        <v>2325</v>
      </c>
      <c r="L35">
        <v>90.752688172043008</v>
      </c>
      <c r="N35" s="317">
        <v>2070</v>
      </c>
      <c r="O35" s="60">
        <v>2305</v>
      </c>
      <c r="P35" s="319">
        <f t="shared" si="0"/>
        <v>89.804772234273315</v>
      </c>
    </row>
    <row r="36" spans="1:17" ht="15.75">
      <c r="A36" t="s">
        <v>41</v>
      </c>
      <c r="B36">
        <v>10465</v>
      </c>
      <c r="C36">
        <v>11315</v>
      </c>
      <c r="D36">
        <v>92.487847989394609</v>
      </c>
      <c r="F36">
        <v>10290</v>
      </c>
      <c r="G36">
        <v>11175</v>
      </c>
      <c r="H36">
        <v>92.080536912751683</v>
      </c>
      <c r="J36">
        <v>10290</v>
      </c>
      <c r="K36">
        <v>11175</v>
      </c>
      <c r="L36">
        <v>92.080536912751683</v>
      </c>
      <c r="N36" s="317">
        <v>10200</v>
      </c>
      <c r="O36" s="60">
        <v>11120</v>
      </c>
      <c r="P36" s="319">
        <f t="shared" si="0"/>
        <v>91.72661870503596</v>
      </c>
    </row>
    <row r="37" spans="1:17" ht="15.75">
      <c r="A37" t="s">
        <v>42</v>
      </c>
      <c r="B37">
        <v>34210</v>
      </c>
      <c r="C37">
        <v>36765</v>
      </c>
      <c r="D37">
        <v>93.050455596355235</v>
      </c>
      <c r="F37">
        <v>34005</v>
      </c>
      <c r="G37">
        <v>36770</v>
      </c>
      <c r="H37">
        <v>92.48028283927114</v>
      </c>
      <c r="J37">
        <v>34005</v>
      </c>
      <c r="K37">
        <v>36770</v>
      </c>
      <c r="L37">
        <v>92.48028283927114</v>
      </c>
      <c r="N37" s="317">
        <v>33560</v>
      </c>
      <c r="O37" s="60">
        <v>36700</v>
      </c>
      <c r="P37" s="319">
        <f t="shared" si="0"/>
        <v>91.444141689373296</v>
      </c>
    </row>
    <row r="38" spans="1:17" ht="15.75">
      <c r="A38" t="s">
        <v>43</v>
      </c>
      <c r="B38">
        <v>8300</v>
      </c>
      <c r="C38">
        <v>9490</v>
      </c>
      <c r="D38">
        <v>87.460484720758686</v>
      </c>
      <c r="F38">
        <v>8190</v>
      </c>
      <c r="G38">
        <v>9395</v>
      </c>
      <c r="H38">
        <v>87.174028738690794</v>
      </c>
      <c r="J38">
        <v>8190</v>
      </c>
      <c r="K38">
        <v>9395</v>
      </c>
      <c r="L38">
        <v>87.174028738690794</v>
      </c>
      <c r="N38" s="317">
        <v>7955</v>
      </c>
      <c r="O38" s="60">
        <v>9265</v>
      </c>
      <c r="P38" s="319">
        <f t="shared" si="0"/>
        <v>85.860766324878583</v>
      </c>
    </row>
    <row r="39" spans="1:17" ht="15.75">
      <c r="A39" t="s">
        <v>44</v>
      </c>
      <c r="B39">
        <v>9985</v>
      </c>
      <c r="C39">
        <v>10365</v>
      </c>
      <c r="D39">
        <v>96.333815726000964</v>
      </c>
      <c r="F39">
        <v>9820</v>
      </c>
      <c r="G39">
        <v>10235</v>
      </c>
      <c r="H39">
        <v>95.945285784074258</v>
      </c>
      <c r="J39">
        <v>9820</v>
      </c>
      <c r="K39">
        <v>10235</v>
      </c>
      <c r="L39">
        <v>95.945285784074258</v>
      </c>
      <c r="N39" s="317">
        <v>9790</v>
      </c>
      <c r="O39" s="60">
        <v>10265</v>
      </c>
      <c r="P39" s="319">
        <f t="shared" si="0"/>
        <v>95.372625426205545</v>
      </c>
    </row>
    <row r="40" spans="1:17" ht="15.75">
      <c r="A40" t="s">
        <v>45</v>
      </c>
      <c r="B40">
        <v>20555</v>
      </c>
      <c r="C40">
        <v>22285</v>
      </c>
      <c r="D40">
        <v>92.236930670854832</v>
      </c>
      <c r="F40">
        <v>20375</v>
      </c>
      <c r="G40">
        <v>22250</v>
      </c>
      <c r="H40">
        <v>91.573033707865164</v>
      </c>
      <c r="J40">
        <v>20375</v>
      </c>
      <c r="K40">
        <v>22250</v>
      </c>
      <c r="L40">
        <v>91.573033707865164</v>
      </c>
      <c r="N40" s="317">
        <v>20105</v>
      </c>
      <c r="O40" s="60">
        <v>22255</v>
      </c>
      <c r="P40" s="319">
        <f t="shared" si="0"/>
        <v>90.339249606829924</v>
      </c>
    </row>
    <row r="41" spans="1:17">
      <c r="O41" s="60"/>
      <c r="P41" s="319"/>
    </row>
    <row r="42" spans="1:17" ht="15.75">
      <c r="A42" t="s">
        <v>46</v>
      </c>
      <c r="B42">
        <v>532180</v>
      </c>
      <c r="C42">
        <v>577645</v>
      </c>
      <c r="D42">
        <v>92.129248933168299</v>
      </c>
      <c r="F42">
        <v>526430</v>
      </c>
      <c r="G42">
        <v>574190</v>
      </c>
      <c r="H42">
        <v>91.682195788850379</v>
      </c>
      <c r="J42">
        <v>526430</v>
      </c>
      <c r="K42">
        <v>526430</v>
      </c>
      <c r="L42">
        <v>100</v>
      </c>
      <c r="N42" s="317">
        <v>517310</v>
      </c>
      <c r="O42" s="60">
        <v>569775</v>
      </c>
      <c r="P42" s="319">
        <f t="shared" si="0"/>
        <v>90.791979290070643</v>
      </c>
    </row>
    <row r="43" spans="1:17" ht="15.75">
      <c r="A43" t="s">
        <v>47</v>
      </c>
      <c r="B43">
        <v>7088240</v>
      </c>
      <c r="C43">
        <v>7739150</v>
      </c>
      <c r="D43">
        <v>91.589386431326432</v>
      </c>
      <c r="F43">
        <v>7013155</v>
      </c>
      <c r="G43">
        <v>7696300</v>
      </c>
      <c r="H43">
        <v>91.123721788391819</v>
      </c>
      <c r="J43">
        <v>7013155</v>
      </c>
      <c r="K43">
        <v>7013155</v>
      </c>
      <c r="L43">
        <v>100</v>
      </c>
      <c r="N43" s="317">
        <v>6907645</v>
      </c>
      <c r="O43" s="60">
        <v>7648950</v>
      </c>
      <c r="P43" s="319">
        <f t="shared" si="0"/>
        <v>90.308408343628869</v>
      </c>
    </row>
    <row r="44" spans="1:17" ht="18.75">
      <c r="A44" s="10" t="s">
        <v>156</v>
      </c>
      <c r="B44" s="15">
        <v>85480</v>
      </c>
      <c r="C44" s="15">
        <v>94480</v>
      </c>
      <c r="D44" s="14">
        <v>90.474174428450468</v>
      </c>
      <c r="E44" s="15"/>
      <c r="F44" s="15">
        <v>40540</v>
      </c>
      <c r="G44" s="15">
        <v>48845</v>
      </c>
      <c r="H44" s="14">
        <v>82.997236155184765</v>
      </c>
      <c r="I44" s="15"/>
      <c r="J44" s="15">
        <v>40540</v>
      </c>
      <c r="K44" s="15">
        <v>48845</v>
      </c>
      <c r="L44" s="14">
        <v>82.997236155184765</v>
      </c>
      <c r="M44" s="15"/>
      <c r="N44" s="318" cm="1">
        <f t="array" ref="N44">SUM(SUMIFS(N$9:N$40,$A$9:$A$40,{"Aberdeen City","Aberdeenshire"}))</f>
        <v>39560</v>
      </c>
      <c r="O44" s="318" cm="1">
        <f t="array" ref="O44">SUM(SUMIFS(O$9:O$40,$A$9:$A$40,{"Aberdeen City","Aberdeenshire"}))</f>
        <v>48305</v>
      </c>
      <c r="P44" s="319">
        <f t="shared" si="0"/>
        <v>81.896284028568473</v>
      </c>
      <c r="Q44" s="15"/>
    </row>
    <row r="45" spans="1:17">
      <c r="A45" s="10" t="s">
        <v>359</v>
      </c>
      <c r="B45" s="285">
        <v>30860</v>
      </c>
      <c r="C45" s="285">
        <v>33845</v>
      </c>
      <c r="D45" s="288">
        <v>91.180381149357359</v>
      </c>
      <c r="E45" s="7"/>
      <c r="F45" s="285">
        <v>30420</v>
      </c>
      <c r="G45" s="285">
        <v>33490</v>
      </c>
      <c r="H45" s="288">
        <v>90.83308450283667</v>
      </c>
      <c r="I45" s="7"/>
      <c r="J45" s="285">
        <v>30420</v>
      </c>
      <c r="K45" s="285">
        <v>33490</v>
      </c>
      <c r="L45" s="288">
        <v>90.83308450283667</v>
      </c>
      <c r="M45" s="7"/>
      <c r="N45" s="285" cm="1">
        <f t="array" ref="N45">SUM(SUMIFS(N$9:N$41,$A$9:$A$41,{"Falkirk","Stirling","Clackmannanshire"}))</f>
        <v>29725</v>
      </c>
      <c r="O45" s="285" cm="1">
        <f t="array" ref="O45">SUM(SUMIFS(O$9:O$41,$A$9:$A$41,{"Falkirk","Stirling","Clackmannanshire"}))</f>
        <v>33095</v>
      </c>
      <c r="P45" s="319">
        <f t="shared" si="0"/>
        <v>89.81719292944554</v>
      </c>
      <c r="Q45" s="7"/>
    </row>
    <row r="46" spans="1:17">
      <c r="A46" s="10" t="s">
        <v>157</v>
      </c>
      <c r="B46" s="47">
        <v>119160</v>
      </c>
      <c r="C46" s="47">
        <v>128040</v>
      </c>
      <c r="D46" s="14">
        <v>93.064667291471409</v>
      </c>
      <c r="E46" s="15"/>
      <c r="F46" s="47">
        <v>130930</v>
      </c>
      <c r="G46" s="47">
        <v>144875</v>
      </c>
      <c r="H46" s="14">
        <v>90.374460742018982</v>
      </c>
      <c r="I46" s="15"/>
      <c r="J46" s="47">
        <v>130930</v>
      </c>
      <c r="K46" s="47">
        <v>144875</v>
      </c>
      <c r="L46" s="14">
        <v>90.374460742018982</v>
      </c>
      <c r="M46" s="15"/>
      <c r="N46" cm="1">
        <f t="array" ref="N46">SUM(SUMIFS(N$9:N$40,$A$9:$A$40,{"East Lothian","Edinburgh, City of","Fife","Midlothian","Scottish Borders","West Lothian"}))</f>
        <v>128235</v>
      </c>
      <c r="O46" cm="1">
        <f t="array" ref="O46">SUM(SUMIFS(O$9:O$40,$A$9:$A$40,{"East Lothian","Edinburgh, City of","Fife","Midlothian","Scottish Borders","West Lothian"}))</f>
        <v>143570</v>
      </c>
      <c r="P46" s="319">
        <f t="shared" si="0"/>
        <v>89.318799192031761</v>
      </c>
      <c r="Q46" s="15"/>
    </row>
    <row r="47" spans="1:17">
      <c r="A47" s="10" t="s">
        <v>158</v>
      </c>
      <c r="B47" s="47">
        <v>118570</v>
      </c>
      <c r="C47" s="47">
        <v>128620</v>
      </c>
      <c r="D47" s="14">
        <v>92.186285181153778</v>
      </c>
      <c r="E47" s="15"/>
      <c r="F47" s="47">
        <v>78065</v>
      </c>
      <c r="G47" s="47">
        <v>83420</v>
      </c>
      <c r="H47" s="14">
        <v>93.580676096859264</v>
      </c>
      <c r="I47" s="15"/>
      <c r="J47" s="47">
        <v>78065</v>
      </c>
      <c r="K47" s="47">
        <v>83420</v>
      </c>
      <c r="L47" s="14">
        <v>93.580676096859264</v>
      </c>
      <c r="M47" s="15"/>
      <c r="N47" cm="1">
        <f t="array" ref="N47">SUM(SUMIFS(N$9:N$40,$A$9:$A$40,{"Angus","Dundee City","Fife","Perth and Kinross"}))</f>
        <v>76940</v>
      </c>
      <c r="O47" cm="1">
        <f t="array" ref="O47">SUM(SUMIFS(O$9:O$40,$A$9:$A$40,{"Angus","Dundee City","Fife","Perth and Kinross"}))</f>
        <v>82920</v>
      </c>
      <c r="P47" s="319">
        <f t="shared" si="0"/>
        <v>92.788229618909796</v>
      </c>
      <c r="Q47" s="15"/>
    </row>
    <row r="48" spans="1:17">
      <c r="A48" t="s">
        <v>246</v>
      </c>
      <c r="B48" s="285">
        <v>118915</v>
      </c>
      <c r="C48" s="285">
        <v>139005</v>
      </c>
      <c r="D48" s="288">
        <v>85.547282471853521</v>
      </c>
      <c r="E48" s="7"/>
      <c r="F48" s="285">
        <v>117560</v>
      </c>
      <c r="G48" s="285">
        <v>138290</v>
      </c>
      <c r="H48" s="288">
        <v>85.009762094149977</v>
      </c>
      <c r="I48" s="7"/>
      <c r="J48" s="285">
        <v>117560</v>
      </c>
      <c r="K48" s="285">
        <v>138290</v>
      </c>
      <c r="L48" s="288">
        <v>85.009762094149977</v>
      </c>
      <c r="M48" s="7"/>
      <c r="N48" s="285" cm="1">
        <f t="array" ref="N48">SUM(SUMIFS(N$9:N$41,$A$9:$A$41,{"East Renfrewshire","East Dunbartonshire","Aberdeenshire","Edinburgh, City of","Perth and Kinross","Aberdeen City","Shetland Islands","Orkney Islands"}))</f>
        <v>114505</v>
      </c>
      <c r="O48" s="285" cm="1">
        <f t="array" ref="O48">SUM(SUMIFS(O$9:O$41,$A$9:$A$41,{"East Renfrewshire","East Dunbartonshire","Aberdeenshire","Edinburgh, City of","Perth and Kinross","Aberdeen City","Shetland Islands","Orkney Islands"}))</f>
        <v>136635</v>
      </c>
      <c r="P48" s="319">
        <f t="shared" si="0"/>
        <v>83.803564240494737</v>
      </c>
    </row>
    <row r="49" spans="1:16">
      <c r="A49" t="s">
        <v>247</v>
      </c>
      <c r="B49" s="285">
        <v>91965</v>
      </c>
      <c r="C49" s="285">
        <v>99420</v>
      </c>
      <c r="D49" s="288">
        <v>92.501508750754383</v>
      </c>
      <c r="E49" s="7"/>
      <c r="F49" s="285">
        <v>91260</v>
      </c>
      <c r="G49" s="285">
        <v>99160</v>
      </c>
      <c r="H49" s="288">
        <v>92.033077853973381</v>
      </c>
      <c r="I49" s="7"/>
      <c r="J49" s="285">
        <v>91260</v>
      </c>
      <c r="K49" s="285">
        <v>99160</v>
      </c>
      <c r="L49" s="288">
        <v>92.033077853973381</v>
      </c>
      <c r="M49" s="7"/>
      <c r="N49" s="285" cm="1">
        <f t="array" ref="N49">SUM(SUMIFS(N$9:N$41,$A$9:$A$41,{"Moray","Stirling","East Lothian","Angus","Scottish Borders","Highland","Argyll and Bute","Midlothian"}))</f>
        <v>89925</v>
      </c>
      <c r="O49" s="285" cm="1">
        <f t="array" ref="O49">SUM(SUMIFS(O$9:O$41,$A$9:$A$41,{"Moray","Stirling","East Lothian","Angus","Scottish Borders","Highland","Argyll and Bute","Midlothian"}))</f>
        <v>98730</v>
      </c>
      <c r="P49" s="319">
        <f t="shared" si="0"/>
        <v>91.081738073533884</v>
      </c>
    </row>
    <row r="50" spans="1:16">
      <c r="A50" t="s">
        <v>248</v>
      </c>
      <c r="B50" s="285">
        <v>159560</v>
      </c>
      <c r="C50" s="285">
        <v>170555</v>
      </c>
      <c r="D50" s="288">
        <v>93.553399196740045</v>
      </c>
      <c r="E50" s="7"/>
      <c r="F50" s="285">
        <v>158155</v>
      </c>
      <c r="G50" s="285">
        <v>169870</v>
      </c>
      <c r="H50" s="288">
        <v>93.103549773356093</v>
      </c>
      <c r="I50" s="7"/>
      <c r="J50" s="285">
        <v>158155</v>
      </c>
      <c r="K50" s="285">
        <v>169870</v>
      </c>
      <c r="L50" s="288">
        <v>93.103549773356093</v>
      </c>
      <c r="M50" s="7"/>
      <c r="N50" s="285" cm="1">
        <f t="array" ref="N50">SUM(SUMIFS(N$9:N$41,$A$9:$A$41,{"Falkirk","Dumfries and Galloway","Fife","South Ayrshire","West Lothian","South Lanarkshire","Renfrewshire","Clackmannanshire"}))</f>
        <v>155695</v>
      </c>
      <c r="O50" s="285" cm="1">
        <f t="array" ref="O50">SUM(SUMIFS(O$9:O$41,$A$9:$A$41,{"Falkirk","Dumfries and Galloway","Fife","South Ayrshire","West Lothian","South Lanarkshire","Renfrewshire","Clackmannanshire"}))</f>
        <v>168865</v>
      </c>
      <c r="P50" s="319">
        <f t="shared" si="0"/>
        <v>92.200870517869305</v>
      </c>
    </row>
    <row r="51" spans="1:16">
      <c r="A51" t="s">
        <v>249</v>
      </c>
      <c r="B51" s="285">
        <v>161745</v>
      </c>
      <c r="C51" s="285">
        <v>168670</v>
      </c>
      <c r="D51" s="288">
        <v>95.894349914033313</v>
      </c>
      <c r="E51" s="7"/>
      <c r="F51" s="285">
        <v>159455</v>
      </c>
      <c r="G51" s="285">
        <v>166875</v>
      </c>
      <c r="H51" s="288">
        <v>95.553558052434468</v>
      </c>
      <c r="I51" s="7"/>
      <c r="J51" s="285">
        <v>159455</v>
      </c>
      <c r="K51" s="285">
        <v>166875</v>
      </c>
      <c r="L51" s="288">
        <v>95.553558052434468</v>
      </c>
      <c r="M51" s="7"/>
      <c r="N51" s="285" cm="1">
        <f t="array" ref="N51">SUM(SUMIFS(N$9:N$41,$A$9:$A$41,{"Na h-Eileanan Siar","Dundee City","East Ayrshire","North Ayrshire","North Lanarkshire","Inverclyde","West Dunbartonshire","Glasgow City"}))</f>
        <v>157190</v>
      </c>
      <c r="O51" s="285" cm="1">
        <f t="array" ref="O51">SUM(SUMIFS(O$9:O$41,$A$9:$A$41,{"Na h-Eileanan Siar","Dundee City","East Ayrshire","North Ayrshire","North Lanarkshire","Inverclyde","West Dunbartonshire","Glasgow City"}))</f>
        <v>165545</v>
      </c>
      <c r="P51" s="319">
        <f t="shared" si="0"/>
        <v>94.953033918269952</v>
      </c>
    </row>
    <row r="52" spans="1:16">
      <c r="A52" t="s">
        <v>48</v>
      </c>
      <c r="B52">
        <v>194245</v>
      </c>
      <c r="C52">
        <v>206490</v>
      </c>
      <c r="D52">
        <v>94.069930747251689</v>
      </c>
      <c r="F52">
        <v>187245</v>
      </c>
      <c r="G52">
        <v>201020</v>
      </c>
      <c r="H52">
        <v>93.147448015122876</v>
      </c>
      <c r="J52">
        <v>187245</v>
      </c>
      <c r="K52">
        <v>201020</v>
      </c>
      <c r="L52">
        <v>93.147448015122876</v>
      </c>
      <c r="N52" cm="1">
        <f t="array" ref="N52">SUM(SUMIFS(N$9:N$40,$A$9:$A$40,{"North Lanarkshire","Inverclyde","West Dunbartonshire","Glasgow City","East Renfrewshire","East Dunbartonshire","Renfrewshire","South Lanarkshire"}))</f>
        <v>184390</v>
      </c>
      <c r="O52" cm="1">
        <f t="array" ref="O52">SUM(SUMIFS(O$9:O$40,$A$9:$A$40,{"North Lanarkshire","Inverclyde","West Dunbartonshire","Glasgow City","East Renfrewshire","East Dunbartonshire","Renfrewshire","South Lanarkshire"}))</f>
        <v>199715</v>
      </c>
      <c r="P52" s="319">
        <f t="shared" si="0"/>
        <v>92.326565355631772</v>
      </c>
    </row>
    <row r="54" spans="1:16" ht="15.75">
      <c r="O54" s="317"/>
    </row>
    <row r="55" spans="1:16" ht="15.75">
      <c r="N55" s="317"/>
      <c r="O55" s="317"/>
    </row>
    <row r="56" spans="1:16" ht="15.75">
      <c r="N56" s="317"/>
      <c r="O56" s="317"/>
    </row>
    <row r="57" spans="1:16" ht="15.75">
      <c r="O57" s="317"/>
    </row>
    <row r="58" spans="1:16" ht="15.75">
      <c r="O58" s="317"/>
    </row>
    <row r="59" spans="1:16" ht="15.75">
      <c r="O59" s="317"/>
    </row>
    <row r="60" spans="1:16" ht="15.75">
      <c r="O60" s="317"/>
    </row>
    <row r="61" spans="1:16" ht="15.75">
      <c r="O61" s="317"/>
    </row>
    <row r="62" spans="1:16" ht="15.75">
      <c r="O62" s="317"/>
    </row>
    <row r="63" spans="1:16" ht="15.75">
      <c r="O63" s="317"/>
    </row>
    <row r="64" spans="1:16" ht="15.75">
      <c r="O64" s="317"/>
    </row>
    <row r="65" spans="15:15" ht="15.75">
      <c r="O65" s="317"/>
    </row>
    <row r="66" spans="15:15" ht="15.75">
      <c r="O66" s="317"/>
    </row>
    <row r="67" spans="15:15" ht="15.75">
      <c r="O67" s="317"/>
    </row>
    <row r="68" spans="15:15" ht="15.75">
      <c r="O68" s="317"/>
    </row>
    <row r="69" spans="15:15" ht="15.75">
      <c r="O69" s="317"/>
    </row>
    <row r="70" spans="15:15" ht="15.75">
      <c r="O70" s="317"/>
    </row>
    <row r="71" spans="15:15" ht="15.75">
      <c r="O71" s="317"/>
    </row>
    <row r="72" spans="15:15" ht="15.75">
      <c r="O72" s="317"/>
    </row>
    <row r="73" spans="15:15" ht="15.75">
      <c r="O73" s="317"/>
    </row>
    <row r="74" spans="15:15" ht="15.75">
      <c r="O74" s="317"/>
    </row>
    <row r="75" spans="15:15" ht="15.75">
      <c r="O75" s="317"/>
    </row>
    <row r="76" spans="15:15" ht="15.75">
      <c r="O76" s="317"/>
    </row>
    <row r="77" spans="15:15" ht="15.75">
      <c r="O77" s="317"/>
    </row>
    <row r="78" spans="15:15" ht="15.75">
      <c r="O78" s="317"/>
    </row>
    <row r="79" spans="15:15" ht="15.75">
      <c r="O79" s="317"/>
    </row>
    <row r="80" spans="15:15" ht="15.75">
      <c r="O80" s="317"/>
    </row>
    <row r="81" spans="15:15" ht="15.75">
      <c r="O81" s="317"/>
    </row>
    <row r="82" spans="15:15" ht="15.75">
      <c r="O82" s="317"/>
    </row>
    <row r="83" spans="15:15" ht="15.75">
      <c r="O83" s="317"/>
    </row>
    <row r="84" spans="15:15" ht="15.75">
      <c r="O84" s="317"/>
    </row>
    <row r="85" spans="15:15" ht="15.75">
      <c r="O85" s="317"/>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autoPageBreaks="0" fitToPage="1"/>
  </sheetPr>
  <dimension ref="A1:AV63"/>
  <sheetViews>
    <sheetView showGridLines="0" zoomScale="80" zoomScaleNormal="80" workbookViewId="0">
      <selection activeCell="D28" sqref="D28"/>
    </sheetView>
  </sheetViews>
  <sheetFormatPr defaultColWidth="8.7109375" defaultRowHeight="12"/>
  <cols>
    <col min="1" max="1" width="6" style="355" customWidth="1"/>
    <col min="2" max="2" width="8.7109375" style="152"/>
    <col min="3" max="3" width="49.28515625" style="152" customWidth="1"/>
    <col min="4" max="4" width="9.42578125" style="168" customWidth="1"/>
    <col min="5" max="5" width="16.7109375" style="169" customWidth="1"/>
    <col min="6" max="7" width="19.28515625" style="167" customWidth="1"/>
    <col min="8" max="8" width="13.28515625" style="168" customWidth="1"/>
    <col min="9" max="11" width="15.28515625" style="167" customWidth="1"/>
    <col min="12" max="12" width="31.7109375" style="152" customWidth="1"/>
    <col min="13" max="14" width="8.7109375" style="142"/>
    <col min="15" max="15" width="8.7109375" style="142" customWidth="1"/>
    <col min="16" max="19" width="10.85546875" style="142" hidden="1" customWidth="1"/>
    <col min="20" max="48" width="8.7109375" style="142"/>
    <col min="49" max="16384" width="8.7109375" style="152"/>
  </cols>
  <sheetData>
    <row r="1" spans="1:48" s="142" customFormat="1" ht="18.75">
      <c r="A1" s="354"/>
      <c r="C1" s="143"/>
      <c r="D1" s="144"/>
      <c r="E1" s="145"/>
      <c r="F1" s="146"/>
      <c r="G1" s="146"/>
      <c r="H1" s="144"/>
      <c r="I1" s="146"/>
      <c r="J1" s="146"/>
      <c r="K1" s="146"/>
    </row>
    <row r="2" spans="1:48" s="142" customFormat="1" ht="15" customHeight="1">
      <c r="A2" s="354"/>
      <c r="C2" s="143" t="s">
        <v>229</v>
      </c>
      <c r="D2" s="144"/>
      <c r="E2" s="147" t="s">
        <v>257</v>
      </c>
      <c r="F2" s="148" t="s">
        <v>46</v>
      </c>
      <c r="G2" s="146"/>
      <c r="H2" s="144"/>
      <c r="I2" s="149"/>
      <c r="J2" s="146"/>
      <c r="K2" s="146"/>
    </row>
    <row r="3" spans="1:48" s="142" customFormat="1" ht="15" customHeight="1">
      <c r="A3" s="354"/>
      <c r="D3" s="144"/>
      <c r="E3" s="145"/>
      <c r="F3" s="146"/>
      <c r="G3" s="146"/>
      <c r="H3" s="144"/>
      <c r="I3" s="146"/>
      <c r="J3" s="146"/>
      <c r="K3" s="146"/>
    </row>
    <row r="4" spans="1:48" s="142" customFormat="1" ht="15" customHeight="1">
      <c r="A4" s="354"/>
      <c r="C4" s="143"/>
      <c r="D4" s="144"/>
      <c r="E4" s="147" t="s">
        <v>258</v>
      </c>
      <c r="F4" s="150">
        <v>0.1</v>
      </c>
      <c r="G4" s="146"/>
      <c r="H4" s="144"/>
      <c r="I4" s="146"/>
      <c r="J4" s="146"/>
      <c r="K4" s="146"/>
    </row>
    <row r="5" spans="1:48" s="142" customFormat="1" ht="12.6" customHeight="1" thickBot="1">
      <c r="A5" s="354"/>
      <c r="E5" s="145"/>
      <c r="F5" s="146"/>
      <c r="G5" s="146"/>
      <c r="H5" s="144"/>
      <c r="I5" s="146"/>
      <c r="J5" s="146"/>
      <c r="K5" s="146"/>
    </row>
    <row r="6" spans="1:48" ht="15.75" customHeight="1" thickBot="1">
      <c r="B6" s="142"/>
      <c r="C6" s="142"/>
      <c r="D6" s="144"/>
      <c r="E6" s="145"/>
      <c r="F6" s="457" t="s">
        <v>218</v>
      </c>
      <c r="G6" s="457"/>
      <c r="H6" s="144"/>
      <c r="I6" s="151" t="s">
        <v>279</v>
      </c>
      <c r="J6" s="146"/>
      <c r="K6" s="146"/>
      <c r="L6" s="142"/>
    </row>
    <row r="7" spans="1:48" s="159" customFormat="1" ht="36" customHeight="1" thickBot="1">
      <c r="A7" s="363"/>
      <c r="B7" s="153"/>
      <c r="C7" s="154" t="s">
        <v>49</v>
      </c>
      <c r="D7" s="151" t="s">
        <v>234</v>
      </c>
      <c r="E7" s="155" t="s">
        <v>15</v>
      </c>
      <c r="F7" s="156" t="s">
        <v>227</v>
      </c>
      <c r="G7" s="156" t="s">
        <v>226</v>
      </c>
      <c r="H7" s="151" t="s">
        <v>228</v>
      </c>
      <c r="I7" s="155" t="s">
        <v>156</v>
      </c>
      <c r="J7" s="151" t="s">
        <v>46</v>
      </c>
      <c r="K7" s="151" t="s">
        <v>47</v>
      </c>
      <c r="L7" s="157" t="s">
        <v>50</v>
      </c>
      <c r="M7" s="153"/>
      <c r="N7" s="153"/>
      <c r="O7" s="153"/>
      <c r="P7" s="158" t="s">
        <v>346</v>
      </c>
      <c r="Q7" s="158" t="s">
        <v>347</v>
      </c>
      <c r="R7" s="158" t="s">
        <v>348</v>
      </c>
      <c r="S7" s="158" t="s">
        <v>349</v>
      </c>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row>
    <row r="8" spans="1:48" ht="27.6" customHeight="1">
      <c r="B8" s="454" t="s">
        <v>301</v>
      </c>
      <c r="C8" s="160" t="s">
        <v>59</v>
      </c>
      <c r="D8" s="161" t="s">
        <v>441</v>
      </c>
      <c r="E8" s="138">
        <f>VLOOKUP(E$7,'Raw - Child Poverty'!$A:$Q,16,FALSE)</f>
        <v>21.806700527667999</v>
      </c>
      <c r="F8" s="138" t="str">
        <f>IF(E7=VLOOKUP("Top Performing Scottish Local Authority",'Child Poverty'!B:C,2,FALSE),"Green",IF(HLOOKUP(F$2,J$7:K$35,2,FALSE)="n/a","n/a",IF(E8&lt;SUM(HLOOKUP($F$2,J$7:K$35,2,FALSE)-HLOOKUP($F$2,J$7:K$35,2,FALSE)*F$4),"Green",IF(E8&gt;SUM(HLOOKUP($F$2,J$7:K$35,2,FALSE)+HLOOKUP($F$2,J$7:K$35,2,FALSE)*F$4),"Red","Amber"))))</f>
        <v>Green</v>
      </c>
      <c r="G8" s="138" t="str">
        <f>IF(SUM(VLOOKUP(E$7,'Raw - Child Poverty'!A:Q,16,FALSE)-VLOOKUP(E$7,'Raw - Child Poverty'!A:Q,4,FALSE))&gt;0,"Red",IF(SUM(VLOOKUP(E$7,'Raw - Child Poverty'!A:Q,16,FALSE)-VLOOKUP(E$7,'Raw - Child Poverty'!A:Q,4,FALSE)&lt;SUM(VLOOKUP(F$2,'Raw - Child Poverty'!A:Q,16,FALSE)-VLOOKUP(F$2,'Raw - Child Poverty'!A:Q,4,FALSE))),"Green","Amber"))</f>
        <v>Red</v>
      </c>
      <c r="H8" s="139" t="s">
        <v>221</v>
      </c>
      <c r="I8" s="138">
        <f>VLOOKUP(I$7,'Raw - Child Poverty'!$A:$Q,16,FALSE)</f>
        <v>18.719347715990938</v>
      </c>
      <c r="J8" s="138">
        <f>VLOOKUP(J$7,'Raw - Child Poverty'!$A:$Q,16,FALSE)</f>
        <v>24.473927977812586</v>
      </c>
      <c r="K8" s="138">
        <f>VLOOKUP(K$7,'Raw - Child Poverty'!$A:$Q,16,FALSE)</f>
        <v>28.936021126269207</v>
      </c>
      <c r="L8" s="443" t="s">
        <v>61</v>
      </c>
      <c r="P8" s="162">
        <f>SUM(HLOOKUP(F$2,J$7:K$35,2,FALSE)+HLOOKUP(F$2,J$7:K$35,2,FALSE)*F$4)</f>
        <v>26.921320775593845</v>
      </c>
      <c r="Q8" s="162">
        <f>SUM(HLOOKUP(F$2,J$7:K$35,2,FALSE)-HLOOKUP(F$2,J$7:K$35,2,FALSE)*F$4)</f>
        <v>22.026535180031328</v>
      </c>
      <c r="R8" s="163">
        <f>SUM(VLOOKUP(E$7,'Raw - Child Poverty'!A:Q,16,FALSE)-VLOOKUP(E$7,'Raw - Child Poverty'!A:Q,4,FALSE))</f>
        <v>0.46276450157165527</v>
      </c>
      <c r="S8" s="163">
        <f>SUM(VLOOKUP(F$2,'Raw - Child Poverty'!A:Q,16,FALSE)-VLOOKUP(F$2,'Raw - Child Poverty'!A:Q,4,FALSE))</f>
        <v>0.19009218258524285</v>
      </c>
    </row>
    <row r="9" spans="1:48" ht="27.6" customHeight="1">
      <c r="B9" s="455"/>
      <c r="C9" s="160" t="s">
        <v>275</v>
      </c>
      <c r="D9" s="161">
        <v>2023</v>
      </c>
      <c r="E9" s="138">
        <f>VLOOKUP(E$7,'Raw - Childcare'!$A:$Q,16,FALSE)</f>
        <v>25.543781372002233</v>
      </c>
      <c r="F9" s="138" t="str">
        <f>IF(E7=VLOOKUP("Top Performing Scottish Local Authority",Childcare!B:C,2,FALSE),"Green",IF(HLOOKUP(F$2,J$7:K$35,3,FALSE)="n/a","n/a",IF(E9&gt;SUM(HLOOKUP($F$2,J$7:K$35,3,FALSE)+HLOOKUP($F$2,J$7:K$35,3,FALSE)*F$4),"Green",IF(E9&lt;SUM(HLOOKUP($F$2,J$7:K$35,3,FALSE)-HLOOKUP($F$2,J$7:K$35,3,FALSE)*F$4),"Red","Amber"))))</f>
        <v>Amber</v>
      </c>
      <c r="G9" s="138" t="str">
        <f>IF(F9="n/a","n/a",IF(SUM(VLOOKUP(E$7,'Raw - Childcare'!A:Q,16,FALSE)-VLOOKUP(E$7,'Raw - Childcare'!A:Q,4,FALSE))&lt;0,"Red",IF(SUM(VLOOKUP(E$7,'Raw - Childcare'!A:Q,16,FALSE)-VLOOKUP(E$7,'Raw - Childcare'!A:Q,4,FALSE)&gt;SUM(VLOOKUP(F$2,'Raw - Childcare'!A:Q,16,FALSE)-VLOOKUP(F$2,'Raw - Childcare'!A:Q,4,FALSE))),"Green","Amber")))</f>
        <v>Green</v>
      </c>
      <c r="H9" s="140" t="s">
        <v>220</v>
      </c>
      <c r="I9" s="138">
        <f>VLOOKUP(I$7,'Raw - Childcare'!$A:$Q,16,FALSE)</f>
        <v>24.822947014377412</v>
      </c>
      <c r="J9" s="138">
        <f>VLOOKUP(J$7,'Raw - Childcare'!$A:$Q,16,FALSE)</f>
        <v>24.292337431241375</v>
      </c>
      <c r="K9" s="138" t="s">
        <v>196</v>
      </c>
      <c r="L9" s="443" t="s">
        <v>273</v>
      </c>
      <c r="P9" s="162">
        <f>SUM(HLOOKUP(F$2,J$7:K$35,3,FALSE)+HLOOKUP(F$2,J$7:K$35,3,FALSE)*F$4)</f>
        <v>26.721571174365511</v>
      </c>
      <c r="Q9" s="162">
        <f>SUM(HLOOKUP(F$2,J$7:K$35,3,FALSE)-HLOOKUP(F$2,J$7:K$35,3,FALSE)*F$4)</f>
        <v>21.863103688117238</v>
      </c>
      <c r="R9" s="163">
        <f>SUM(VLOOKUP(E$7,'Raw - Childcare'!A:Q,16,FALSE)-VLOOKUP(E$7,'Raw - Childcare'!A:Q,4,FALSE))</f>
        <v>3.2464274364354395</v>
      </c>
      <c r="S9" s="163">
        <f>SUM(VLOOKUP(F$2,'Raw - Childcare'!A:Q,16,FALSE)-VLOOKUP(F$2,'Raw - Childcare'!A:Q,4,FALSE))</f>
        <v>0.99347608673564025</v>
      </c>
    </row>
    <row r="10" spans="1:48" s="142" customFormat="1" ht="27.6" customHeight="1">
      <c r="A10" s="355"/>
      <c r="B10" s="455"/>
      <c r="C10" s="160" t="s">
        <v>300</v>
      </c>
      <c r="D10" s="161">
        <v>2023</v>
      </c>
      <c r="E10" s="138">
        <f>VLOOKUP(E$7,'Raw - Children in Low Income'!$A:$Q,16,FALSE)</f>
        <v>17.5</v>
      </c>
      <c r="F10" s="138" t="str">
        <f>IF(E7=VLOOKUP("Top Performing Scottish Local Authority",'Children in Low Income'!B:C,2,FALSE),"Green",IF(HLOOKUP(F$2,J$7:K$35,4,FALSE)="n/a","n/a",IF(E10&lt;SUM(HLOOKUP($F$2,J$7:K$35,4,FALSE)-HLOOKUP($F$2,J$7:K$35,4,FALSE)*F$4),"Green",IF(E10&gt;SUM(HLOOKUP($F$2,J$7:K$35,4,FALSE)+HLOOKUP($F$2,J$7:K$35,4,FALSE)*F$4),"Red","Amber"))))</f>
        <v>Green</v>
      </c>
      <c r="G10" s="138" t="str">
        <f>IF(SUM(VLOOKUP(E$7,'Raw - Children in Low Income'!A:Q,16,FALSE)-VLOOKUP(E$7,'Raw - Children in Low Income'!A:Q,4,FALSE))&gt;0,"Red",IF(SUM(VLOOKUP(E$7,'Raw - Children in Low Income'!A:Q,16,FALSE)-VLOOKUP(E$7,'Raw - Children in Low Income'!A:Q,4,FALSE)&lt;SUM(VLOOKUP(F$2,'Raw - Children in Low Income'!A:Q,16,FALSE)-VLOOKUP(F$2,'Raw - Children in Low Income'!A:Q,4,FALSE))),"Green","Amber"))</f>
        <v>Red</v>
      </c>
      <c r="H10" s="139" t="s">
        <v>221</v>
      </c>
      <c r="I10" s="138">
        <f>VLOOKUP(I$7,'Raw - Children in Low Income'!$A:$Q,16,FALSE)</f>
        <v>14.511257265016573</v>
      </c>
      <c r="J10" s="138">
        <f>VLOOKUP(J$7,'Raw - Children in Low Income'!$A:$Q,16,FALSE)</f>
        <v>21.344451370248031</v>
      </c>
      <c r="K10" s="138">
        <f>VLOOKUP(K$7,'Raw - Children in Low Income'!$A:$Q,16,FALSE)</f>
        <v>20.100000000000001</v>
      </c>
      <c r="L10" s="443" t="s">
        <v>304</v>
      </c>
      <c r="P10" s="162">
        <f>SUM(HLOOKUP(F$2,J$7:K$35,4,FALSE)+HLOOKUP(F$2,J$7:K$35,4,FALSE)*F$4)</f>
        <v>23.478896507272832</v>
      </c>
      <c r="Q10" s="162">
        <f>SUM(HLOOKUP(F$2,J$7:K$35,4,FALSE)-HLOOKUP(F$2,J$7:K$35,4,FALSE)*F$4)</f>
        <v>19.210006233223229</v>
      </c>
      <c r="R10" s="163">
        <f>SUM(VLOOKUP(E$7,'Raw - Children in Low Income'!A:Q,16,FALSE)-VLOOKUP(E$7,'Raw - Children in Low Income'!A:Q,4,FALSE))</f>
        <v>2.3000000000000007</v>
      </c>
      <c r="S10" s="163">
        <f>SUM(VLOOKUP(F$2,'Raw - Children in Low Income'!A:Q,16,FALSE)-VLOOKUP(F$2,'Raw - Children in Low Income'!A:Q,4,FALSE))</f>
        <v>2.4639313332282846</v>
      </c>
    </row>
    <row r="11" spans="1:48" s="142" customFormat="1" ht="27.6" customHeight="1">
      <c r="A11" s="355"/>
      <c r="B11" s="455"/>
      <c r="C11" s="160" t="s">
        <v>362</v>
      </c>
      <c r="D11" s="275">
        <v>45413</v>
      </c>
      <c r="E11" s="138">
        <f>VLOOKUP(E$7,'Raw - Households on UC'!$A:$Q,16,FALSE)</f>
        <v>15.527273382331749</v>
      </c>
      <c r="F11" s="138" t="str">
        <f>IF(E7=VLOOKUP("Top Performing Scottish Local Authority",'Households on UC'!B:C,2,FALSE),"Green",IF(HLOOKUP(F$2,J$7:K$35,5,FALSE)="n/a","n/a",IF(E11&lt;SUM(HLOOKUP($F$2,J$7:K$35,5,FALSE)-HLOOKUP($F$2,J$7:K$35,5,FALSE)*F$4),"Green",IF(E11&gt;SUM(HLOOKUP($F$2,J$7:K$35,5,FALSE)+HLOOKUP($F$2,J$7:K$35,5,FALSE)*F$4),"Red","Amber"))))</f>
        <v>Green</v>
      </c>
      <c r="G11" s="138" t="str">
        <f>IF(E7="Shetland Islands","n/a",IF(F11="N/A","n/a",IF(SUM(VLOOKUP(E$7,'Raw - Households on UC'!A:Q,16,FALSE)-VLOOKUP(E$7,'Raw - Households on UC'!A:Q,4,FALSE))&gt;0,"Red",IF(SUM(VLOOKUP(E$7,'Raw - Households on UC'!A:Q,16,FALSE)-VLOOKUP(E$7,'Raw - Households on UC'!A:Q,4,FALSE)&lt;SUM(VLOOKUP(F$2,'Raw - Households on UC'!A:Q,16,FALSE)-VLOOKUP(F$2,'Raw - Households on UC'!A:Q,4,FALSE))),"Green","Amber"))))</f>
        <v>Red</v>
      </c>
      <c r="H11" s="139" t="s">
        <v>221</v>
      </c>
      <c r="I11" s="138">
        <f>VLOOKUP(I$7,'Raw - Households on UC'!$A:$Q,16,FALSE)</f>
        <v>13.751421009432431</v>
      </c>
      <c r="J11" s="138">
        <f>VLOOKUP(J$7,'Raw - Households on UC'!$A:$Q,16,FALSE)</f>
        <v>18.74512387045371</v>
      </c>
      <c r="K11" s="138" t="s">
        <v>196</v>
      </c>
      <c r="L11" s="443" t="s">
        <v>440</v>
      </c>
      <c r="P11" s="162">
        <f>SUM(HLOOKUP(F$2,J$7:K$35,5,FALSE)+HLOOKUP(F$2,J$7:K$35,5,FALSE)*F$4)</f>
        <v>20.619636257499081</v>
      </c>
      <c r="Q11" s="162">
        <f>SUM(HLOOKUP(F$2,J$7:K$35,5,FALSE)-HLOOKUP(F$2,J$7:K$35,5,FALSE)*F$4)</f>
        <v>16.870611483408339</v>
      </c>
      <c r="R11" s="163">
        <f>SUM(VLOOKUP(E$7,'Raw - Households on UC'!A:Q,16,FALSE)-VLOOKUP(E$7,'Raw - Households on UC'!A:Q,4,FALSE))</f>
        <v>0.97984770889086015</v>
      </c>
      <c r="S11" s="163">
        <f>SUM(VLOOKUP(F$2,'Raw - Households on UC'!A:Q,16,FALSE)-VLOOKUP(F$2,'Raw - Households on UC'!A:Q,4,FALSE))</f>
        <v>2.3936829036482052</v>
      </c>
    </row>
    <row r="12" spans="1:48" s="142" customFormat="1" ht="27" customHeight="1">
      <c r="A12" s="354"/>
      <c r="B12" s="455"/>
      <c r="C12" s="160" t="s">
        <v>287</v>
      </c>
      <c r="D12" s="161">
        <v>2023</v>
      </c>
      <c r="E12" s="138">
        <f>VLOOKUP(E$7,'Raw - Child Benefit'!$A:$Q,16,FALSE)</f>
        <v>85.728518057285186</v>
      </c>
      <c r="F12" s="138" t="str">
        <f>IF(E7=VLOOKUP("Top Performing Scottish Local Authority",'Child Benefit'!B:C,2,FALSE),"Green",IF(HLOOKUP(F$2,J$7:K$35,6,FALSE)="n/a","n/a",IF(E12&lt;SUM(HLOOKUP($F$2,J$7:K$35,6,FALSE)-HLOOKUP($F$2,J$7:K$35,6,FALSE)*F$4),"Green",IF(E12&gt;SUM(HLOOKUP($F$2,J$7:K$35,6,FALSE)+HLOOKUP($F$2,J$7:K$35,6,FALSE)*F$4),"Red","Amber"))))</f>
        <v>Amber</v>
      </c>
      <c r="G12" s="138" t="str">
        <f>IF(SUM(VLOOKUP(E$7,'Raw - Child Benefit'!A:Q,16,FALSE)-VLOOKUP(E$7,'Raw - Child Benefit'!A:Q,4,FALSE))&gt;0,"Red",IF(SUM(VLOOKUP(E$7,'Raw - Child Benefit'!A:Q,16,FALSE)-VLOOKUP(E$7,'Raw - Child Benefit'!A:Q,4,FALSE)&lt;SUM(VLOOKUP(F$2,'Raw - Child Benefit'!A:Q,16,FALSE)-VLOOKUP(F$2,'Raw - Child Benefit'!A:Q,4,FALSE))),"Green","Amber"))</f>
        <v>Amber</v>
      </c>
      <c r="H12" s="139" t="s">
        <v>221</v>
      </c>
      <c r="I12" s="138">
        <f>VLOOKUP(I$7,'Raw - Child Benefit'!$A:$Q,16,FALSE)</f>
        <v>81.896284028568473</v>
      </c>
      <c r="J12" s="138">
        <f>VLOOKUP(J$7,'Raw - Child Benefit'!$A:$Q,16,FALSE)</f>
        <v>90.791979290070643</v>
      </c>
      <c r="K12" s="138">
        <f>VLOOKUP(K$7,'Raw - Child Benefit'!$A:$Q,16,FALSE)</f>
        <v>90.308408343628869</v>
      </c>
      <c r="L12" s="443" t="s">
        <v>306</v>
      </c>
      <c r="P12" s="162">
        <f>SUM(HLOOKUP(F$2,J$7:K$35,6,FALSE)+HLOOKUP(F$2,J$7:K$35,6,FALSE)*F$4)</f>
        <v>99.871177219077708</v>
      </c>
      <c r="Q12" s="162">
        <f>SUM(HLOOKUP(F$2,J$7:K$35,6,FALSE)-HLOOKUP(F$2,J$7:K$35,6,FALSE)*F$4)</f>
        <v>81.712781361063577</v>
      </c>
      <c r="R12" s="163">
        <f>SUM(VLOOKUP(E$7,'Raw - Child Benefit'!A:Q,16,FALSE)-VLOOKUP(E$7,'Raw - Child Benefit'!A:Q,4,FALSE))</f>
        <v>-0.9529196581259356</v>
      </c>
      <c r="S12" s="163">
        <f>SUM(VLOOKUP(F$2,'Raw - Child Benefit'!A:Q,16,FALSE)-VLOOKUP(F$2,'Raw - Child Benefit'!A:Q,4,FALSE))</f>
        <v>-1.3372696430976561</v>
      </c>
    </row>
    <row r="13" spans="1:48" s="142" customFormat="1" ht="27.6" customHeight="1">
      <c r="A13" s="355"/>
      <c r="B13" s="455"/>
      <c r="C13" s="160" t="s">
        <v>288</v>
      </c>
      <c r="D13" s="275">
        <v>45566</v>
      </c>
      <c r="E13" s="138">
        <f>VLOOKUP(E$7,'Raw - Claimant Count'!$A:$Q,16,FALSE)</f>
        <v>3.2</v>
      </c>
      <c r="F13" s="138" t="str">
        <f>IF(E7=VLOOKUP("Top Performing Scottish Local Authority",'Claimant Count'!B:C,2,FALSE),"Green",IF(HLOOKUP(F$2,J$7:K$35,7,FALSE)="n/a","n/a",IF(E13&lt;SUM(HLOOKUP($F$2,J$7:K$35,7,FALSE)-HLOOKUP($F$2,J$7:K$35,7,FALSE)*F$4),"Green",IF(E13&gt;SUM(HLOOKUP($F$2,J$7:K$35,7,FALSE)+HLOOKUP($F$2,J$7:K$35,7,FALSE)*F$4),"Red","Amber"))))</f>
        <v>Amber</v>
      </c>
      <c r="G13" s="138" t="str">
        <f>IF(VLOOKUP(E$7,'Raw - Claimant Count'!A:Q,4,FALSE)=" ","-",IF(SUM(VLOOKUP(E$7,'Raw - Claimant Count'!A:Q,16,FALSE)-VLOOKUP(E$7,'Raw - Claimant Count'!A:Q,4,FALSE))&gt;0,"Red",IF(SUM(VLOOKUP(E$7,'Raw - Claimant Count'!A:Q,16,FALSE)-VLOOKUP(E$7,'Raw - Claimant Count'!A:Q,4,FALSE)&lt;SUM(VLOOKUP(F2,'Raw - Claimant Count'!A:Q,16,FALSE)-VLOOKUP(F2,'Raw - Claimant Count'!A:Q,4,FALSE))),"Green","Amber")))</f>
        <v>Green</v>
      </c>
      <c r="H13" s="139" t="s">
        <v>221</v>
      </c>
      <c r="I13" s="138">
        <f>VLOOKUP(I$7,'Raw - Claimant Count'!$A:$Q,16,FALSE)</f>
        <v>2.4815438977983146</v>
      </c>
      <c r="J13" s="138">
        <f>VLOOKUP(J$7,'Raw - Claimant Count'!$A:$Q,16,FALSE)</f>
        <v>3.2</v>
      </c>
      <c r="K13" s="138">
        <f>VLOOKUP(K$7,'Raw - Claimant Count'!$A:$Q,16,FALSE)</f>
        <v>4.2</v>
      </c>
      <c r="L13" s="443" t="s">
        <v>103</v>
      </c>
      <c r="P13" s="162">
        <f>SUM(HLOOKUP(F$2,J$7:K$35,7,FALSE)+HLOOKUP(F$2,J$7:K$35,7,FALSE)*F$4)</f>
        <v>3.5200000000000005</v>
      </c>
      <c r="Q13" s="162">
        <f>SUM(HLOOKUP(F$2,J$7:K$35,7,FALSE)-HLOOKUP(F$2,J$7:K$35,7,FALSE)*F$4)</f>
        <v>2.88</v>
      </c>
      <c r="R13" s="163">
        <f>SUM(VLOOKUP(E$7,'Raw - Claimant Count'!A:Q,16,FALSE)-VLOOKUP(E$7,'Raw - Claimant Count'!A:Q,4,FALSE))</f>
        <v>-1.2000000000000002</v>
      </c>
      <c r="S13" s="163">
        <f>SUM(VLOOKUP(F$2,'Raw - Claimant Count'!A:Q,16,FALSE)-VLOOKUP(F$2,'Raw - Claimant Count'!A:Q,4,FALSE))</f>
        <v>-1</v>
      </c>
    </row>
    <row r="14" spans="1:48" s="142" customFormat="1" ht="27.6" customHeight="1" thickBot="1">
      <c r="A14" s="355"/>
      <c r="B14" s="455"/>
      <c r="C14" s="160" t="s">
        <v>282</v>
      </c>
      <c r="D14" s="161">
        <v>2022</v>
      </c>
      <c r="E14" s="138">
        <f>VLOOKUP(E$7,'Raw - Workless Households'!$A:$Q,16,FALSE)</f>
        <v>18.426285160038798</v>
      </c>
      <c r="F14" s="138" t="str">
        <f>IF(E7=VLOOKUP("Top Performing Scottish Local Authority",'Workless Households'!B:C,2,FALSE),"Green",IF(E14="-","n/a",IF(HLOOKUP(F$2,J$7:K$35,2,FALSE)="n/a","n/a",IF(E14&lt;SUM(HLOOKUP($F$2,J$7:K$35,8,FALSE)-HLOOKUP($F$2,J$7:K$35,8,FALSE)*F$4),"Green",IF(E14&gt;SUM(HLOOKUP($F$2,J$7:K$35,8,FALSE)+HLOOKUP($F$2,J$7:K$35,8,FALSE)*F$4),"Red","Amber")))))</f>
        <v>Amber</v>
      </c>
      <c r="G14" s="138" t="str">
        <f>IF(F14="n/a","n/a",IF(E7="Orkney Islands","n/a",IF(SUM(VLOOKUP(E$7,'Raw - Workless Households'!A:Q,16,FALSE)-VLOOKUP(E$7,'Raw - Workless Households'!A:Q,4,FALSE))&gt;0,"Red",IF(SUM(VLOOKUP(E$7,'Raw - Workless Households'!A:Q,16,FALSE)-VLOOKUP(E$7,'Raw - Workless Households'!A:Q,4,FALSE)&lt;SUM(VLOOKUP(F2,'Raw - Workless Households'!A:Q,16,FALSE)-VLOOKUP(F2,'Raw - Workless Households'!A:Q,4,FALSE))),"Green","Amber"))))</f>
        <v>Red</v>
      </c>
      <c r="H14" s="139" t="s">
        <v>221</v>
      </c>
      <c r="I14" s="138">
        <f>VLOOKUP(I$7,'Raw - Workless Households'!$A:$Q,16,FALSE)</f>
        <v>15.668793774319067</v>
      </c>
      <c r="J14" s="138">
        <f>VLOOKUP(J$7,'Raw - Workless Households'!$A:$Q,16,FALSE)</f>
        <v>17.78044039903768</v>
      </c>
      <c r="K14" s="138">
        <f>VLOOKUP(K$7,'Raw - Workless Households'!$A:$Q,16,FALSE)</f>
        <v>13.923926041194438</v>
      </c>
      <c r="L14" s="443" t="s">
        <v>291</v>
      </c>
      <c r="P14" s="162">
        <f>SUM(HLOOKUP(F$2,J$7:K$35,8,FALSE)+HLOOKUP(F$2,J$7:K$35,8,FALSE)*F$4)</f>
        <v>19.558484438941449</v>
      </c>
      <c r="Q14" s="162">
        <f>SUM(HLOOKUP(F$2,J$7:K$35,8,FALSE)-HLOOKUP(F$2,J$7:K$35,8,FALSE)*F$4)</f>
        <v>16.002396359133911</v>
      </c>
      <c r="R14" s="163">
        <f>SUM(VLOOKUP(E$7,'Raw - Workless Households'!A:Q,16,FALSE)-VLOOKUP(E$7,'Raw - Workless Households'!A:Q,4,FALSE))</f>
        <v>2.2963531477196639</v>
      </c>
      <c r="S14" s="163">
        <f>SUM(VLOOKUP(F$2,'Raw - Workless Households'!A:Q,16,FALSE)-VLOOKUP(F$2,'Raw - Workless Households'!A:Q,4,FALSE))</f>
        <v>0.66937215030581498</v>
      </c>
    </row>
    <row r="15" spans="1:48" s="142" customFormat="1" ht="27.6" customHeight="1">
      <c r="A15" s="355"/>
      <c r="B15" s="454" t="s">
        <v>342</v>
      </c>
      <c r="C15" s="160" t="s">
        <v>283</v>
      </c>
      <c r="D15" s="161" t="s">
        <v>441</v>
      </c>
      <c r="E15" s="138">
        <f>IF(E7="Na h-Eileanan Siar","-",VLOOKUP(E$7,'Raw - SLDR'!$A:$Q,16,FALSE))</f>
        <v>93.580520199225234</v>
      </c>
      <c r="F15" s="138" t="str">
        <f>IF(E7=VLOOKUP("Top Performing Scottish Local Authority",SLDR!B:C,2,FALSE),"Green",IF(E15="-","n/a",IF(HLOOKUP(F$2,J$7:K$35,9,FALSE)="n/a","n/a",IF(E15&gt;SUM(HLOOKUP($F$2,J$7:K$35,9,FALSE)+HLOOKUP($F$2,J$7:K$35,9,FALSE)*F$4),"Green",IF(E15&lt;SUM(HLOOKUP($F$2,J$7:K$35,9,FALSE)-HLOOKUP($F$2,J$7:K$35,9,FALSE)*F$4),"Red","Amber")))))</f>
        <v>Amber</v>
      </c>
      <c r="G15" s="138" t="str">
        <f>IF(F15="n/a","n/a",IF(SUM(VLOOKUP(E$7,'Raw - SLDR'!A:Q,16,FALSE)-VLOOKUP(E$7,'Raw - SLDR'!A:Q,4,FALSE))&lt;0,"Red",IF(SUM(VLOOKUP(E$7,'Raw - SLDR'!A:Q,16,FALSE)-VLOOKUP(E$7,'Raw - SLDR'!A:Q,4,FALSE)&gt;SUM(VLOOKUP(F$2,'Raw - SLDR'!A:Q,16,FALSE)-VLOOKUP(F$2,'Raw - SLDR'!A:Q,4,FALSE))),"Green","Amber")))</f>
        <v>Green</v>
      </c>
      <c r="H15" s="140" t="s">
        <v>220</v>
      </c>
      <c r="I15" s="138">
        <f>VLOOKUP(I$7,'Raw - SLDR'!$A:$Q,16,FALSE)</f>
        <v>94.8181750399865</v>
      </c>
      <c r="J15" s="138">
        <f>VLOOKUP(J$7,'Raw - SLDR'!$A:$Q,16,FALSE)</f>
        <v>95.866138136382745</v>
      </c>
      <c r="K15" s="138" t="s">
        <v>196</v>
      </c>
      <c r="L15" s="443" t="s">
        <v>187</v>
      </c>
      <c r="P15" s="162">
        <f>SUM(HLOOKUP(F$2,J$7:K$35,9,FALSE)+HLOOKUP(F$2,J$7:K$35,9,FALSE)*F$4)</f>
        <v>105.45275195002102</v>
      </c>
      <c r="Q15" s="162">
        <f>SUM(HLOOKUP(F$2,J$7:K$35,9,FALSE)-HLOOKUP(F$2,J$7:K$35,9,FALSE)*F$4)</f>
        <v>86.279524322744464</v>
      </c>
      <c r="R15" s="163">
        <f>SUM(VLOOKUP(E$7,'Raw - SLDR'!A:Q,16,FALSE)-VLOOKUP(E$7,'Raw - SLDR'!A:Q,4,FALSE))</f>
        <v>3.2845807635748656</v>
      </c>
      <c r="S15" s="163">
        <f>SUM(VLOOKUP(F$2,'Raw - SLDR'!A:Q,16,FALSE)-VLOOKUP(F$2,'Raw - SLDR'!A:Q,4,FALSE))</f>
        <v>2.5231112050387026</v>
      </c>
    </row>
    <row r="16" spans="1:48" s="142" customFormat="1" ht="27.6" customHeight="1">
      <c r="A16" s="355"/>
      <c r="B16" s="455"/>
      <c r="C16" s="160" t="s">
        <v>289</v>
      </c>
      <c r="D16" s="161">
        <v>2024</v>
      </c>
      <c r="E16" s="138">
        <f>VLOOKUP(E$7,'Raw - Participation Rate'!$A:$Q,16,FALSE)</f>
        <v>90.116118330107824</v>
      </c>
      <c r="F16" s="138" t="str">
        <f>IF(E7=VLOOKUP("top performing scottish local authority",'Participation Rate'!B:C,2,FALSE),"Green",IF(HLOOKUP(F$2,J$7:K$35,10,FALSE)="n/a","n/a",IF(E16&gt;SUM(HLOOKUP($F$2,J$7:K$35,10,FALSE)+HLOOKUP($F$2,J$7:K$35,10,FALSE)*F$4),"Green",IF(E16&lt;SUM(HLOOKUP($F$2,J$7:K$35,10,FALSE)-HLOOKUP($F$2,J$7:K$35,10,FALSE)*F$4),"Red","Amber"))))</f>
        <v>Amber</v>
      </c>
      <c r="G16" s="138" t="str">
        <f>IF(F16="n/a","n/a",IF(SUM(VLOOKUP(E$7,'Raw - Participation Rate'!A:Q,16,FALSE)-VLOOKUP(E$7,'Raw - Participation Rate'!A:Q,4,FALSE))&lt;0,"Red",IF(SUM(VLOOKUP(E$7,'Raw - Participation Rate'!A:Q,16,FALSE)-VLOOKUP(E$7,'Raw - Participation Rate'!A:Q,4,FALSE)&gt;SUM(VLOOKUP(F$2,'Raw - Participation Rate'!A:Q,16,FALSE)-VLOOKUP(F$2,'Raw - Participation Rate'!A:Q,4,FALSE))),"Green","Amber")))</f>
        <v>Green</v>
      </c>
      <c r="H16" s="140" t="s">
        <v>220</v>
      </c>
      <c r="I16" s="138">
        <f>VLOOKUP(I$7,'Raw - Participation Rate'!$A:$Q,16,FALSE)</f>
        <v>91.157962674124676</v>
      </c>
      <c r="J16" s="138">
        <f>VLOOKUP(J$7,'Raw - Participation Rate'!$A:$Q,16,FALSE)</f>
        <v>92.731119864940908</v>
      </c>
      <c r="K16" s="138" t="s">
        <v>196</v>
      </c>
      <c r="L16" s="443" t="s">
        <v>307</v>
      </c>
      <c r="P16" s="162">
        <f>SUM(HLOOKUP(F$2,J$7:K$35,10,FALSE)+HLOOKUP(F$2,J$7:K$35,10,FALSE)*F$4)</f>
        <v>102.00423185143499</v>
      </c>
      <c r="Q16" s="162">
        <f>SUM(HLOOKUP(F$2,J$7:K$35,10,FALSE)-HLOOKUP(F$2,J$7:K$35,10,FALSE)*F$4)</f>
        <v>83.458007878446821</v>
      </c>
      <c r="R16" s="163">
        <f>SUM(VLOOKUP(E$7,'Raw - Participation Rate'!A:Q,16,FALSE)-VLOOKUP(E$7,'Raw - Participation Rate'!A:Q,4,FALSE))</f>
        <v>0.67298107520586825</v>
      </c>
      <c r="S16" s="163">
        <f>SUM(VLOOKUP(F$2,'Raw - Participation Rate'!A:Q,16,FALSE)-VLOOKUP(F$2,'Raw - Participation Rate'!A:Q,4,FALSE))</f>
        <v>0.55171361328451951</v>
      </c>
    </row>
    <row r="17" spans="1:19" s="142" customFormat="1" ht="27.6" customHeight="1">
      <c r="A17" s="355"/>
      <c r="B17" s="455"/>
      <c r="C17" s="160" t="s">
        <v>200</v>
      </c>
      <c r="D17" s="161">
        <v>2023</v>
      </c>
      <c r="E17" s="138">
        <f>VLOOKUP(E$7,'Raw - Degree Quals'!$A:$Q,16,FALSE)</f>
        <v>61.1</v>
      </c>
      <c r="F17" s="138" t="str">
        <f>IF(E7=VLOOKUP("Top Performing Scottish Local Authority",'Degree Quals'!B:C,2,FALSE),"Green",IF(HLOOKUP(F$2,J$7:K$35,11,FALSE)="n/a","n/a",IF(E17&gt;SUM(HLOOKUP($F$2,J$7:K$35,11,FALSE)+HLOOKUP($F$2,J$7:K$35,11,FALSE)*F$4),"Green",IF(E17&lt;SUM(HLOOKUP($F$2,J$7:K$35,11,FALSE)-HLOOKUP($F$2,J$7:K$35,11,FALSE)*F$4),"Red","Amber"))))</f>
        <v>Green</v>
      </c>
      <c r="G17" s="138" t="str">
        <f>IF(SUM(VLOOKUP(E$7,'Raw - Degree Quals'!A:Q,16,FALSE)-VLOOKUP(E$7,'Raw - Degree Quals'!A:Q,4,FALSE))&lt;0,"Red",IF(SUM(VLOOKUP(E$7,'Raw - Degree Quals'!A:Q,16,FALSE)-VLOOKUP(E$7,'Raw - Degree Quals'!A:Q,4,FALSE)&gt;SUM(VLOOKUP(F$2,'Raw - Degree Quals'!A:Q,16,FALSE)-VLOOKUP(F$2,'Raw - Degree Quals'!A:Q,4,FALSE))),"Green","Amber"))</f>
        <v>Green</v>
      </c>
      <c r="H17" s="140" t="s">
        <v>220</v>
      </c>
      <c r="I17" s="138">
        <f>VLOOKUP(I$7,'Raw - Degree Quals'!$A:$Q,16,FALSE)</f>
        <v>55.410447761194028</v>
      </c>
      <c r="J17" s="138">
        <f>VLOOKUP(J$7,'Raw - Degree Quals'!$A:$Q,16,FALSE)</f>
        <v>55.1</v>
      </c>
      <c r="K17" s="138">
        <f>VLOOKUP(K$7,'Raw - Degree Quals'!$A:$Q,16,FALSE)</f>
        <v>47.1</v>
      </c>
      <c r="L17" s="443" t="s">
        <v>291</v>
      </c>
      <c r="P17" s="162">
        <f>SUM(HLOOKUP(F$2,J$7:K$35,11,FALSE)+HLOOKUP(F$2,J$7:K$35,11,FALSE)*F$4)</f>
        <v>60.61</v>
      </c>
      <c r="Q17" s="162">
        <f>SUM(HLOOKUP(F$2,J$7:K$35,11,FALSE)-HLOOKUP(F$2,J$7:K$35,11,FALSE)*F$4)</f>
        <v>49.59</v>
      </c>
      <c r="R17" s="163">
        <f>SUM(VLOOKUP(E$7,'Raw - Degree Quals'!A:Q,16,FALSE)-VLOOKUP(E$7,'Raw - Degree Quals'!A:Q,4,FALSE))</f>
        <v>61.1</v>
      </c>
      <c r="S17" s="163">
        <f>SUM(VLOOKUP(F$2,'Raw - Degree Quals'!A:Q,16,FALSE)-VLOOKUP(F$2,'Raw - Degree Quals'!A:Q,4,FALSE))</f>
        <v>55.1</v>
      </c>
    </row>
    <row r="18" spans="1:19" s="142" customFormat="1" ht="27.6" customHeight="1" thickBot="1">
      <c r="A18" s="355"/>
      <c r="B18" s="455"/>
      <c r="C18" s="160" t="s">
        <v>201</v>
      </c>
      <c r="D18" s="161">
        <v>2023</v>
      </c>
      <c r="E18" s="138">
        <f>IF(OR(E7="Orkney Islands",E7="Shetland Islands"),"-",VLOOKUP(E$7,'Raw - No Qualifications'!$A:$Q,16,FALSE))</f>
        <v>2.1</v>
      </c>
      <c r="F18" s="138" t="str">
        <f>IF(E7=VLOOKUP("Top Performing Scottish Local Authority",'No Qualifications'!B:C,2,FALSE),"Green",IF(E18="-","n/a",IF(HLOOKUP(F$2,J$7:K$35,12,FALSE)="n/a","n/a",IF(E18&lt;SUM(HLOOKUP($F$2,J$7:K$35,12,FALSE)-HLOOKUP($F$2,J$7:K$35,12,FALSE)*F$4),"Green",IF(E18&gt;SUM(HLOOKUP($F$2,J$7:K$35,12,FALSE)+HLOOKUP($F$2,J$7:K$35,12,FALSE)*F$4),"Red","Amber")))))</f>
        <v>Green</v>
      </c>
      <c r="G18" s="138" t="str">
        <f>IF(F18="n/a","n/a",IF(SUM(VLOOKUP(E$7,'Raw - No Qualifications'!A:Q,16,FALSE)-VLOOKUP(E$7,'Raw - No Qualifications'!A:Q,4,FALSE))&gt;0,"Red",IF(SUM(VLOOKUP(E$7,'Raw - No Qualifications'!A:Q,16,FALSE)-VLOOKUP(E$7,'Raw - No Qualifications'!A:Q,4,FALSE)&lt;SUM(VLOOKUP(F$2,'Raw - No Qualifications'!A:Q,16,FALSE)-VLOOKUP(F$2,'Raw - No Qualifications'!A:Q,4,FALSE))),"Green","Amber")))</f>
        <v>Red</v>
      </c>
      <c r="H18" s="139" t="s">
        <v>221</v>
      </c>
      <c r="I18" s="138">
        <f>VLOOKUP(I$7,'Raw - No Qualifications'!$A:$Q,16,FALSE)</f>
        <v>4.5398009950248754</v>
      </c>
      <c r="J18" s="138">
        <f>VLOOKUP(J$7,'Raw - No Qualifications'!$A:$Q,16,FALSE)</f>
        <v>8.1999999999999993</v>
      </c>
      <c r="K18" s="138">
        <f>VLOOKUP(K$7,'Raw - No Qualifications'!$A:$Q,16,FALSE)</f>
        <v>6.6</v>
      </c>
      <c r="L18" s="443" t="s">
        <v>291</v>
      </c>
      <c r="P18" s="162">
        <f>SUM(HLOOKUP(F$2,J$7:K$35,12,FALSE)+HLOOKUP(F$2,J$7:K$35,12,FALSE)*F$4)</f>
        <v>9.02</v>
      </c>
      <c r="Q18" s="162">
        <f>SUM(HLOOKUP(F$2,J$7:K$35,12,FALSE)-HLOOKUP(F$2,J$7:K$35,12,FALSE)*F$4)</f>
        <v>7.379999999999999</v>
      </c>
      <c r="R18" s="163">
        <f>SUM(VLOOKUP(E$7,'Raw - No Qualifications'!A:Q,16,FALSE)-VLOOKUP(E$7,'Raw - No Qualifications'!A:Q,4,FALSE))</f>
        <v>2.1</v>
      </c>
      <c r="S18" s="163">
        <f>SUM(VLOOKUP(F$2,'Raw - No Qualifications'!A:Q,16,FALSE)-VLOOKUP(F$2,'Raw - No Qualifications'!A:Q,4,FALSE))</f>
        <v>8.1999999999999993</v>
      </c>
    </row>
    <row r="19" spans="1:19" s="142" customFormat="1" ht="27.6" customHeight="1">
      <c r="A19" s="355"/>
      <c r="B19" s="454" t="s">
        <v>302</v>
      </c>
      <c r="C19" s="160" t="s">
        <v>385</v>
      </c>
      <c r="D19" s="275">
        <v>45323</v>
      </c>
      <c r="E19" s="138">
        <f>VLOOKUP(E$7,'Raw - Incapacity'!$A:$Q,16,FALSE)</f>
        <v>34.053258466306595</v>
      </c>
      <c r="F19" s="138" t="str">
        <f>IF(E7=VLOOKUP("Top Performing Scottish Local Authority",Incapacity!B:C,2,FALSE),"Green",IF(HLOOKUP(F$2,J$7:K$35,13,FALSE)="n/a","n/a",IF(E19&lt;SUM(HLOOKUP($F$2,J$7:K$35,13,FALSE)-HLOOKUP($F$2,J$7:K$35,13,FALSE)*F$4),"Green",IF(E19&gt;SUM(HLOOKUP($F$2,J$7:K$35,13,FALSE)+HLOOKUP($F$2,J$7:K$35,13,FALSE)*F$4),"Red","Amber"))))</f>
        <v>Green</v>
      </c>
      <c r="G19" s="138" t="str">
        <f>IF(F19="n/a","n/a",IF(SUM(VLOOKUP(E$7,'Raw - Incapacity'!A:Q,16,FALSE)-VLOOKUP(E$7,'Raw - Incapacity'!A:Q,4,FALSE))&gt;0,"Red",IF(SUM(VLOOKUP(E$7,'Raw - Incapacity'!A:Q,16,FALSE)-VLOOKUP(E$7,'Raw - Incapacity'!A:Q,4,FALSE)&lt;SUM(VLOOKUP(F$2,'Raw - Incapacity'!A:Q,16,FALSE)-VLOOKUP(F$2,'Raw - Incapacity'!A:Q,4,FALSE))),"Green","Amber")))</f>
        <v>Amber</v>
      </c>
      <c r="H19" s="139" t="s">
        <v>221</v>
      </c>
      <c r="I19" s="138">
        <f>VLOOKUP(I$7,'Raw - Incapacity'!$A:$Q,16,FALSE)</f>
        <v>30.871493753256818</v>
      </c>
      <c r="J19" s="138">
        <f>VLOOKUP(J$7,'Raw - Incapacity'!$A:$Q,16,FALSE)</f>
        <v>46.20753025382335</v>
      </c>
      <c r="K19" s="138" t="s">
        <v>196</v>
      </c>
      <c r="L19" s="443" t="s">
        <v>310</v>
      </c>
      <c r="P19" s="162">
        <f>SUM(HLOOKUP(F$2,J$7:K$35,13,FALSE)+HLOOKUP(F$2,J$7:K$35,13,FALSE)*F$4)</f>
        <v>50.828283279205685</v>
      </c>
      <c r="Q19" s="162">
        <f>SUM(HLOOKUP(F$2,J$7:K$35,13,FALSE)-HLOOKUP(F$2,J$7:K$35,13,FALSE)*F$4)</f>
        <v>41.586777228441015</v>
      </c>
      <c r="R19" s="163">
        <f>SUM(VLOOKUP(E$7,'Raw - Incapacity'!A:Q,16,FALSE)-VLOOKUP(E$7,'Raw - Incapacity'!A:Q,4,FALSE))</f>
        <v>-12.825084776533593</v>
      </c>
      <c r="S19" s="163">
        <f>SUM(VLOOKUP(F$2,'Raw - Incapacity'!A:Q,16,FALSE)-VLOOKUP(F$2,'Raw - Incapacity'!A:Q,4,FALSE))</f>
        <v>-14.737659024122649</v>
      </c>
    </row>
    <row r="20" spans="1:19" s="142" customFormat="1" ht="27.6" customHeight="1">
      <c r="A20" s="355"/>
      <c r="B20" s="455"/>
      <c r="C20" s="160" t="s">
        <v>202</v>
      </c>
      <c r="D20" s="161">
        <v>2023</v>
      </c>
      <c r="E20" s="138">
        <f>IF(OR(E7="Orkney Islands",E7="Shetland Islands"),"-",VLOOKUP(E$7,'Raw - Ill Health'!$A:$Q,16,FALSE))</f>
        <v>32.1</v>
      </c>
      <c r="F20" s="138" t="str">
        <f>IF(E7=VLOOKUP("Top Performing Scottish Local Authority",'Ill Health'!B:C,2,FALSE),"Green",IF(E20="-","n/a",IF(HLOOKUP(F$2,J$7:K$35,14,FALSE)="n/a","n/a",IF(E20&lt;SUM(HLOOKUP($F$2,J$7:K$35,14,FALSE)-HLOOKUP($F$2,J$7:K$35,14,FALSE)*F$4),"Green",IF(E20&gt;SUM(HLOOKUP($F$2,J$7:K$35,14,FALSE)+HLOOKUP($F$2,J$7:K$35,14,FALSE)*F$4),"Red","Amber")))))</f>
        <v>Amber</v>
      </c>
      <c r="G20" s="138" t="str">
        <f>IF(F20="n/a","n/a",IF(SUM(VLOOKUP(E$7,'Raw - Ill Health'!A:Q,16,FALSE)-VLOOKUP(E$7,'Raw - Ill Health'!A:Q,4,FALSE))&gt;0,"Red",IF(SUM(VLOOKUP(E$7,'Raw - Ill Health'!A:Q,16,FALSE)-VLOOKUP(E$7,'Raw - Ill Health'!A:Q,4,FALSE)&lt;SUM(VLOOKUP(F$2,'Raw - Ill Health'!A:Q,16,FALSE)-VLOOKUP(F$2,'Raw - Ill Health'!A:Q,4,FALSE))),"Green","Amber")))</f>
        <v>Red</v>
      </c>
      <c r="H20" s="139" t="s">
        <v>221</v>
      </c>
      <c r="I20" s="138">
        <f>VLOOKUP(I$7,'Raw - Ill Health'!$A:$Q,16,FALSE)</f>
        <v>27.241962774957702</v>
      </c>
      <c r="J20" s="138">
        <f>VLOOKUP(J$7,'Raw - Ill Health'!$A:$Q,16,FALSE)</f>
        <v>31.6</v>
      </c>
      <c r="K20" s="138">
        <f>VLOOKUP(K$7,'Raw - Ill Health'!$A:$Q,16,FALSE)</f>
        <v>27.5</v>
      </c>
      <c r="L20" s="443" t="s">
        <v>291</v>
      </c>
      <c r="P20" s="162">
        <f>SUM(HLOOKUP(F$2,J$7:K$35,14,FALSE)+HLOOKUP(F$2,J$7:K$35,14,FALSE)*F$4)</f>
        <v>34.760000000000005</v>
      </c>
      <c r="Q20" s="162">
        <f>SUM(HLOOKUP(F$2,J$7:K$35,14,FALSE)-HLOOKUP(F$2,J$7:K$35,14,FALSE)*F$4)</f>
        <v>28.44</v>
      </c>
      <c r="R20" s="163">
        <f>SUM(VLOOKUP(E$7,'Raw - Ill Health'!A:Q,16,FALSE)-VLOOKUP(E$7,'Raw - Ill Health'!A:Q,4,FALSE))</f>
        <v>1.5</v>
      </c>
      <c r="S20" s="163">
        <f>SUM(VLOOKUP(F$2,'Raw - Ill Health'!A:Q,16,FALSE)-VLOOKUP(F$2,'Raw - Ill Health'!A:Q,4,FALSE))</f>
        <v>2.9000000000000021</v>
      </c>
    </row>
    <row r="21" spans="1:19" s="142" customFormat="1" ht="27.6" customHeight="1">
      <c r="A21" s="355"/>
      <c r="B21" s="455"/>
      <c r="C21" s="160" t="s">
        <v>199</v>
      </c>
      <c r="D21" s="161">
        <v>2023</v>
      </c>
      <c r="E21" s="138">
        <f>VLOOKUP(E$7,'Raw - Economic Inactivity'!$A:$Q,16,FALSE)</f>
        <v>21.6</v>
      </c>
      <c r="F21" s="138" t="str">
        <f>IF(E7=VLOOKUP("Top Performing Scottish Local Authority",'Economic Inactivity'!B:C,2,FALSE),"Green",IF(HLOOKUP(F$2,J$7:K$35,15,FALSE)="n/a","n/a",IF(E21&lt;SUM(HLOOKUP($F$2,J$7:K$35,15,FALSE)-HLOOKUP($F$2,J$7:K$35,15,FALSE)*F$4),"Green",IF(E21&gt;SUM(HLOOKUP($F$2,J$7:K$35,15,FALSE)+HLOOKUP($F$2,J$7:K$35,15,FALSE)*F$4),"Red","Amber"))))</f>
        <v>Amber</v>
      </c>
      <c r="G21" s="138" t="str">
        <f>IF(SUM(VLOOKUP(E$7,'Raw - Economic Inactivity'!A:Q,16,FALSE)-VLOOKUP(E$7,'Raw - Economic Inactivity'!A:Q,4,FALSE))&gt;0,"Red",IF(SUM(VLOOKUP(E$7,'Raw - Economic Inactivity'!A:Q,16,FALSE)-VLOOKUP(E$7,'Raw - Economic Inactivity'!A:Q,4,FALSE)&lt;SUM(VLOOKUP(F$2,'Raw - Economic Inactivity'!A:Q,16,FALSE)-VLOOKUP(F$2,'Raw - Economic Inactivity'!A:Q,4,FALSE))),"Green","Amber"))</f>
        <v>Green</v>
      </c>
      <c r="H21" s="139" t="s">
        <v>221</v>
      </c>
      <c r="I21" s="138">
        <f>VLOOKUP(I$7,'Raw - Economic Inactivity'!$A:$Q,16,FALSE)</f>
        <v>17.996345919610231</v>
      </c>
      <c r="J21" s="138">
        <f>VLOOKUP(J$7,'Raw - Economic Inactivity'!$A:$Q,16,FALSE)</f>
        <v>22.5</v>
      </c>
      <c r="K21" s="138">
        <f>VLOOKUP(K$7,'Raw - Economic Inactivity'!$A:$Q,16,FALSE)</f>
        <v>21.3</v>
      </c>
      <c r="L21" s="443" t="s">
        <v>291</v>
      </c>
      <c r="P21" s="162">
        <f>SUM(HLOOKUP(F$2,J$7:K$35,15,FALSE)+HLOOKUP(F$2,J$7:K$35,15,FALSE)*F$4)</f>
        <v>24.75</v>
      </c>
      <c r="Q21" s="162">
        <f>SUM(HLOOKUP(F$2,J$7:K$35,15,FALSE)-HLOOKUP(F$2,J$7:K$35,15,FALSE)*F$4)</f>
        <v>20.25</v>
      </c>
      <c r="R21" s="163">
        <f>SUM(VLOOKUP(E$7,'Raw - Economic Inactivity'!A:Q,16,FALSE)-VLOOKUP(E$7,'Raw - Economic Inactivity'!A:Q,4,FALSE))</f>
        <v>-1.0999999999999979</v>
      </c>
      <c r="S21" s="163">
        <f>SUM(VLOOKUP(F$2,'Raw - Economic Inactivity'!A:Q,16,FALSE)-VLOOKUP(F$2,'Raw - Economic Inactivity'!A:Q,4,FALSE))</f>
        <v>-0.69999999999999929</v>
      </c>
    </row>
    <row r="22" spans="1:19" s="142" customFormat="1" ht="27.6" customHeight="1">
      <c r="A22" s="355"/>
      <c r="B22" s="455"/>
      <c r="C22" s="160" t="s">
        <v>197</v>
      </c>
      <c r="D22" s="161">
        <v>2023</v>
      </c>
      <c r="E22" s="138">
        <f>VLOOKUP(E$7,'Raw - Employment'!$A:$Q,16,FALSE)</f>
        <v>74.7</v>
      </c>
      <c r="F22" s="138" t="str">
        <f>IF(E7=VLOOKUP("Top Performing Scottish Local Authority",Employment!B:C,2,FALSE),"Green",IF(HLOOKUP(F$2,J$7:K$35,16,FALSE)="n/a","n/a",IF(E22&gt;SUM(HLOOKUP($F$2,J$7:K$35,16,FALSE)+HLOOKUP($F$2,J$7:K$35,16,FALSE)*F$4),"Green",IF(E22&lt;SUM(HLOOKUP($F$2,J$7:K$35,16,FALSE)-HLOOKUP($F$2,J$7:K$35,16,FALSE)*F$4),"Red","Amber"))))</f>
        <v>Amber</v>
      </c>
      <c r="G22" s="138" t="str">
        <f>IF(SUM(VLOOKUP(E$7,'Raw - Employment'!A:Q,16,FALSE)-VLOOKUP(E$7,'Raw - Employment'!A:Q,4,FALSE))&lt;0,"Red",IF(SUM(VLOOKUP(E$7,'Raw - Employment'!A:Q,16,FALSE)-VLOOKUP(E$7,'Raw - Employment'!A:Q,4,FALSE)&gt;SUM(VLOOKUP(F$2,'Raw - Employment'!A:Q,16,FALSE)-VLOOKUP(F$2,'Raw - Employment'!A:Q,4,FALSE))),"Green","Amber"))</f>
        <v>Green</v>
      </c>
      <c r="H22" s="140" t="s">
        <v>220</v>
      </c>
      <c r="I22" s="138">
        <f>VLOOKUP(I$7,'Raw - Employment'!$A:$Q,16,FALSE)</f>
        <v>79.628501827040196</v>
      </c>
      <c r="J22" s="138">
        <f>VLOOKUP(J$7,'Raw - Employment'!$A:$Q,16,FALSE)</f>
        <v>74.7</v>
      </c>
      <c r="K22" s="138">
        <f>VLOOKUP(K$7,'Raw - Employment'!$A:$Q,16,FALSE)</f>
        <v>75.7</v>
      </c>
      <c r="L22" s="443" t="s">
        <v>291</v>
      </c>
      <c r="P22" s="162">
        <f>SUM(HLOOKUP(F$2,J$7:K$35,16,FALSE)+HLOOKUP(F$2,J$7:K$35,16,FALSE)*F$4)</f>
        <v>82.17</v>
      </c>
      <c r="Q22" s="162">
        <f>SUM(HLOOKUP(F$2,J$7:K$35,16,FALSE)-HLOOKUP(F$2,J$7:K$35,16,FALSE)*F$4)</f>
        <v>67.23</v>
      </c>
      <c r="R22" s="163">
        <f>SUM(VLOOKUP(E$7,'Raw - Employment'!A:Q,16,FALSE)-VLOOKUP(E$7,'Raw - Employment'!A:Q,4,FALSE))</f>
        <v>3.1000000000000085</v>
      </c>
      <c r="S22" s="163">
        <f>SUM(VLOOKUP(F$2,'Raw - Employment'!A:Q,16,FALSE)-VLOOKUP(F$2,'Raw - Employment'!A:Q,4,FALSE))</f>
        <v>1.2999999999999972</v>
      </c>
    </row>
    <row r="23" spans="1:19" s="142" customFormat="1" ht="27.6" customHeight="1">
      <c r="A23" s="355"/>
      <c r="B23" s="455"/>
      <c r="C23" s="160" t="s">
        <v>198</v>
      </c>
      <c r="D23" s="161">
        <v>2023</v>
      </c>
      <c r="E23" s="138">
        <f>IF(OR(E7="Shetland Islands",E7="Orkney Islands",E7="Na h-Eileanan Siar",E7="Scottish Borders"),"-",VLOOKUP(E$7,'Raw - Unemployment'!$A:$Q,16,FALSE))</f>
        <v>4.7</v>
      </c>
      <c r="F23" s="138" t="str">
        <f>IF(E7=VLOOKUP("Top Performing Scottish Local Authority",Unemployment!B:C,2,FALSE),"Green",IF(E23="-","n/a",IF(HLOOKUP(F$2,J$7:K$35,17,FALSE)="n/a","n/a",IF(E23&lt;SUM(HLOOKUP($F$2,J$7:K$35,17,FALSE)-HLOOKUP($F$2,J$7:K$35,17,FALSE)*F$4),"Green",IF(E23&gt;SUM(HLOOKUP($F$2,J$7:K$35,17,FALSE)+HLOOKUP($F$2,J$7:K$35,17,FALSE)*F$4),"Red","Amber")))))</f>
        <v>Red</v>
      </c>
      <c r="G23" s="138" t="str">
        <f>IF(F23="N/A","n/a",IF(SUM(VLOOKUP(E$7,'Raw - Unemployment'!A:Q,16,FALSE)-VLOOKUP(E$7,'Raw - Unemployment'!A:Q,4,FALSE))&gt;0,"Red",IF(SUM(VLOOKUP(E$7,'Raw - Unemployment'!A:Q,16,FALSE)-VLOOKUP(E$7,'Raw - Unemployment'!A:Q,4,FALSE)&lt;SUM(VLOOKUP(F$2,'Raw - Unemployment'!A:Q,16,FALSE)-VLOOKUP(F$2,'Raw - Unemployment'!A:Q,4,FALSE))),"Green","Amber")))</f>
        <v>Green</v>
      </c>
      <c r="H23" s="139" t="s">
        <v>221</v>
      </c>
      <c r="I23" s="138">
        <f>VLOOKUP(I$7,'Raw - Unemployment'!$A:$Q,16,FALSE)</f>
        <v>2.9324424647364515</v>
      </c>
      <c r="J23" s="138">
        <f>VLOOKUP(J$7,'Raw - Unemployment'!$A:$Q,16,FALSE)</f>
        <v>3.6</v>
      </c>
      <c r="K23" s="138">
        <f>VLOOKUP(K$7,'Raw - Unemployment'!$A:$Q,16,FALSE)</f>
        <v>3.8</v>
      </c>
      <c r="L23" s="443" t="s">
        <v>291</v>
      </c>
      <c r="P23" s="162">
        <f>SUM(HLOOKUP(F$2,J$7:K$35,17,FALSE)+HLOOKUP(F$2,J$7:K$35,17,FALSE)*F$4)</f>
        <v>3.96</v>
      </c>
      <c r="Q23" s="162">
        <f>SUM(HLOOKUP(F$2,J$7:K$35,17,FALSE)-HLOOKUP(F$2,J$7:K$35,17,FALSE)*F$4)</f>
        <v>3.24</v>
      </c>
      <c r="R23" s="163">
        <f>SUM(VLOOKUP(E$7,'Raw - Unemployment'!A:Q,16,FALSE)-VLOOKUP(E$7,'Raw - Unemployment'!A:Q,4,FALSE))</f>
        <v>-2.5999999999999996</v>
      </c>
      <c r="S23" s="163">
        <f>SUM(VLOOKUP(F$2,'Raw - Unemployment'!A:Q,16,FALSE)-VLOOKUP(F$2,'Raw - Unemployment'!A:Q,4,FALSE))</f>
        <v>-0.80000000000000027</v>
      </c>
    </row>
    <row r="24" spans="1:19" s="142" customFormat="1" ht="27.6" customHeight="1">
      <c r="A24" s="355"/>
      <c r="B24" s="455"/>
      <c r="C24" s="160" t="s">
        <v>180</v>
      </c>
      <c r="D24" s="161">
        <v>2023</v>
      </c>
      <c r="E24" s="138">
        <f>VLOOKUP(E$7,'Raw - Low Pay Sectors'!$A:$Q,16,FALSE)</f>
        <v>25.8</v>
      </c>
      <c r="F24" s="138" t="str">
        <f>IF(E7=VLOOKUP("Top Performing Scottish Local Authority",'Low Pay Sectors'!B:C,2,FALSE),"Green",IF(HLOOKUP(F$2,J$7:K$35,18,FALSE)="n/a","n/a",IF(E24&lt;SUM(HLOOKUP($F$2,J$7:K$35,18,FALSE)-HLOOKUP($F$2,J$7:K$35,18,FALSE)*F$4),"Green",IF(E24&gt;SUM(HLOOKUP($F$2,J$7:K$35,18,FALSE)+HLOOKUP($F$2,J$7:K$35,18,FALSE)*F$4),"Red","Amber"))))</f>
        <v>Green</v>
      </c>
      <c r="G24" s="138" t="str">
        <f>IF(F2="United Kingdom","n/a",IF(F24="n/a","n/a",IF(SUM(VLOOKUP(E$7,'Raw - Low Pay Sectors'!A:Q,16,FALSE)-VLOOKUP(E$7,'Raw - Low Pay Sectors'!A:Q,4,FALSE))&gt;0,"Red",IF(SUM(VLOOKUP(E$7,'Raw - Low Pay Sectors'!A:Q,16,FALSE)-VLOOKUP(E$7,'Raw - Low Pay Sectors'!A:Q,4,FALSE)&lt;SUM(VLOOKUP(F$2,'Raw - Low Pay Sectors'!A:Q,16,FALSE)-VLOOKUP(F$2,'Raw - Low Pay Sectors'!A:Q,4,FALSE))),"Green","Amber"))))</f>
        <v>Red</v>
      </c>
      <c r="H24" s="139" t="s">
        <v>221</v>
      </c>
      <c r="I24" s="138">
        <f>VLOOKUP(I$7,'Raw - Low Pay Sectors'!$A:$Q,16,FALSE)</f>
        <v>25.879042323839784</v>
      </c>
      <c r="J24" s="138">
        <f>VLOOKUP(J$7,'Raw - Low Pay Sectors'!$A:$Q,16,FALSE)</f>
        <v>28.8</v>
      </c>
      <c r="K24" s="138" t="s">
        <v>196</v>
      </c>
      <c r="L24" s="443" t="s">
        <v>309</v>
      </c>
      <c r="P24" s="162">
        <f>SUM(HLOOKUP(F$2,J$7:K$35,18,FALSE)+HLOOKUP(F$2,J$7:K$35,18,FALSE)*F$4)</f>
        <v>31.68</v>
      </c>
      <c r="Q24" s="162">
        <f>SUM(HLOOKUP(F$2,J$7:K$35,18,FALSE)-HLOOKUP(F$2,J$7:K$35,18,FALSE)*F$4)</f>
        <v>25.92</v>
      </c>
      <c r="R24" s="163">
        <f>SUM(VLOOKUP(E$7,'Raw - Low Pay Sectors'!A:Q,16,FALSE)-VLOOKUP(E$7,'Raw - Low Pay Sectors'!A:Q,4,FALSE))</f>
        <v>0.19999999999999929</v>
      </c>
      <c r="S24" s="163">
        <f>SUM(VLOOKUP(F$2,'Raw - Low Pay Sectors'!A:Q,16,FALSE)-VLOOKUP(F$2,'Raw - Low Pay Sectors'!A:Q,4,FALSE))</f>
        <v>0.10000000000000142</v>
      </c>
    </row>
    <row r="25" spans="1:19" s="142" customFormat="1" ht="27.6" customHeight="1">
      <c r="A25" s="355"/>
      <c r="B25" s="455"/>
      <c r="C25" s="160" t="s">
        <v>292</v>
      </c>
      <c r="D25" s="161">
        <v>2023</v>
      </c>
      <c r="E25" s="138">
        <f>VLOOKUP(E$7,'Raw - Gender Emp'!$A:$Q,16,FALSE)</f>
        <v>4</v>
      </c>
      <c r="F25" s="138" t="str">
        <f>IF(E25&gt;0,"Red",IF(E25&lt;VLOOKUP(F2,'Raw - Gender Emp'!A9:P44,16,FALSE),"Green","Amber"))</f>
        <v>Red</v>
      </c>
      <c r="G25" s="138" t="str">
        <f>IF(F25="n/a","n/a",IF(SUM(VLOOKUP(E$7,'Raw - Gender Emp'!A:Q,16,FALSE)-VLOOKUP(E$7,'Raw - Gender Emp'!A:Q,4,FALSE))&gt;0,"Red",IF(SUM(VLOOKUP(E$7,'Raw - Gender Emp'!A:Q,16,FALSE)-VLOOKUP(E$7,'Raw - Gender Emp'!A:Q,4,FALSE)&lt;SUM(VLOOKUP(F$2,'Raw - Gender Emp'!A:Q,16,FALSE)-VLOOKUP(F$2,'Raw - Gender Emp'!A:Q,4,FALSE))),"Green","Amber")))</f>
        <v>Red</v>
      </c>
      <c r="H25" s="139" t="s">
        <v>221</v>
      </c>
      <c r="I25" s="138">
        <f>VLOOKUP(I$7,'Raw - Gender Emp'!$A:$Q,16,FALSE)</f>
        <v>2.4890314621702316</v>
      </c>
      <c r="J25" s="138">
        <f>VLOOKUP(J$7,'Raw - Gender Emp'!$A:$Q,16,FALSE)</f>
        <v>4.2000000000000028</v>
      </c>
      <c r="K25" s="138">
        <f>VLOOKUP(K$7,'Raw - Gender Emp'!$A:$Q,16,FALSE)</f>
        <v>7.0999999999999943</v>
      </c>
      <c r="L25" s="443" t="s">
        <v>291</v>
      </c>
      <c r="P25" s="162">
        <f>SUM(HLOOKUP(F$2,J$7:K$35,19,FALSE)+HLOOKUP(F$2,J$7:K$35,19,FALSE)*F$4)</f>
        <v>4.6200000000000028</v>
      </c>
      <c r="Q25" s="162">
        <f>SUM(HLOOKUP(F$2,J$7:K$35,19,FALSE)-HLOOKUP(F$2,J$7:K$35,19,FALSE)*F$4)</f>
        <v>3.7800000000000025</v>
      </c>
      <c r="R25" s="163">
        <f>SUM(VLOOKUP(E$7,'Raw - Gender Emp'!A:Q,16,FALSE)-VLOOKUP(E$7,'Raw - Gender Emp'!A:Q,4,FALSE))</f>
        <v>6.2000000000000028</v>
      </c>
      <c r="S25" s="163">
        <f>SUM(VLOOKUP(F$2,'Raw - Gender Emp'!A:Q,16,FALSE)-VLOOKUP(F$2,'Raw - Gender Emp'!A:Q,4,FALSE))</f>
        <v>-0.5</v>
      </c>
    </row>
    <row r="26" spans="1:19" s="142" customFormat="1" ht="27.6" customHeight="1">
      <c r="A26" s="355"/>
      <c r="B26" s="455"/>
      <c r="C26" s="160" t="s">
        <v>66</v>
      </c>
      <c r="D26" s="161">
        <v>2024</v>
      </c>
      <c r="E26" s="138">
        <f>VLOOKUP(E$7,'Raw - Earnings'!$A:$Q,16,FALSE)</f>
        <v>721.7</v>
      </c>
      <c r="F26" s="138" t="str">
        <f>IF(E7=VLOOKUP("Top Performing Scottish Local Authority",Earnings!B:C,2,FALSE),"Green",IF(HLOOKUP(F$2,J$7:K$35,20,FALSE)="n/a","n/a",IF(E26&gt;SUM(HLOOKUP($F$2,J$7:K$35,20,FALSE)+HLOOKUP($F$2,J$7:K$35,20,FALSE)*F$4),"Green",IF(E26&lt;SUM(HLOOKUP($F$2,J$7:K$35,20,FALSE)-HLOOKUP($F$2,J$7:K$35,20,FALSE)*F$4),"Red","Amber"))))</f>
        <v>Amber</v>
      </c>
      <c r="G26" s="138" t="str">
        <f>IF(SUM(VLOOKUP(E$7,'Raw - Earnings'!A:Q,16,FALSE)-VLOOKUP(E$7,'Raw - Earnings'!A:Q,4,FALSE))&lt;0,"Red",IF(SUM(VLOOKUP(E$7,'Raw - Earnings'!A:Q,16,FALSE)-VLOOKUP(E$7,'Raw - Earnings'!A:Q,4,FALSE)&gt;SUM(VLOOKUP(F$2,'Raw - Earnings'!A:Q,16,FALSE)-VLOOKUP(F$2,'Raw - Earnings'!A:Q,4,FALSE))),"Green","Amber"))</f>
        <v>Green</v>
      </c>
      <c r="H26" s="140" t="s">
        <v>220</v>
      </c>
      <c r="I26" s="138">
        <f>VLOOKUP(I$7,'Raw - Earnings'!$A:$Q,16,FALSE)</f>
        <v>752.8</v>
      </c>
      <c r="J26" s="138">
        <f>VLOOKUP(J$7,'Raw - Earnings'!$A:$Q,16,FALSE)</f>
        <v>740</v>
      </c>
      <c r="K26" s="138">
        <f>VLOOKUP(K$7,'Raw - Earnings'!$A:$Q,16,FALSE)</f>
        <v>728.3</v>
      </c>
      <c r="L26" s="443" t="s">
        <v>308</v>
      </c>
      <c r="P26" s="162">
        <f>SUM(HLOOKUP(F$2,J$7:K$35,20,FALSE)+HLOOKUP(F$2,J$7:K$35,20,FALSE)*F$4)</f>
        <v>814</v>
      </c>
      <c r="Q26" s="162">
        <f>SUM(HLOOKUP(F$2,J$7:K$35,20,FALSE)-HLOOKUP(F$2,J$7:K$35,20,FALSE)*F$4)</f>
        <v>666</v>
      </c>
      <c r="R26" s="163">
        <f>SUM(VLOOKUP(E$7,'Raw - Earnings'!A:Q,16,FALSE)-VLOOKUP(E$7,'Raw - Earnings'!A:Q,4,FALSE))</f>
        <v>133.90000000000009</v>
      </c>
      <c r="S26" s="163">
        <f>SUM(VLOOKUP(F$2,'Raw - Earnings'!A:Q,16,FALSE)-VLOOKUP(F$2,'Raw - Earnings'!A:Q,4,FALSE))</f>
        <v>120.10000000000002</v>
      </c>
    </row>
    <row r="27" spans="1:19" s="142" customFormat="1" ht="27.6" customHeight="1">
      <c r="A27" s="355"/>
      <c r="B27" s="455"/>
      <c r="C27" s="160" t="s">
        <v>285</v>
      </c>
      <c r="D27" s="161">
        <v>2024</v>
      </c>
      <c r="E27" s="138">
        <f>VLOOKUP(E$7,'Raw - 20th Percentile Earnings'!$A:$Q,16,FALSE)</f>
        <v>538.20000000000005</v>
      </c>
      <c r="F27" s="138" t="str">
        <f>IF(E27="-","n/a",IF(E7=VLOOKUP("Top Performing Scottish Local Authority",'Low Earnings'!B:C,2,FALSE),"Green",IF(HLOOKUP(F$2,J$7:K$35,21,FALSE)="n/a","n/a",IF(E27&gt;SUM(HLOOKUP($F$2,J$7:K$35,21,FALSE)+HLOOKUP($F$2,J$7:K$35,21,FALSE)*F$4),"Green",IF(E27&lt;SUM(HLOOKUP($F$2,J$7:K$35,21,FALSE)-HLOOKUP($F$2,J$7:K$35,21,FALSE)*F$4),"Red","Amber")))))</f>
        <v>Amber</v>
      </c>
      <c r="G27" s="138" t="str">
        <f>IF(E27="-","n/a",IF(SUM(VLOOKUP(E$7,'Raw - 20th Percentile Earnings'!A:Q,16,FALSE)-VLOOKUP(E$7,'Raw - 20th Percentile Earnings'!A:Q,4,FALSE))&lt;0,"Red",IF(SUM(VLOOKUP(E$7,'Raw - 20th Percentile Earnings'!A:Q,16,FALSE)-VLOOKUP(E$7,'Raw - 20th Percentile Earnings'!A:Q,4,FALSE)&gt;SUM(VLOOKUP(F$2,'Raw - 20th Percentile Earnings'!A:Q,16,FALSE)-VLOOKUP(F$2,'Raw - 20th Percentile Earnings'!A:Q,4,FALSE))),"Green","Amber")))</f>
        <v>Green</v>
      </c>
      <c r="H27" s="140" t="s">
        <v>220</v>
      </c>
      <c r="I27" s="138">
        <f>VLOOKUP(I$7,'Raw - 20th Percentile Earnings'!$A:$Q,16,FALSE)</f>
        <v>543.15000000000009</v>
      </c>
      <c r="J27" s="138">
        <f>VLOOKUP(J$7,'Raw - 20th Percentile Earnings'!$A:$Q,16,FALSE)</f>
        <v>536.6</v>
      </c>
      <c r="K27" s="138">
        <f>VLOOKUP(K$7,'Raw - 20th Percentile Earnings'!$A:$Q,16,FALSE)</f>
        <v>527</v>
      </c>
      <c r="L27" s="443" t="s">
        <v>308</v>
      </c>
      <c r="P27" s="162">
        <f>SUM(HLOOKUP(F$2,J$7:K$35,21,FALSE)+HLOOKUP(F$2,J$7:K$35,21,FALSE)*F$4)</f>
        <v>590.26</v>
      </c>
      <c r="Q27" s="162">
        <f>SUM(HLOOKUP(F$2,J$7:K$35,21,FALSE)-HLOOKUP(F$2,J$7:K$35,21,FALSE)*F$4)</f>
        <v>482.94</v>
      </c>
      <c r="R27" s="163">
        <f>SUM(VLOOKUP(E$7,'Raw - 20th Percentile Earnings'!A:Q,16,FALSE)-VLOOKUP(E$7,'Raw - 20th Percentile Earnings'!A:Q,4,FALSE))</f>
        <v>117.10000000000002</v>
      </c>
      <c r="S27" s="163">
        <f>SUM(VLOOKUP(F$2,'Raw - 20th Percentile Earnings'!A:Q,16,FALSE)-VLOOKUP(F$2,'Raw - 20th Percentile Earnings'!A:Q,4,FALSE))</f>
        <v>107</v>
      </c>
    </row>
    <row r="28" spans="1:19" s="142" customFormat="1" ht="27.6" customHeight="1">
      <c r="A28" s="354"/>
      <c r="B28" s="455"/>
      <c r="C28" s="160" t="s">
        <v>335</v>
      </c>
      <c r="D28" s="161">
        <v>2020</v>
      </c>
      <c r="E28" s="138">
        <f>VLOOKUP(E$7,'Raw - Underemployment'!$A:$Q,16,FALSE)</f>
        <v>7</v>
      </c>
      <c r="F28" s="138" t="str">
        <f>IF(E7=VLOOKUP("Top Performing Scottish Local Authority",Underemployment!B:C,2,FALSE),"Green",IF(HLOOKUP(F$2,J$7:K$35,22,FALSE)="n/a","n/a",IF(E28&lt;SUM(HLOOKUP($F$2,J$7:K$35,22,FALSE)-HLOOKUP($F$2,J$7:K$35,22,FALSE)*F$4),"Green",IF(E28&gt;SUM(HLOOKUP($F$2,J$7:K$35,22,FALSE)+HLOOKUP($F$2,J$7:K$35,22,FALSE)*F$4),"Red","Amber"))))</f>
        <v>Green</v>
      </c>
      <c r="G28" s="138" t="str">
        <f>IF(F28="n/a","n/a",IF(SUM(VLOOKUP(E$7,'Raw - Underemployment'!A:Q,16,FALSE)-VLOOKUP(E$7,'Raw - Underemployment'!A:Q,4,FALSE))&gt;0,"Red",IF(SUM(VLOOKUP(E$7,'Raw - Underemployment'!A:Q,16,FALSE)-VLOOKUP(E$7,'Raw - Underemployment'!A:Q,4,FALSE)&lt;SUM(VLOOKUP(F$2,'Raw - Underemployment'!A:Q,16,FALSE)-VLOOKUP(F$2,'Raw - Underemployment'!A:Q,4,FALSE))),"Green","Amber")))</f>
        <v>Green</v>
      </c>
      <c r="H28" s="139" t="s">
        <v>221</v>
      </c>
      <c r="I28" s="138">
        <f>VLOOKUP(I$7,'Raw - Underemployment'!$A:$Q,16,FALSE)</f>
        <v>7.0000000000000009</v>
      </c>
      <c r="J28" s="138">
        <f>VLOOKUP(J$7,'Raw - Underemployment'!$A:$Q,16,FALSE)</f>
        <v>8.1</v>
      </c>
      <c r="K28" s="138" t="s">
        <v>196</v>
      </c>
      <c r="L28" s="443" t="s">
        <v>311</v>
      </c>
      <c r="P28" s="162">
        <f>SUM(HLOOKUP(F$2,J$7:K$35,22,FALSE)+HLOOKUP(F$2,J$7:K$35,22,FALSE)*F$4)</f>
        <v>8.91</v>
      </c>
      <c r="Q28" s="162">
        <f>SUM(HLOOKUP(F$2,J$7:K$35,22,FALSE)-HLOOKUP(F$2,J$7:K$35,22,FALSE)*F$4)</f>
        <v>7.2899999999999991</v>
      </c>
      <c r="R28" s="163">
        <f>SUM(VLOOKUP(E$7,'Raw - Underemployment'!A:Q,16,FALSE)-VLOOKUP(E$7,'Raw - Underemployment'!A:Q,4,FALSE))</f>
        <v>-2.5</v>
      </c>
      <c r="S28" s="163">
        <f>SUM(VLOOKUP(F$2,'Raw - Underemployment'!A:Q,16,FALSE)-VLOOKUP(F$2,'Raw - Underemployment'!A:Q,4,FALSE))</f>
        <v>9.9999999999999645E-2</v>
      </c>
    </row>
    <row r="29" spans="1:19" s="142" customFormat="1" ht="27.6" customHeight="1">
      <c r="A29" s="355"/>
      <c r="B29" s="455"/>
      <c r="C29" s="160" t="s">
        <v>286</v>
      </c>
      <c r="D29" s="161">
        <v>2023</v>
      </c>
      <c r="E29" s="138">
        <f>VLOOKUP(E$7,'Raw - SOC1 Occupations'!$A:$Q,16,FALSE)</f>
        <v>7.1</v>
      </c>
      <c r="F29" s="138" t="str">
        <f>IF(E7=VLOOKUP("Top Performing Scottish Local Authority",'SOC1 Occupations'!B:C,2,FALSE),"Green",IF(HLOOKUP(F$2,J$7:K$35,23,FALSE)="n/a","n/a",IF(E29&gt;SUM(HLOOKUP($F$2,J$7:K$35,23,FALSE)+HLOOKUP($F$2,J$7:K$35,23,FALSE)*F$4),"Green",IF(E29&lt;SUM(HLOOKUP($F$2,J$7:K$35,23,FALSE)-HLOOKUP($F$2,J$7:K$35,23,FALSE)*F$4),"Red","Amber"))))</f>
        <v>Amber</v>
      </c>
      <c r="G29" s="138" t="s">
        <v>71</v>
      </c>
      <c r="H29" s="140" t="s">
        <v>220</v>
      </c>
      <c r="I29" s="138">
        <f>VLOOKUP(I$7,'Raw - SOC1 Occupations'!$A:$Q,16,FALSE)</f>
        <v>8.5279940674823873</v>
      </c>
      <c r="J29" s="138">
        <f>VLOOKUP(J$7,'Raw - SOC1 Occupations'!$A:$Q,16,FALSE)</f>
        <v>7.7</v>
      </c>
      <c r="K29" s="138">
        <f>VLOOKUP(K$7,'Raw - SOC1 Occupations'!$A:$Q,16,FALSE)</f>
        <v>10.7</v>
      </c>
      <c r="L29" s="443" t="s">
        <v>291</v>
      </c>
      <c r="P29" s="162">
        <f>SUM(HLOOKUP(F$2,J$7:K$35,23,FALSE)+HLOOKUP(F$2,J$7:K$35,23,FALSE)*F$4)</f>
        <v>8.4700000000000006</v>
      </c>
      <c r="Q29" s="162">
        <f>SUM(HLOOKUP(F$2,J$7:K$35,23,FALSE)-HLOOKUP(F$2,J$7:K$35,23,FALSE)*F$4)</f>
        <v>6.93</v>
      </c>
      <c r="R29" s="163" t="e">
        <f>SUM(VLOOKUP(E$7,'Raw - SOC1 Occupations'!A:Q,16,FALSE)-VLOOKUP(E$7,'Raw - SOC1 Occupations'!A:Q,4,FALSE))</f>
        <v>#VALUE!</v>
      </c>
      <c r="S29" s="163" t="e">
        <f>SUM(VLOOKUP(F$2,'Raw - SOC1 Occupations'!A:Q,16,FALSE)-VLOOKUP(F$2,'Raw - SOC1 Occupations'!A:Q,4,FALSE))</f>
        <v>#VALUE!</v>
      </c>
    </row>
    <row r="30" spans="1:19" s="142" customFormat="1" ht="27.6" customHeight="1">
      <c r="A30" s="354"/>
      <c r="B30" s="455"/>
      <c r="C30" s="160" t="str">
        <f>'Satisfactory hours'!C2</f>
        <v>Satisfactory hours (% of employees)</v>
      </c>
      <c r="D30" s="161">
        <v>2021</v>
      </c>
      <c r="E30" s="138">
        <f>VLOOKUP(E$7,'Raw - Satisfactory hours'!$A:$Q,4,FALSE)</f>
        <v>88.4</v>
      </c>
      <c r="F30" s="138" t="s">
        <v>196</v>
      </c>
      <c r="G30" s="138" t="s">
        <v>196</v>
      </c>
      <c r="H30" s="140" t="s">
        <v>220</v>
      </c>
      <c r="I30" s="138">
        <f>VLOOKUP(I$7,'Raw - Satisfactory hours'!$A:$Q,4,FALSE)</f>
        <v>86.35</v>
      </c>
      <c r="J30" s="138" t="s">
        <v>196</v>
      </c>
      <c r="K30" s="138" t="s">
        <v>196</v>
      </c>
      <c r="L30" s="443" t="s">
        <v>368</v>
      </c>
      <c r="P30" s="162"/>
      <c r="Q30" s="162"/>
      <c r="R30" s="163"/>
      <c r="S30" s="163"/>
    </row>
    <row r="31" spans="1:19" s="142" customFormat="1" ht="27.6" customHeight="1">
      <c r="A31" s="354"/>
      <c r="B31" s="455"/>
      <c r="C31" s="160" t="str">
        <f>'Low pay'!C2</f>
        <v>Low pay (% of employees)</v>
      </c>
      <c r="D31" s="161">
        <v>2021</v>
      </c>
      <c r="E31" s="138">
        <f>VLOOKUP(E$7,'Raw - Low pay'!$A:$Q,4,FALSE)</f>
        <v>10.9</v>
      </c>
      <c r="F31" s="138" t="s">
        <v>196</v>
      </c>
      <c r="G31" s="138" t="s">
        <v>196</v>
      </c>
      <c r="H31" s="139" t="s">
        <v>221</v>
      </c>
      <c r="I31" s="138">
        <f>VLOOKUP(I$7,'Raw - Low pay'!$A:$Q,4,FALSE)</f>
        <v>12.100000000000001</v>
      </c>
      <c r="J31" s="138" t="s">
        <v>196</v>
      </c>
      <c r="K31" s="138" t="s">
        <v>196</v>
      </c>
      <c r="L31" s="443" t="s">
        <v>368</v>
      </c>
      <c r="P31" s="162"/>
      <c r="Q31" s="162"/>
      <c r="R31" s="163"/>
      <c r="S31" s="163"/>
    </row>
    <row r="32" spans="1:19" s="142" customFormat="1" ht="27.6" customHeight="1" thickBot="1">
      <c r="A32" s="354"/>
      <c r="B32" s="456"/>
      <c r="C32" s="160" t="str">
        <f>'Zero-hour contracts'!C2</f>
        <v>Zero-hour contracts (% of employees)</v>
      </c>
      <c r="D32" s="161">
        <v>2021</v>
      </c>
      <c r="E32" s="138">
        <f>VLOOKUP(E$7,'Raw - Zero-hour contracts'!$A:$Q,4,FALSE)</f>
        <v>3</v>
      </c>
      <c r="F32" s="138" t="s">
        <v>196</v>
      </c>
      <c r="G32" s="138" t="s">
        <v>196</v>
      </c>
      <c r="H32" s="139" t="s">
        <v>221</v>
      </c>
      <c r="I32" s="138">
        <f>VLOOKUP(I$7,'Raw - Zero-hour contracts'!$A:$Q,4,FALSE)</f>
        <v>2.7</v>
      </c>
      <c r="J32" s="138" t="s">
        <v>196</v>
      </c>
      <c r="K32" s="138" t="s">
        <v>196</v>
      </c>
      <c r="L32" s="443" t="s">
        <v>368</v>
      </c>
      <c r="P32" s="162"/>
      <c r="Q32" s="162"/>
      <c r="R32" s="163"/>
      <c r="S32" s="163"/>
    </row>
    <row r="33" spans="1:19" s="142" customFormat="1" ht="27.6" customHeight="1">
      <c r="A33" s="355"/>
      <c r="B33" s="454" t="s">
        <v>303</v>
      </c>
      <c r="C33" s="284" t="s">
        <v>337</v>
      </c>
      <c r="D33" s="161" t="s">
        <v>441</v>
      </c>
      <c r="E33" s="138">
        <f>VLOOKUP(E$7,'Raw - SME Procurement'!$A:$E,5,FALSE)</f>
        <v>35.651188629329603</v>
      </c>
      <c r="F33" s="138" t="str">
        <f>IF(E7=VLOOKUP("Top Performing Scottish Local Authority",'SME Procurement'!B:C,2,FALSE),"Green",IF(HLOOKUP(F$2,J$7:K$35,27,FALSE)="n/a","n/a",IF(E33&gt;SUM(HLOOKUP($F$2,J$7:K$35,27,FALSE)+HLOOKUP($F$2,J$7:K$35,27,FALSE)*F$4),"Green",IF(E33&lt;SUM(HLOOKUP($F$2,J$7:K$35,27,FALSE)-HLOOKUP($F$2,J$7:K$35,27,FALSE)*F$4),"Red","Amber"))))</f>
        <v>Green</v>
      </c>
      <c r="G33" s="138" t="str">
        <f>IF(F33="n/a","n/a",IF(SUM(VLOOKUP(E$7,'Raw - SME Procurement'!A:Q,5,FALSE)-VLOOKUP(E$7,'Raw - SME Procurement'!A:Q,2,FALSE))&lt;0,"Red",IF(SUM(VLOOKUP(E$7,'Raw - SME Procurement'!A:Q,5,FALSE)-VLOOKUP(E$7,'Raw - SME Procurement'!A:Q,2,FALSE)&gt;SUM(VLOOKUP(F$2,'Raw - SME Procurement'!A:Q,5,FALSE)-VLOOKUP(F$2,'Raw - SME Procurement'!A:Q,2,FALSE))),"Green","Amber")))</f>
        <v>Green</v>
      </c>
      <c r="H33" s="139" t="s">
        <v>220</v>
      </c>
      <c r="I33" s="138">
        <f>VLOOKUP(I$7,'Raw - SME Procurement'!$A:$E,5,FALSE)</f>
        <v>31.254796071960552</v>
      </c>
      <c r="J33" s="138">
        <f>VLOOKUP(J$7,'Raw - SME Procurement'!$A:$E,5,FALSE)</f>
        <v>29.9</v>
      </c>
      <c r="K33" s="138" t="s">
        <v>196</v>
      </c>
      <c r="L33" s="444" t="s">
        <v>172</v>
      </c>
      <c r="P33" s="162">
        <f>SUM(HLOOKUP(F$2,J$7:K$35,27,FALSE)+HLOOKUP(F$2,J$7:K$35,27,FALSE)*F$4)</f>
        <v>32.89</v>
      </c>
      <c r="Q33" s="162">
        <f>SUM(HLOOKUP(F$2,J$7:K$35,27,FALSE)-HLOOKUP(F$2,J$7:K$35,27,FALSE)*F$4)</f>
        <v>26.909999999999997</v>
      </c>
      <c r="R33" s="163">
        <f>SUM(VLOOKUP(E$7,'Raw - SME Procurement'!A:Q,16,FALSE)-VLOOKUP(E$7,'Raw - SME Procurement'!A:Q,4,FALSE))</f>
        <v>-38.369999999999997</v>
      </c>
      <c r="S33" s="163">
        <f>SUM(VLOOKUP(F$2,'Raw - SME Procurement'!A:Q,16,FALSE)-VLOOKUP(F$2,'Raw - SME Procurement'!A:Q,4,FALSE))</f>
        <v>-29.113044006897482</v>
      </c>
    </row>
    <row r="34" spans="1:19" s="142" customFormat="1" ht="27.6" customHeight="1">
      <c r="A34" s="355"/>
      <c r="B34" s="455"/>
      <c r="C34" s="160" t="s">
        <v>195</v>
      </c>
      <c r="D34" s="161">
        <v>2022</v>
      </c>
      <c r="E34" s="141">
        <f>VLOOKUP(E$7,'Raw - GVA'!$A:$E,5,FALSE)</f>
        <v>10847</v>
      </c>
      <c r="F34" s="138" t="s">
        <v>196</v>
      </c>
      <c r="G34" s="138" t="str">
        <f>IF(SUM(VLOOKUP(E7,'Raw - GVA'!$A:$E,5,FALSE)-VLOOKUP(E7,'Raw - GVA'!$A:$E,2,FALSE))/VLOOKUP(E7,'Raw - GVA'!$A:$E,2,FALSE)&lt;0,"Red",IF(SUM(VLOOKUP(E7,'Raw - GVA'!$A:$E,5,FALSE)-VLOOKUP(E7,'Raw - GVA'!$A:$E,2,FALSE))/VLOOKUP(E7,'Raw - GVA'!$A:$E,2,FALSE)&lt;SUM(VLOOKUP(F2,'Raw - GVA'!$A:$E,5,FALSE)-VLOOKUP(F2,'Raw - GVA'!$A:$E,2,FALSE))/VLOOKUP(F2,'Raw - GVA'!$A:$E,2,FALSE),"Amber","Green"))</f>
        <v>Amber</v>
      </c>
      <c r="H34" s="140" t="s">
        <v>220</v>
      </c>
      <c r="I34" s="141">
        <f>VLOOKUP(I$7,'Raw - GVA'!$A:$E,5,FALSE)</f>
        <v>17906</v>
      </c>
      <c r="J34" s="141">
        <f>VLOOKUP(J$7,'Raw - GVA'!$A:$E,5,FALSE)</f>
        <v>165714</v>
      </c>
      <c r="K34" s="141">
        <f>VLOOKUP(K$7,'Raw - GVA'!$A:$E,5,FALSE)</f>
        <v>2246047</v>
      </c>
      <c r="L34" s="443" t="s">
        <v>87</v>
      </c>
      <c r="P34" s="164">
        <f>SUM(HLOOKUP(F$2,J$7:K$35,29,FALSE)+HLOOKUP(F$2,J$7:K$35,29,FALSE)*F$4)</f>
        <v>40.645000000000003</v>
      </c>
      <c r="Q34" s="164">
        <f>SUM(HLOOKUP(F$2,J$7:K$35,29,FALSE)-HLOOKUP(F$2,J$7:K$35,29,FALSE)*F$4)</f>
        <v>33.255000000000003</v>
      </c>
      <c r="R34" s="165">
        <f>SUM(VLOOKUP(E7,'Raw - GVA'!$A:$E,5,FALSE)-VLOOKUP(E7,'Raw - GVA'!$A:$E,2,FALSE))/VLOOKUP(E7,'Raw - GVA'!$A:$E,2,FALSE)</f>
        <v>5.5566368236667961E-2</v>
      </c>
      <c r="S34" s="165">
        <f>SUM(VLOOKUP(F2,'Raw - GVA'!$A:$E,5,FALSE)-VLOOKUP(F2,'Raw - GVA'!$A:$E,2,FALSE))/VLOOKUP(F2,'Raw - GVA'!$A:$E,2,FALSE)</f>
        <v>0.11289900136330362</v>
      </c>
    </row>
    <row r="35" spans="1:19" s="142" customFormat="1" ht="27.6" customHeight="1">
      <c r="A35" s="355"/>
      <c r="B35" s="455"/>
      <c r="C35" s="160" t="s">
        <v>92</v>
      </c>
      <c r="D35" s="161">
        <v>2022</v>
      </c>
      <c r="E35" s="138">
        <f>VLOOKUP(E$7,'Raw - GVA phw'!$A:$E,5,FALSE)</f>
        <v>38.200000000000003</v>
      </c>
      <c r="F35" s="138" t="str">
        <f>IF(E7=VLOOKUP("Top Performing Scottish Local Authority",'GVA phw'!B:C,2,FALSE),"Green",IF(HLOOKUP(F$2,J$7:K$35,29,FALSE)="n/a","n/a",IF(E35&gt;SUM(HLOOKUP($F$2,J$7:K$35,29,FALSE)+HLOOKUP($F$2,J$7:K$35,29,FALSE)*F$4),"Green",IF(E35&lt;SUM(HLOOKUP($F$2,J$7:K$35,29,FALSE)-HLOOKUP($F$2,J$7:K$35,29,FALSE)*F$4),"Red","Amber"))))</f>
        <v>Amber</v>
      </c>
      <c r="G35" s="138" t="str">
        <f>IF(F35="n/a","n/a",IF(SUM(VLOOKUP(E$7,'Raw - GVA phw'!A:Q,5,FALSE)-VLOOKUP(E$7,'Raw - GVA phw'!A:Q,2,FALSE))&lt;0,"Red",IF(SUM(VLOOKUP(E$7,'Raw - GVA phw'!A:Q,5,FALSE)-VLOOKUP(E$7,'Raw - GVA phw'!A:Q,2,FALSE)&gt;SUM(VLOOKUP(F$2,'Raw - GVA phw'!A:Q,5,FALSE)-VLOOKUP(F$2,'Raw - GVA phw'!A:Q,2,FALSE))),"Green","Amber")))</f>
        <v>Green</v>
      </c>
      <c r="H35" s="140" t="s">
        <v>220</v>
      </c>
      <c r="I35" s="138">
        <f>VLOOKUP(I$7,'Raw - GVA phw'!$A:$E,5,FALSE)</f>
        <v>37.85</v>
      </c>
      <c r="J35" s="138">
        <f>VLOOKUP(J$7,'Raw - GVA phw'!$A:$E,5,FALSE)</f>
        <v>36.950000000000003</v>
      </c>
      <c r="K35" s="138">
        <f>VLOOKUP(K$7,'Raw - GVA phw'!$A:$E,5,FALSE)</f>
        <v>38.33</v>
      </c>
      <c r="L35" s="443" t="s">
        <v>93</v>
      </c>
      <c r="P35" s="162" t="e">
        <f>SUM(HLOOKUP(F$2,J$7:K$35,30,FALSE)+HLOOKUP(F$2,J$7:K$35,30,FALSE)*F$4)</f>
        <v>#REF!</v>
      </c>
      <c r="Q35" s="162" t="e">
        <f>SUM(HLOOKUP(F$2,J$7:K$35,30,FALSE)-HLOOKUP(F$2,J$7:K$35,30,FALSE)*F$4)</f>
        <v>#REF!</v>
      </c>
      <c r="R35" s="163">
        <f>SUM(VLOOKUP(E$7,'Raw - GVA phw'!A:Q,5,FALSE)-VLOOKUP(E$7,'Raw - GVA phw'!A:Q,2,FALSE))</f>
        <v>3.8000000000000043</v>
      </c>
      <c r="S35" s="163">
        <f>SUM(VLOOKUP(F$2,'Raw - GVA phw'!A:Q,5,FALSE)-VLOOKUP(F$2,'Raw - GVA phw'!A:Q,2,FALSE))</f>
        <v>2.0600000000000023</v>
      </c>
    </row>
    <row r="36" spans="1:19" s="142" customFormat="1" ht="27.6" customHeight="1">
      <c r="A36" s="354"/>
      <c r="C36" s="166" t="s">
        <v>516</v>
      </c>
      <c r="D36" s="144"/>
      <c r="E36" s="145"/>
      <c r="F36" s="146"/>
      <c r="G36" s="146"/>
      <c r="H36" s="144"/>
      <c r="I36" s="146"/>
      <c r="J36" s="146"/>
      <c r="K36" s="146"/>
    </row>
    <row r="37" spans="1:19" s="142" customFormat="1" ht="27.6" customHeight="1">
      <c r="A37" s="354"/>
      <c r="D37" s="144"/>
      <c r="E37" s="145"/>
      <c r="F37" s="146"/>
      <c r="G37" s="146"/>
      <c r="H37" s="144"/>
      <c r="I37" s="146"/>
      <c r="J37" s="146"/>
      <c r="K37" s="146"/>
    </row>
    <row r="38" spans="1:19" s="142" customFormat="1" ht="27.6" customHeight="1">
      <c r="A38" s="354"/>
      <c r="D38" s="144"/>
      <c r="E38" s="145"/>
      <c r="F38" s="146"/>
      <c r="G38" s="146"/>
      <c r="H38" s="144"/>
      <c r="I38" s="146"/>
      <c r="J38" s="146"/>
      <c r="K38" s="146"/>
    </row>
    <row r="39" spans="1:19" s="142" customFormat="1" ht="27.6" customHeight="1">
      <c r="A39" s="354"/>
      <c r="D39" s="144"/>
      <c r="E39" s="145"/>
      <c r="F39" s="146"/>
      <c r="G39" s="146"/>
      <c r="H39" s="144"/>
      <c r="I39" s="146"/>
      <c r="J39" s="146"/>
      <c r="K39" s="146"/>
    </row>
    <row r="40" spans="1:19" s="142" customFormat="1" ht="27.6" customHeight="1">
      <c r="A40" s="354"/>
      <c r="D40" s="144"/>
      <c r="E40" s="145"/>
      <c r="F40" s="146"/>
      <c r="G40" s="146"/>
      <c r="H40" s="144"/>
      <c r="I40" s="146"/>
      <c r="J40" s="146"/>
      <c r="K40" s="146"/>
    </row>
    <row r="41" spans="1:19" s="142" customFormat="1" ht="27.6" customHeight="1">
      <c r="A41" s="354"/>
      <c r="D41" s="144"/>
      <c r="E41" s="145"/>
      <c r="F41" s="146"/>
      <c r="G41" s="146"/>
      <c r="H41" s="144"/>
      <c r="I41" s="146"/>
      <c r="J41" s="146"/>
      <c r="K41" s="146"/>
    </row>
    <row r="42" spans="1:19" s="142" customFormat="1" ht="27.6" customHeight="1">
      <c r="A42" s="354"/>
      <c r="D42" s="144"/>
      <c r="E42" s="145"/>
      <c r="F42" s="146"/>
      <c r="G42" s="146"/>
      <c r="H42" s="144"/>
      <c r="I42" s="146"/>
      <c r="J42" s="146"/>
      <c r="K42" s="146"/>
    </row>
    <row r="43" spans="1:19" s="142" customFormat="1" ht="27.6" customHeight="1">
      <c r="A43" s="354"/>
      <c r="D43" s="144"/>
      <c r="E43" s="145"/>
      <c r="F43" s="146"/>
      <c r="G43" s="146"/>
      <c r="H43" s="144"/>
      <c r="I43" s="146"/>
      <c r="J43" s="146"/>
      <c r="K43" s="146"/>
    </row>
    <row r="44" spans="1:19" s="142" customFormat="1" ht="27.6" customHeight="1">
      <c r="A44" s="354"/>
      <c r="D44" s="144"/>
      <c r="E44" s="145"/>
      <c r="F44" s="146"/>
      <c r="G44" s="146"/>
      <c r="H44" s="144"/>
      <c r="I44" s="146"/>
      <c r="J44" s="146"/>
      <c r="K44" s="146"/>
    </row>
    <row r="45" spans="1:19" s="142" customFormat="1" ht="27.6" customHeight="1">
      <c r="A45" s="354"/>
      <c r="D45" s="144"/>
      <c r="E45" s="145"/>
      <c r="F45" s="146"/>
      <c r="G45" s="146"/>
      <c r="H45" s="144"/>
      <c r="I45" s="146"/>
      <c r="J45" s="146"/>
      <c r="K45" s="146"/>
    </row>
    <row r="46" spans="1:19" s="142" customFormat="1" ht="27.6" customHeight="1">
      <c r="A46" s="354"/>
      <c r="D46" s="144"/>
      <c r="E46" s="145"/>
      <c r="F46" s="146"/>
      <c r="G46" s="146"/>
      <c r="H46" s="144"/>
      <c r="I46" s="146"/>
      <c r="J46" s="146"/>
      <c r="K46" s="146"/>
    </row>
    <row r="47" spans="1:19" s="142" customFormat="1" ht="27.6" customHeight="1">
      <c r="A47" s="354"/>
      <c r="D47" s="144"/>
      <c r="E47" s="145"/>
      <c r="F47" s="146"/>
      <c r="G47" s="146"/>
      <c r="H47" s="144"/>
      <c r="I47" s="146"/>
      <c r="J47" s="146"/>
      <c r="K47" s="146"/>
    </row>
    <row r="48" spans="1:19" s="142" customFormat="1" ht="27.6" customHeight="1">
      <c r="A48" s="354"/>
      <c r="D48" s="144"/>
      <c r="E48" s="145"/>
      <c r="F48" s="146"/>
      <c r="G48" s="146"/>
      <c r="H48" s="144"/>
      <c r="I48" s="146"/>
      <c r="J48" s="146"/>
      <c r="K48" s="146"/>
    </row>
    <row r="49" spans="1:11" s="142" customFormat="1" ht="27.6" customHeight="1">
      <c r="A49" s="354"/>
      <c r="D49" s="144"/>
      <c r="E49" s="145"/>
      <c r="F49" s="146"/>
      <c r="G49" s="146"/>
      <c r="H49" s="144"/>
      <c r="I49" s="146"/>
      <c r="J49" s="146"/>
      <c r="K49" s="146"/>
    </row>
    <row r="50" spans="1:11" s="142" customFormat="1" ht="27.6" customHeight="1">
      <c r="A50" s="354"/>
      <c r="D50" s="144"/>
      <c r="E50" s="145"/>
      <c r="F50" s="146"/>
      <c r="G50" s="146"/>
      <c r="H50" s="144"/>
      <c r="I50" s="146"/>
      <c r="J50" s="146"/>
      <c r="K50" s="146"/>
    </row>
    <row r="51" spans="1:11" s="142" customFormat="1" ht="27.6" customHeight="1">
      <c r="A51" s="354"/>
      <c r="D51" s="144"/>
      <c r="E51" s="145"/>
      <c r="F51" s="146"/>
      <c r="G51" s="167"/>
      <c r="H51" s="144"/>
      <c r="I51" s="146"/>
      <c r="J51" s="146"/>
      <c r="K51" s="146"/>
    </row>
    <row r="52" spans="1:11" s="142" customFormat="1" ht="27.6" customHeight="1">
      <c r="A52" s="354"/>
      <c r="D52" s="144"/>
      <c r="E52" s="145"/>
      <c r="F52" s="146"/>
      <c r="G52" s="167"/>
      <c r="H52" s="144"/>
      <c r="I52" s="146"/>
      <c r="J52" s="146"/>
      <c r="K52" s="146"/>
    </row>
    <row r="53" spans="1:11" s="142" customFormat="1" ht="27.6" customHeight="1">
      <c r="A53" s="354"/>
      <c r="D53" s="144"/>
      <c r="E53" s="145"/>
      <c r="F53" s="146"/>
      <c r="G53" s="167"/>
      <c r="H53" s="144"/>
      <c r="I53" s="146"/>
      <c r="J53" s="146"/>
      <c r="K53" s="146"/>
    </row>
    <row r="54" spans="1:11" s="142" customFormat="1" ht="27.6" customHeight="1">
      <c r="A54" s="354"/>
      <c r="D54" s="144"/>
      <c r="E54" s="145"/>
      <c r="F54" s="146"/>
      <c r="G54" s="167"/>
      <c r="H54" s="144"/>
      <c r="I54" s="146"/>
      <c r="J54" s="146"/>
      <c r="K54" s="146"/>
    </row>
    <row r="55" spans="1:11" s="142" customFormat="1" ht="27.6" customHeight="1">
      <c r="A55" s="354"/>
      <c r="D55" s="144"/>
      <c r="E55" s="145"/>
      <c r="F55" s="146"/>
      <c r="G55" s="167"/>
      <c r="H55" s="168"/>
      <c r="I55" s="146"/>
      <c r="J55" s="146"/>
      <c r="K55" s="146"/>
    </row>
    <row r="56" spans="1:11" ht="27.6" customHeight="1"/>
    <row r="57" spans="1:11" ht="27.6" customHeight="1"/>
    <row r="58" spans="1:11" ht="27.6" customHeight="1"/>
    <row r="59" spans="1:11" ht="27.6" customHeight="1"/>
    <row r="60" spans="1:11" ht="27.6" customHeight="1"/>
    <row r="61" spans="1:11" ht="27.6" customHeight="1"/>
    <row r="62" spans="1:11" ht="27.6" customHeight="1"/>
    <row r="63" spans="1:11" ht="27.6" customHeight="1"/>
  </sheetData>
  <sheetProtection algorithmName="SHA-512" hashValue="MTRVHHAHvpPnqIi0ScZj6t1TPdjiaAl3PUz/L+urd+XVHG0qxxD3Ceo5yFkjLJ5IBMaqdO9bpIPW99VbbNTTdQ==" saltValue="oFaKzFCznd+djNxmqU1ybA==" spinCount="100000" sheet="1" sort="0"/>
  <mergeCells count="5">
    <mergeCell ref="B33:B35"/>
    <mergeCell ref="F6:G6"/>
    <mergeCell ref="B8:B14"/>
    <mergeCell ref="B15:B18"/>
    <mergeCell ref="B19:B32"/>
  </mergeCells>
  <conditionalFormatting sqref="E8:E35">
    <cfRule type="cellIs" dxfId="126" priority="45" operator="equal">
      <formula>0</formula>
    </cfRule>
  </conditionalFormatting>
  <conditionalFormatting sqref="E30:E32 E33:K35">
    <cfRule type="cellIs" dxfId="125" priority="46" operator="equal">
      <formula>"n/A"</formula>
    </cfRule>
  </conditionalFormatting>
  <conditionalFormatting sqref="E8:K29">
    <cfRule type="cellIs" dxfId="124" priority="48" operator="equal">
      <formula>"n/A"</formula>
    </cfRule>
  </conditionalFormatting>
  <conditionalFormatting sqref="F2">
    <cfRule type="containsText" dxfId="123" priority="241" operator="containsText" text="United Kingdom">
      <formula>NOT(ISERROR(SEARCH("United Kingdom",F2)))</formula>
    </cfRule>
    <cfRule type="containsText" dxfId="122" priority="242" operator="containsText" text="Scotland">
      <formula>NOT(ISERROR(SEARCH("Scotland",F2)))</formula>
    </cfRule>
  </conditionalFormatting>
  <conditionalFormatting sqref="F28:G32 F33:H35">
    <cfRule type="containsText" dxfId="121" priority="123" operator="containsText" text="Amber">
      <formula>NOT(ISERROR(SEARCH("Amber",F28)))</formula>
    </cfRule>
    <cfRule type="containsText" dxfId="120" priority="124" operator="containsText" text="Green">
      <formula>NOT(ISERROR(SEARCH("Green",F28)))</formula>
    </cfRule>
    <cfRule type="containsText" dxfId="119" priority="125" operator="containsText" text="Red">
      <formula>NOT(ISERROR(SEARCH("Red",F28)))</formula>
    </cfRule>
  </conditionalFormatting>
  <conditionalFormatting sqref="F8:H27">
    <cfRule type="containsText" dxfId="118" priority="49" operator="containsText" text="Amber">
      <formula>NOT(ISERROR(SEARCH("Amber",F8)))</formula>
    </cfRule>
    <cfRule type="containsText" dxfId="117" priority="50" operator="containsText" text="Green">
      <formula>NOT(ISERROR(SEARCH("Green",F8)))</formula>
    </cfRule>
    <cfRule type="containsText" dxfId="116" priority="51" operator="containsText" text="Red">
      <formula>NOT(ISERROR(SEARCH("Red",F8)))</formula>
    </cfRule>
  </conditionalFormatting>
  <conditionalFormatting sqref="F29:H29">
    <cfRule type="containsText" dxfId="115" priority="117" operator="containsText" text="Amber">
      <formula>NOT(ISERROR(SEARCH("Amber",F29)))</formula>
    </cfRule>
    <cfRule type="containsText" dxfId="114" priority="118" operator="containsText" text="Green">
      <formula>NOT(ISERROR(SEARCH("Green",F29)))</formula>
    </cfRule>
    <cfRule type="containsText" dxfId="113" priority="119" operator="containsText" text="Red">
      <formula>NOT(ISERROR(SEARCH("Red",F29)))</formula>
    </cfRule>
  </conditionalFormatting>
  <conditionalFormatting sqref="F30:I30">
    <cfRule type="cellIs" dxfId="112" priority="44" operator="equal">
      <formula>"n/A"</formula>
    </cfRule>
  </conditionalFormatting>
  <conditionalFormatting sqref="G30:G32 H28:H31">
    <cfRule type="containsText" dxfId="111" priority="126" operator="containsText" text="Amber">
      <formula>NOT(ISERROR(SEARCH("Amber",G28)))</formula>
    </cfRule>
  </conditionalFormatting>
  <conditionalFormatting sqref="H28:H31 G30:G32">
    <cfRule type="containsText" dxfId="110" priority="127" operator="containsText" text="Green">
      <formula>NOT(ISERROR(SEARCH("Green",G28)))</formula>
    </cfRule>
    <cfRule type="containsText" dxfId="109" priority="128" operator="containsText" text="Red">
      <formula>NOT(ISERROR(SEARCH("Red",G28)))</formula>
    </cfRule>
  </conditionalFormatting>
  <conditionalFormatting sqref="H30">
    <cfRule type="containsText" dxfId="108" priority="29" operator="containsText" text="Amber">
      <formula>NOT(ISERROR(SEARCH("Amber",H30)))</formula>
    </cfRule>
    <cfRule type="containsText" dxfId="107" priority="30" operator="containsText" text="Green">
      <formula>NOT(ISERROR(SEARCH("Green",H30)))</formula>
    </cfRule>
    <cfRule type="containsText" dxfId="106" priority="31" operator="containsText" text="Red">
      <formula>NOT(ISERROR(SEARCH("Red",H30)))</formula>
    </cfRule>
  </conditionalFormatting>
  <conditionalFormatting sqref="H30:H31 F31:G32">
    <cfRule type="cellIs" dxfId="105" priority="74" operator="equal">
      <formula>"n/A"</formula>
    </cfRule>
  </conditionalFormatting>
  <conditionalFormatting sqref="H32">
    <cfRule type="cellIs" dxfId="104" priority="25" operator="equal">
      <formula>"n/A"</formula>
    </cfRule>
    <cfRule type="containsText" dxfId="103" priority="26" operator="containsText" text="Amber">
      <formula>NOT(ISERROR(SEARCH("Amber",H32)))</formula>
    </cfRule>
    <cfRule type="containsText" dxfId="102" priority="27" operator="containsText" text="Green">
      <formula>NOT(ISERROR(SEARCH("Green",H32)))</formula>
    </cfRule>
    <cfRule type="containsText" dxfId="101" priority="28" operator="containsText" text="Red">
      <formula>NOT(ISERROR(SEARCH("Red",H32)))</formula>
    </cfRule>
  </conditionalFormatting>
  <conditionalFormatting sqref="I30:I32">
    <cfRule type="cellIs" dxfId="100" priority="39" operator="equal">
      <formula>0</formula>
    </cfRule>
  </conditionalFormatting>
  <conditionalFormatting sqref="I31:I32">
    <cfRule type="cellIs" dxfId="99" priority="40" operator="equal">
      <formula>"n/A"</formula>
    </cfRule>
  </conditionalFormatting>
  <conditionalFormatting sqref="J30:K32">
    <cfRule type="cellIs" dxfId="98" priority="1" operator="equal">
      <formula>"n/A"</formula>
    </cfRule>
    <cfRule type="containsText" dxfId="97" priority="2" operator="containsText" text="Amber">
      <formula>NOT(ISERROR(SEARCH("Amber",J30)))</formula>
    </cfRule>
    <cfRule type="containsText" dxfId="96" priority="3" operator="containsText" text="Green">
      <formula>NOT(ISERROR(SEARCH("Green",J30)))</formula>
    </cfRule>
    <cfRule type="containsText" dxfId="95" priority="4" operator="containsText" text="Red">
      <formula>NOT(ISERROR(SEARCH("Red",J30)))</formula>
    </cfRule>
  </conditionalFormatting>
  <hyperlinks>
    <hyperlink ref="C8" location="'Child Poverty'!A1" display="'Child Poverty'!A1" xr:uid="{00000000-0004-0000-0200-000000000000}"/>
    <hyperlink ref="C12" location="'Child Benefit'!A1" display="Families with Dependent Children eligible for Child Benefit (%)" xr:uid="{77158CFE-9F29-4F67-810F-91AF5394B951}"/>
    <hyperlink ref="C35" location="'GVA phw'!A1" display="GVA per hour worked (£)" xr:uid="{7815DC6A-E917-4E16-9218-4A9BC244043A}"/>
    <hyperlink ref="C34" location="GVA!A1" display="Gross Value Added (£m)" xr:uid="{18E00548-9153-49CB-A83D-F407C5EC3827}"/>
    <hyperlink ref="C33" location="'SME Procurement'!A1" display="% of Procurement spend on Local Enterprises" xr:uid="{E4F656DF-C0CF-4E68-92C8-BF6A9D45ADF9}"/>
    <hyperlink ref="C28" location="Underemployment!A1" display="Underemployment Rate" xr:uid="{C5EADBA8-5FDE-44DC-B6A4-1EBC52501994}"/>
    <hyperlink ref="C27" location="'Low Earnings'!A1" display="20th Percentile Weekly Earning (Residence based, full time)" xr:uid="{FCA63C23-4A22-4F73-83E9-C9DF226371F4}"/>
    <hyperlink ref="C26" location="Earnings!A1" display="Median Weekly Earnings (Residence-based, full-time)" xr:uid="{52CFBDE3-448D-4BF7-91EC-0F403497ABA1}"/>
    <hyperlink ref="C25" location="'Gender Gap'!A1" display="Gender Employment Gap (%)" xr:uid="{67DCF08A-762E-4ADB-9BF2-79F5206B5050}"/>
    <hyperlink ref="C24" location="'Low Pay Sectors'!A1" display="Employment in low pay sectors (%)" xr:uid="{0617E00C-DFA4-4F1D-A6FC-32372ECCBF8B}"/>
    <hyperlink ref="C23" location="Unemployment!A1" display="Unemployment Rate (%)" xr:uid="{786944D8-5FC2-46A1-85D5-D1C95210215A}"/>
    <hyperlink ref="C22" location="Employment!A1" display="Employment Rate (%)" xr:uid="{D6B3D1B0-8D17-4C7B-9870-B8058AE4949A}"/>
    <hyperlink ref="C21" location="'Economic Inactivity'!A1" display="Economic Inactivity Rate (%)" xr:uid="{7272860D-39A1-4BC1-B795-B438CD9D3EC7}"/>
    <hyperlink ref="C20" location="'Ill Health'!A1" display="Economic Inactive:  Long-term Sick/Disabled Rate (%)" xr:uid="{F95AE584-81A4-478F-8314-80419598D83F}"/>
    <hyperlink ref="C19" location="Incapacity!A1" display="Number of Incpacity Based Benefits (per 1,000 16 - 64 population)" xr:uid="{69F24B37-5AE2-4A6D-B850-080079B3CEA1}"/>
    <hyperlink ref="C18" location="'No Qualifications'!A1" display="No Qualifications Rate (%)" xr:uid="{1307B8D7-C1D5-4ED9-87D2-00F1AFF93118}"/>
    <hyperlink ref="C17" location="'Degree Quals'!A1" display="Degree-level Qualifications Rate (%)" xr:uid="{E831CF9B-3935-425F-9A77-0269E0B53C76}"/>
    <hyperlink ref="C16" location="'Participation Rate'!A1" display="Participation Rate (%)" xr:uid="{06A52FB7-C6BB-4229-85E4-7BF445CD176B}"/>
    <hyperlink ref="C15" location="SLDR!A1" display="% of School Leavers in Positive Destination" xr:uid="{FE765EDE-B662-427C-B740-0DC5FF1C1E21}"/>
    <hyperlink ref="C14" location="'Workless Households'!A1" display="% of Household that are workless" xr:uid="{DF1F5DCE-4DDC-4A35-B64C-D3A8AAC1661F}"/>
    <hyperlink ref="C13" location="'Claimant Count'!A1" display="'Claimant Count'!A1" xr:uid="{BA320400-D2F3-4FD9-AB81-E574C3CA3B02}"/>
    <hyperlink ref="C9" location="Childcare!A1" display="Childcare!A1" xr:uid="{A6F3AE65-BA1F-4CBD-B9C4-81FD5E3D7E19}"/>
    <hyperlink ref="C10" location="'Children in Low Income'!A1" display="Households with Children on Out-of-Work Benefits (%)" xr:uid="{F46212A0-864B-4674-BC88-AB541A50B464}"/>
    <hyperlink ref="C29" location="'SOC1 Occupations'!A1" display="% Employed in SOC 1 Occupations" xr:uid="{5C3C8BDC-F7F6-4A89-89D2-D30AFF785F71}"/>
    <hyperlink ref="C11" location="'Households on UC'!A1" display="Household on Universal Credit (%)" xr:uid="{9B400F9E-02C0-4465-AB5B-9B55FA0A2769}"/>
    <hyperlink ref="C30" location="'Satisfactory hours'!A1" display="'Satisfactory hours'!A1" xr:uid="{3D67E610-A8A3-4BDF-AC9D-D59518E99733}"/>
    <hyperlink ref="C31" location="'Low pay'!A1" display="'Low pay'!A1" xr:uid="{56AA7D71-8267-49D4-A08D-CED56462F99D}"/>
    <hyperlink ref="C32" location="'Zero-hour contracts'!A1" display="'Zero-hour contracts'!A1" xr:uid="{70933650-95EB-47DE-BC3F-68CBE1E7B7BB}"/>
  </hyperlinks>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Lookups!$P$28:$P$59</xm:f>
          </x14:formula1>
          <xm:sqref>E7</xm:sqref>
        </x14:dataValidation>
        <x14:dataValidation type="list" allowBlank="1" showInputMessage="1" showErrorMessage="1" xr:uid="{00000000-0002-0000-0200-000001000000}">
          <x14:formula1>
            <xm:f>Lookups!$B$17:$B$18</xm:f>
          </x14:formula1>
          <xm:sqref>F2</xm:sqref>
        </x14:dataValidation>
        <x14:dataValidation type="list" allowBlank="1" showInputMessage="1" showErrorMessage="1" xr:uid="{6F62E09F-F379-41AA-B34A-272DB9D4191B}">
          <x14:formula1>
            <xm:f>Lookups!$Q$3:$Q$7</xm:f>
          </x14:formula1>
          <xm:sqref>I7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autoPageBreaks="0"/>
  </sheetPr>
  <dimension ref="A1:XFD111"/>
  <sheetViews>
    <sheetView zoomScale="70" zoomScaleNormal="70" workbookViewId="0">
      <selection activeCell="T38" sqref="T38"/>
    </sheetView>
  </sheetViews>
  <sheetFormatPr defaultColWidth="8.7109375" defaultRowHeight="15"/>
  <cols>
    <col min="1" max="1" width="25" customWidth="1" collapsed="1"/>
    <col min="2" max="2" width="14" customWidth="1" collapsed="1"/>
    <col min="3" max="5" width="14" customWidth="1"/>
    <col min="6" max="6" width="14" customWidth="1" collapsed="1"/>
    <col min="7" max="7" width="14" customWidth="1"/>
    <col min="8" max="8" width="15.85546875" customWidth="1"/>
    <col min="9" max="9" width="14" customWidth="1"/>
    <col min="10" max="10" width="14" customWidth="1" collapsed="1"/>
    <col min="11" max="11" width="14" customWidth="1"/>
    <col min="12" max="12" width="15.85546875" customWidth="1"/>
    <col min="13" max="13" width="14" customWidth="1"/>
    <col min="14" max="14" width="14" customWidth="1" collapsed="1"/>
    <col min="15" max="15" width="14" customWidth="1"/>
    <col min="16" max="16" width="15.85546875" customWidth="1"/>
  </cols>
  <sheetData>
    <row r="1" spans="1:16" ht="15.75">
      <c r="A1" s="1" t="s">
        <v>100</v>
      </c>
    </row>
    <row r="2" spans="1:16">
      <c r="A2" s="2" t="s">
        <v>99</v>
      </c>
    </row>
    <row r="4" spans="1:16">
      <c r="A4" s="10" t="s">
        <v>98</v>
      </c>
      <c r="B4" s="10" t="s">
        <v>82</v>
      </c>
      <c r="C4" s="10"/>
      <c r="D4" s="10"/>
      <c r="E4" s="10"/>
    </row>
    <row r="5" spans="1:16">
      <c r="A5" s="10" t="s">
        <v>97</v>
      </c>
      <c r="B5" s="10" t="s">
        <v>96</v>
      </c>
      <c r="C5" s="10"/>
      <c r="D5" s="10"/>
      <c r="E5" s="10"/>
    </row>
    <row r="6" spans="1:16">
      <c r="A6" s="10" t="s">
        <v>95</v>
      </c>
      <c r="B6" s="10" t="s">
        <v>101</v>
      </c>
      <c r="C6" s="10"/>
      <c r="D6" s="10"/>
      <c r="E6" s="10"/>
    </row>
    <row r="8" spans="1:16" ht="26.1" customHeight="1">
      <c r="A8" s="17" t="s">
        <v>7</v>
      </c>
      <c r="D8" s="341" t="s">
        <v>504</v>
      </c>
      <c r="H8" s="341" t="s">
        <v>505</v>
      </c>
      <c r="K8" s="341"/>
      <c r="L8" s="341" t="s">
        <v>506</v>
      </c>
      <c r="N8" s="341"/>
      <c r="O8" s="341"/>
      <c r="P8" s="341" t="s">
        <v>507</v>
      </c>
    </row>
    <row r="9" spans="1:16">
      <c r="A9" s="10" t="s">
        <v>15</v>
      </c>
      <c r="B9" s="15">
        <v>6760</v>
      </c>
      <c r="C9" s="60">
        <v>153636.36363636362</v>
      </c>
      <c r="D9" s="14">
        <v>4.4000000000000004</v>
      </c>
      <c r="E9" s="15"/>
      <c r="F9" s="15">
        <v>5125</v>
      </c>
      <c r="G9" s="60">
        <v>155303.0303030303</v>
      </c>
      <c r="H9" s="14">
        <v>3.3</v>
      </c>
      <c r="I9" s="15"/>
      <c r="J9" s="15">
        <v>4610</v>
      </c>
      <c r="K9" s="60">
        <v>153666.66666666669</v>
      </c>
      <c r="L9" s="14">
        <v>3</v>
      </c>
      <c r="M9" s="15"/>
      <c r="N9" s="15">
        <v>4975</v>
      </c>
      <c r="O9" s="60">
        <v>155468.75</v>
      </c>
      <c r="P9" s="14">
        <v>3.2</v>
      </c>
    </row>
    <row r="10" spans="1:16">
      <c r="A10" s="10" t="s">
        <v>16</v>
      </c>
      <c r="B10" s="15">
        <v>4395</v>
      </c>
      <c r="C10" s="60">
        <v>162777.77777777775</v>
      </c>
      <c r="D10" s="14">
        <v>2.7</v>
      </c>
      <c r="E10" s="15"/>
      <c r="F10" s="15">
        <v>2885</v>
      </c>
      <c r="G10" s="60">
        <v>160277.77777777775</v>
      </c>
      <c r="H10" s="14">
        <v>1.8</v>
      </c>
      <c r="I10" s="15"/>
      <c r="J10" s="15">
        <v>2785</v>
      </c>
      <c r="K10" s="60">
        <v>163823.5294117647</v>
      </c>
      <c r="L10" s="14">
        <v>1.7</v>
      </c>
      <c r="M10" s="15"/>
      <c r="N10" s="15">
        <v>2950</v>
      </c>
      <c r="O10" s="60">
        <v>163888.88888888888</v>
      </c>
      <c r="P10" s="14">
        <v>1.8</v>
      </c>
    </row>
    <row r="11" spans="1:16">
      <c r="A11" s="10" t="s">
        <v>17</v>
      </c>
      <c r="B11" s="15">
        <v>2605</v>
      </c>
      <c r="C11" s="60">
        <v>68552.631578947374</v>
      </c>
      <c r="D11" s="14">
        <v>3.8</v>
      </c>
      <c r="E11" s="15"/>
      <c r="F11" s="15">
        <v>1880</v>
      </c>
      <c r="G11" s="60">
        <v>69629.62962962962</v>
      </c>
      <c r="H11" s="14">
        <v>2.7</v>
      </c>
      <c r="I11" s="15"/>
      <c r="J11" s="15">
        <v>1855</v>
      </c>
      <c r="K11" s="60">
        <v>68703.703703703693</v>
      </c>
      <c r="L11" s="14">
        <v>2.7</v>
      </c>
      <c r="M11" s="15"/>
      <c r="N11" s="15">
        <v>1935</v>
      </c>
      <c r="O11" s="60">
        <v>69107.14285714287</v>
      </c>
      <c r="P11" s="14">
        <v>2.8</v>
      </c>
    </row>
    <row r="12" spans="1:16">
      <c r="A12" s="10" t="s">
        <v>18</v>
      </c>
      <c r="B12" s="15">
        <v>1845</v>
      </c>
      <c r="C12" s="60">
        <v>51249.999999999993</v>
      </c>
      <c r="D12" s="14">
        <v>3.6</v>
      </c>
      <c r="E12" s="15"/>
      <c r="F12" s="15">
        <v>1310</v>
      </c>
      <c r="G12" s="60">
        <v>50384.615384615383</v>
      </c>
      <c r="H12" s="14">
        <v>2.6</v>
      </c>
      <c r="I12" s="15"/>
      <c r="J12" s="15">
        <v>1295</v>
      </c>
      <c r="K12" s="60">
        <v>51800</v>
      </c>
      <c r="L12" s="14">
        <v>2.5</v>
      </c>
      <c r="M12" s="15"/>
      <c r="N12" s="15">
        <v>1335</v>
      </c>
      <c r="O12" s="60">
        <v>51346.153846153844</v>
      </c>
      <c r="P12" s="14">
        <v>2.6</v>
      </c>
    </row>
    <row r="13" spans="1:16">
      <c r="A13" s="10" t="s">
        <v>126</v>
      </c>
      <c r="B13" s="15">
        <v>12065</v>
      </c>
      <c r="C13" s="60">
        <v>365606.06060606061</v>
      </c>
      <c r="D13" s="14">
        <v>3.3</v>
      </c>
      <c r="E13" s="15"/>
      <c r="F13" s="15">
        <v>8545</v>
      </c>
      <c r="G13" s="60">
        <v>371521.73913043481</v>
      </c>
      <c r="H13" s="14">
        <v>2.2999999999999998</v>
      </c>
      <c r="I13" s="15"/>
      <c r="J13" s="15">
        <v>8300</v>
      </c>
      <c r="K13" s="60">
        <v>360869.5652173913</v>
      </c>
      <c r="L13" s="14">
        <v>2.2999999999999998</v>
      </c>
      <c r="M13" s="15"/>
      <c r="N13" s="15">
        <v>9335</v>
      </c>
      <c r="O13" s="60">
        <v>373400</v>
      </c>
      <c r="P13" s="14">
        <v>2.5</v>
      </c>
    </row>
    <row r="14" spans="1:16">
      <c r="A14" s="10" t="s">
        <v>19</v>
      </c>
      <c r="B14" s="15">
        <v>1510</v>
      </c>
      <c r="C14" s="60">
        <v>32127.659574468085</v>
      </c>
      <c r="D14" s="14">
        <v>4.7</v>
      </c>
      <c r="E14" s="15"/>
      <c r="F14" s="15">
        <v>1115</v>
      </c>
      <c r="G14" s="60">
        <v>31857.142857142855</v>
      </c>
      <c r="H14" s="14">
        <v>3.5</v>
      </c>
      <c r="I14" s="15"/>
      <c r="J14" s="15">
        <v>1075</v>
      </c>
      <c r="K14" s="60">
        <v>31617.647058823528</v>
      </c>
      <c r="L14" s="14">
        <v>3.4</v>
      </c>
      <c r="M14" s="15"/>
      <c r="N14" s="15">
        <v>1035</v>
      </c>
      <c r="O14" s="60">
        <v>32343.75</v>
      </c>
      <c r="P14" s="14">
        <v>3.2</v>
      </c>
    </row>
    <row r="15" spans="1:16">
      <c r="A15" s="10" t="s">
        <v>20</v>
      </c>
      <c r="B15" s="15">
        <v>3295</v>
      </c>
      <c r="C15" s="60">
        <v>86710.526315789481</v>
      </c>
      <c r="D15" s="14">
        <v>3.8</v>
      </c>
      <c r="E15" s="15"/>
      <c r="F15" s="15">
        <v>2435</v>
      </c>
      <c r="G15" s="60">
        <v>86964.285714285725</v>
      </c>
      <c r="H15" s="14">
        <v>2.8</v>
      </c>
      <c r="I15" s="15"/>
      <c r="J15" s="15">
        <v>2350</v>
      </c>
      <c r="K15" s="60">
        <v>87037.037037037022</v>
      </c>
      <c r="L15" s="14">
        <v>2.7</v>
      </c>
      <c r="M15" s="15"/>
      <c r="N15" s="15">
        <v>2550</v>
      </c>
      <c r="O15" s="60">
        <v>85000</v>
      </c>
      <c r="P15" s="14">
        <v>3</v>
      </c>
    </row>
    <row r="16" spans="1:16">
      <c r="A16" s="10" t="s">
        <v>21</v>
      </c>
      <c r="B16" s="15">
        <v>5240</v>
      </c>
      <c r="C16" s="60">
        <v>97037.037037037022</v>
      </c>
      <c r="D16" s="14">
        <v>5.4</v>
      </c>
      <c r="E16" s="15"/>
      <c r="F16" s="15">
        <v>4005</v>
      </c>
      <c r="G16" s="60">
        <v>97682.926829268312</v>
      </c>
      <c r="H16" s="14">
        <v>4.0999999999999996</v>
      </c>
      <c r="I16" s="15"/>
      <c r="J16" s="15">
        <v>3975</v>
      </c>
      <c r="K16" s="60">
        <v>96951.219512195137</v>
      </c>
      <c r="L16" s="14">
        <v>4.0999999999999996</v>
      </c>
      <c r="M16" s="15"/>
      <c r="N16" s="15">
        <v>4175</v>
      </c>
      <c r="O16" s="60">
        <v>97093.023255813954</v>
      </c>
      <c r="P16" s="14">
        <v>4.3</v>
      </c>
    </row>
    <row r="17" spans="1:18">
      <c r="A17" s="10" t="s">
        <v>22</v>
      </c>
      <c r="B17" s="15">
        <v>4275</v>
      </c>
      <c r="C17" s="60">
        <v>76339.285714285725</v>
      </c>
      <c r="D17" s="14">
        <v>5.6</v>
      </c>
      <c r="E17" s="15"/>
      <c r="F17" s="15">
        <v>3000</v>
      </c>
      <c r="G17" s="60">
        <v>75000</v>
      </c>
      <c r="H17" s="14">
        <v>4</v>
      </c>
      <c r="I17" s="15"/>
      <c r="J17" s="15">
        <v>2960</v>
      </c>
      <c r="K17" s="60">
        <v>75897.435897435891</v>
      </c>
      <c r="L17" s="14">
        <v>3.9</v>
      </c>
      <c r="M17" s="15"/>
      <c r="N17" s="15">
        <v>2795</v>
      </c>
      <c r="O17" s="60">
        <v>75540.540540540533</v>
      </c>
      <c r="P17" s="14">
        <v>3.7</v>
      </c>
    </row>
    <row r="18" spans="1:18">
      <c r="A18" s="10" t="s">
        <v>23</v>
      </c>
      <c r="B18" s="15">
        <v>1745</v>
      </c>
      <c r="C18" s="60">
        <v>64629.62962962962</v>
      </c>
      <c r="D18" s="14">
        <v>2.7</v>
      </c>
      <c r="E18" s="15"/>
      <c r="F18" s="15">
        <v>1240</v>
      </c>
      <c r="G18" s="60">
        <v>65263.157894736847</v>
      </c>
      <c r="H18" s="14">
        <v>1.9</v>
      </c>
      <c r="I18" s="15"/>
      <c r="J18" s="15">
        <v>1180</v>
      </c>
      <c r="K18" s="60">
        <v>65555.555555555547</v>
      </c>
      <c r="L18" s="14">
        <v>1.8</v>
      </c>
      <c r="M18" s="15"/>
      <c r="N18" s="15">
        <v>1325</v>
      </c>
      <c r="O18" s="60">
        <v>63095.238095238092</v>
      </c>
      <c r="P18" s="14">
        <v>2.1</v>
      </c>
    </row>
    <row r="19" spans="1:18">
      <c r="A19" s="10" t="s">
        <v>24</v>
      </c>
      <c r="B19" s="15">
        <v>2290</v>
      </c>
      <c r="C19" s="60">
        <v>67352.941176470587</v>
      </c>
      <c r="D19" s="14">
        <v>3.4</v>
      </c>
      <c r="E19" s="15"/>
      <c r="F19" s="15">
        <v>1440</v>
      </c>
      <c r="G19" s="60">
        <v>65454.545454545449</v>
      </c>
      <c r="H19" s="14">
        <v>2.2000000000000002</v>
      </c>
      <c r="I19" s="15"/>
      <c r="J19" s="15">
        <v>1530</v>
      </c>
      <c r="K19" s="60">
        <v>66521.739130434784</v>
      </c>
      <c r="L19" s="14">
        <v>2.2999999999999998</v>
      </c>
      <c r="M19" s="15"/>
      <c r="N19" s="15">
        <v>1660</v>
      </c>
      <c r="O19" s="60">
        <v>66400</v>
      </c>
      <c r="P19" s="14">
        <v>2.5</v>
      </c>
    </row>
    <row r="20" spans="1:18">
      <c r="A20" s="10" t="s">
        <v>25</v>
      </c>
      <c r="B20" s="15">
        <v>1340</v>
      </c>
      <c r="C20" s="60">
        <v>58260.869565217392</v>
      </c>
      <c r="D20" s="14">
        <v>2.2999999999999998</v>
      </c>
      <c r="E20" s="15"/>
      <c r="F20" s="15">
        <v>925</v>
      </c>
      <c r="G20" s="60">
        <v>57812.5</v>
      </c>
      <c r="H20" s="14">
        <v>1.6</v>
      </c>
      <c r="I20" s="15"/>
      <c r="J20" s="15">
        <v>1000</v>
      </c>
      <c r="K20" s="60">
        <v>55555.555555555547</v>
      </c>
      <c r="L20" s="14">
        <v>1.8</v>
      </c>
      <c r="M20" s="15"/>
      <c r="N20" s="15">
        <v>1065</v>
      </c>
      <c r="O20" s="60">
        <v>56052.631578947367</v>
      </c>
      <c r="P20" s="14">
        <v>1.9</v>
      </c>
    </row>
    <row r="21" spans="1:18">
      <c r="A21" s="10" t="s">
        <v>26</v>
      </c>
      <c r="B21" s="15">
        <v>4190</v>
      </c>
      <c r="C21" s="60">
        <v>102195.12195121952</v>
      </c>
      <c r="D21" s="14">
        <v>4.0999999999999996</v>
      </c>
      <c r="E21" s="15"/>
      <c r="F21" s="15">
        <v>2880</v>
      </c>
      <c r="G21" s="60">
        <v>102857.14285714287</v>
      </c>
      <c r="H21" s="14">
        <v>2.8</v>
      </c>
      <c r="I21" s="15"/>
      <c r="J21" s="15">
        <v>2810</v>
      </c>
      <c r="K21" s="60">
        <v>100357.14285714287</v>
      </c>
      <c r="L21" s="14">
        <v>2.8</v>
      </c>
      <c r="M21" s="15"/>
      <c r="N21" s="15">
        <v>2865</v>
      </c>
      <c r="O21" s="60">
        <v>102321.42857142858</v>
      </c>
      <c r="P21" s="14">
        <v>2.8</v>
      </c>
    </row>
    <row r="22" spans="1:18">
      <c r="A22" s="10" t="s">
        <v>27</v>
      </c>
      <c r="B22" s="15">
        <v>10525</v>
      </c>
      <c r="C22" s="60">
        <v>233888.88888888891</v>
      </c>
      <c r="D22" s="14">
        <v>4.5</v>
      </c>
      <c r="E22" s="15"/>
      <c r="F22" s="15">
        <v>7740</v>
      </c>
      <c r="G22" s="60">
        <v>234545.45454545453</v>
      </c>
      <c r="H22" s="14">
        <v>3.3</v>
      </c>
      <c r="I22" s="15"/>
      <c r="J22" s="15">
        <v>7340</v>
      </c>
      <c r="K22" s="60">
        <v>229375</v>
      </c>
      <c r="L22" s="14">
        <v>3.2</v>
      </c>
      <c r="M22" s="15"/>
      <c r="N22" s="15">
        <v>7730</v>
      </c>
      <c r="O22" s="60">
        <v>234242.42424242423</v>
      </c>
      <c r="P22" s="14">
        <v>3.3</v>
      </c>
    </row>
    <row r="23" spans="1:18">
      <c r="A23" s="10" t="s">
        <v>28</v>
      </c>
      <c r="B23" s="15">
        <v>27450</v>
      </c>
      <c r="C23" s="60">
        <v>450000</v>
      </c>
      <c r="D23" s="14">
        <v>6.1</v>
      </c>
      <c r="E23" s="15"/>
      <c r="F23" s="15">
        <v>20810</v>
      </c>
      <c r="G23" s="60">
        <v>452391.30434782611</v>
      </c>
      <c r="H23" s="14">
        <v>4.5999999999999996</v>
      </c>
      <c r="I23" s="15"/>
      <c r="J23" s="15">
        <v>20185</v>
      </c>
      <c r="K23" s="60">
        <v>448555.55555555556</v>
      </c>
      <c r="L23" s="14">
        <v>4.5</v>
      </c>
      <c r="M23" s="15"/>
      <c r="N23" s="15">
        <v>23295</v>
      </c>
      <c r="O23" s="60">
        <v>447980.76923076919</v>
      </c>
      <c r="P23" s="14">
        <v>5.2</v>
      </c>
      <c r="R23" s="60"/>
    </row>
    <row r="24" spans="1:18">
      <c r="A24" s="10" t="s">
        <v>29</v>
      </c>
      <c r="B24" s="15">
        <v>4295</v>
      </c>
      <c r="C24" s="60">
        <v>143166.66666666669</v>
      </c>
      <c r="D24" s="14">
        <v>3</v>
      </c>
      <c r="E24" s="15"/>
      <c r="F24" s="15">
        <v>3165</v>
      </c>
      <c r="G24" s="60">
        <v>143863.63636363635</v>
      </c>
      <c r="H24" s="14">
        <v>2.2000000000000002</v>
      </c>
      <c r="I24" s="15"/>
      <c r="J24" s="15">
        <v>2975</v>
      </c>
      <c r="K24" s="60">
        <v>141666.66666666666</v>
      </c>
      <c r="L24" s="14">
        <v>2.1</v>
      </c>
      <c r="M24" s="15"/>
      <c r="N24" s="15">
        <v>3335</v>
      </c>
      <c r="O24" s="60">
        <v>145000</v>
      </c>
      <c r="P24" s="14">
        <v>2.2999999999999998</v>
      </c>
    </row>
    <row r="25" spans="1:18">
      <c r="A25" s="10" t="s">
        <v>30</v>
      </c>
      <c r="B25" s="15">
        <v>2390</v>
      </c>
      <c r="C25" s="60">
        <v>47800</v>
      </c>
      <c r="D25" s="14">
        <v>5</v>
      </c>
      <c r="E25" s="15"/>
      <c r="F25" s="15">
        <v>1730</v>
      </c>
      <c r="G25" s="60">
        <v>48055.555555555547</v>
      </c>
      <c r="H25" s="14">
        <v>3.6</v>
      </c>
      <c r="I25" s="15"/>
      <c r="J25" s="15">
        <v>1625</v>
      </c>
      <c r="K25" s="60">
        <v>47794.117647058818</v>
      </c>
      <c r="L25" s="14">
        <v>3.4</v>
      </c>
      <c r="M25" s="15"/>
      <c r="N25" s="15">
        <v>1725</v>
      </c>
      <c r="O25" s="60">
        <v>47916.666666666664</v>
      </c>
      <c r="P25" s="14">
        <v>3.6</v>
      </c>
    </row>
    <row r="26" spans="1:18">
      <c r="A26" s="10" t="s">
        <v>31</v>
      </c>
      <c r="B26" s="15">
        <v>1910</v>
      </c>
      <c r="C26" s="60">
        <v>57878.787878787873</v>
      </c>
      <c r="D26" s="14">
        <v>3.3</v>
      </c>
      <c r="E26" s="15"/>
      <c r="F26" s="15">
        <v>1260</v>
      </c>
      <c r="G26" s="60">
        <v>57272.727272727265</v>
      </c>
      <c r="H26" s="14">
        <v>2.2000000000000002</v>
      </c>
      <c r="I26" s="15"/>
      <c r="J26" s="15">
        <v>1290</v>
      </c>
      <c r="K26" s="60">
        <v>58636.363636363632</v>
      </c>
      <c r="L26" s="14">
        <v>2.2000000000000002</v>
      </c>
      <c r="M26" s="15"/>
      <c r="N26" s="15">
        <v>1385</v>
      </c>
      <c r="O26" s="60">
        <v>57708.333333333336</v>
      </c>
      <c r="P26" s="14">
        <v>2.4</v>
      </c>
    </row>
    <row r="27" spans="1:18">
      <c r="A27" s="10" t="s">
        <v>32</v>
      </c>
      <c r="B27" s="15">
        <v>1980</v>
      </c>
      <c r="C27" s="60">
        <v>58235.294117647056</v>
      </c>
      <c r="D27" s="14">
        <v>3.4</v>
      </c>
      <c r="E27" s="15"/>
      <c r="F27" s="15">
        <v>1305</v>
      </c>
      <c r="G27" s="60">
        <v>59318.181818181809</v>
      </c>
      <c r="H27" s="14">
        <v>2.2000000000000002</v>
      </c>
      <c r="I27" s="15"/>
      <c r="J27" s="15">
        <v>1195</v>
      </c>
      <c r="K27" s="60">
        <v>59750</v>
      </c>
      <c r="L27" s="14">
        <v>2</v>
      </c>
      <c r="M27" s="15"/>
      <c r="N27" s="15">
        <v>1305</v>
      </c>
      <c r="O27" s="60">
        <v>59318.181818181809</v>
      </c>
      <c r="P27" s="14">
        <v>2.2000000000000002</v>
      </c>
    </row>
    <row r="28" spans="1:18">
      <c r="A28" s="10" t="s">
        <v>33</v>
      </c>
      <c r="B28" s="15">
        <v>485</v>
      </c>
      <c r="C28" s="60">
        <v>15645.161290322581</v>
      </c>
      <c r="D28" s="14">
        <v>3.1</v>
      </c>
      <c r="E28" s="15"/>
      <c r="F28" s="15">
        <v>290</v>
      </c>
      <c r="G28" s="60">
        <v>15263.157894736842</v>
      </c>
      <c r="H28" s="14">
        <v>1.9</v>
      </c>
      <c r="I28" s="15"/>
      <c r="J28" s="15">
        <v>265</v>
      </c>
      <c r="K28" s="60">
        <v>15588.235294117647</v>
      </c>
      <c r="L28" s="14">
        <v>1.7</v>
      </c>
      <c r="M28" s="15"/>
      <c r="N28" s="15">
        <v>280</v>
      </c>
      <c r="O28" s="60">
        <v>15555.555555555553</v>
      </c>
      <c r="P28" s="14">
        <v>1.8</v>
      </c>
    </row>
    <row r="29" spans="1:18">
      <c r="A29" s="10" t="s">
        <v>34</v>
      </c>
      <c r="B29" s="15">
        <v>4795</v>
      </c>
      <c r="C29" s="60">
        <v>81271.186440677964</v>
      </c>
      <c r="D29" s="14">
        <v>5.9</v>
      </c>
      <c r="E29" s="15"/>
      <c r="F29" s="15">
        <v>3545</v>
      </c>
      <c r="G29" s="60">
        <v>80568.181818181809</v>
      </c>
      <c r="H29" s="14">
        <v>4.4000000000000004</v>
      </c>
      <c r="I29" s="15"/>
      <c r="J29" s="15">
        <v>3485</v>
      </c>
      <c r="K29" s="60">
        <v>81046.511627906977</v>
      </c>
      <c r="L29" s="14">
        <v>4.3</v>
      </c>
      <c r="M29" s="15"/>
      <c r="N29" s="15">
        <v>3580</v>
      </c>
      <c r="O29" s="60">
        <v>81363.636363636353</v>
      </c>
      <c r="P29" s="14">
        <v>4.4000000000000004</v>
      </c>
    </row>
    <row r="30" spans="1:18">
      <c r="A30" s="10" t="s">
        <v>35</v>
      </c>
      <c r="B30" s="15">
        <v>10295</v>
      </c>
      <c r="C30" s="60">
        <v>219042.55319148937</v>
      </c>
      <c r="D30" s="14">
        <v>4.7</v>
      </c>
      <c r="E30" s="15"/>
      <c r="F30" s="15">
        <v>7310</v>
      </c>
      <c r="G30" s="60">
        <v>221515.15151515149</v>
      </c>
      <c r="H30" s="14">
        <v>3.3</v>
      </c>
      <c r="I30" s="15"/>
      <c r="J30" s="15">
        <v>7090</v>
      </c>
      <c r="K30" s="60">
        <v>221562.5</v>
      </c>
      <c r="L30" s="14">
        <v>3.2</v>
      </c>
      <c r="M30" s="15"/>
      <c r="N30" s="15">
        <v>7425</v>
      </c>
      <c r="O30" s="60">
        <v>218382.35294117645</v>
      </c>
      <c r="P30" s="14">
        <v>3.4</v>
      </c>
    </row>
    <row r="31" spans="1:18">
      <c r="A31" s="10" t="s">
        <v>36</v>
      </c>
      <c r="B31" s="15">
        <v>240</v>
      </c>
      <c r="C31" s="60">
        <v>13333.333333333332</v>
      </c>
      <c r="D31" s="14">
        <v>1.8</v>
      </c>
      <c r="E31" s="15"/>
      <c r="F31" s="15">
        <v>205</v>
      </c>
      <c r="G31" s="60">
        <v>13666.666666666668</v>
      </c>
      <c r="H31" s="14">
        <v>1.5</v>
      </c>
      <c r="I31" s="15"/>
      <c r="J31" s="15">
        <v>195</v>
      </c>
      <c r="K31" s="60">
        <v>13000</v>
      </c>
      <c r="L31" s="14">
        <v>1.5</v>
      </c>
      <c r="M31" s="15"/>
      <c r="N31" s="15">
        <v>220</v>
      </c>
      <c r="O31" s="60">
        <v>13750</v>
      </c>
      <c r="P31" s="14">
        <v>1.6</v>
      </c>
    </row>
    <row r="32" spans="1:18">
      <c r="A32" s="10" t="s">
        <v>37</v>
      </c>
      <c r="B32" s="15">
        <v>2815</v>
      </c>
      <c r="C32" s="60">
        <v>93833.333333333343</v>
      </c>
      <c r="D32" s="14">
        <v>3</v>
      </c>
      <c r="E32" s="15"/>
      <c r="F32" s="15">
        <v>1995</v>
      </c>
      <c r="G32" s="60">
        <v>90681.818181818177</v>
      </c>
      <c r="H32" s="14">
        <v>2.2000000000000002</v>
      </c>
      <c r="I32" s="15"/>
      <c r="J32" s="15">
        <v>2050</v>
      </c>
      <c r="K32" s="60">
        <v>93181.818181818177</v>
      </c>
      <c r="L32" s="14">
        <v>2.2000000000000002</v>
      </c>
      <c r="M32" s="15"/>
      <c r="N32" s="15">
        <v>2210</v>
      </c>
      <c r="O32" s="60">
        <v>92083.333333333328</v>
      </c>
      <c r="P32" s="14">
        <v>2.4</v>
      </c>
    </row>
    <row r="33" spans="1:16384" customFormat="1">
      <c r="A33" s="10" t="s">
        <v>38</v>
      </c>
      <c r="B33" s="15">
        <v>4725</v>
      </c>
      <c r="C33" s="60">
        <v>115243.9024390244</v>
      </c>
      <c r="D33" s="14">
        <v>4.0999999999999996</v>
      </c>
      <c r="E33" s="15"/>
      <c r="F33" s="15">
        <v>3455</v>
      </c>
      <c r="G33" s="60">
        <v>115166.66666666667</v>
      </c>
      <c r="H33" s="14">
        <v>3</v>
      </c>
      <c r="I33" s="15"/>
      <c r="J33" s="15">
        <v>3505</v>
      </c>
      <c r="K33" s="60">
        <v>116833.33333333334</v>
      </c>
      <c r="L33" s="14">
        <v>3</v>
      </c>
      <c r="M33" s="15"/>
      <c r="N33" s="15">
        <v>3595</v>
      </c>
      <c r="O33" s="60">
        <v>115967.74193548388</v>
      </c>
      <c r="P33" s="14">
        <v>3.1</v>
      </c>
    </row>
    <row r="34" spans="1:16384" customFormat="1">
      <c r="A34" s="10" t="s">
        <v>39</v>
      </c>
      <c r="B34" s="15">
        <v>2510</v>
      </c>
      <c r="C34" s="60">
        <v>67837.837837837826</v>
      </c>
      <c r="D34" s="14">
        <v>3.7</v>
      </c>
      <c r="E34" s="15"/>
      <c r="F34" s="15">
        <v>1915</v>
      </c>
      <c r="G34" s="60">
        <v>68392.857142857145</v>
      </c>
      <c r="H34" s="14">
        <v>2.8</v>
      </c>
      <c r="I34" s="15"/>
      <c r="J34" s="15">
        <v>1925</v>
      </c>
      <c r="K34" s="60">
        <v>68750</v>
      </c>
      <c r="L34" s="14">
        <v>2.8</v>
      </c>
      <c r="M34" s="15"/>
      <c r="N34" s="15">
        <v>2070</v>
      </c>
      <c r="O34" s="60">
        <v>66774.193548387091</v>
      </c>
      <c r="P34" s="14">
        <v>3.1</v>
      </c>
    </row>
    <row r="35" spans="1:16384" customFormat="1">
      <c r="A35" s="10" t="s">
        <v>40</v>
      </c>
      <c r="B35" s="15">
        <v>320</v>
      </c>
      <c r="C35" s="60">
        <v>13913.04347826087</v>
      </c>
      <c r="D35" s="14">
        <v>2.2999999999999998</v>
      </c>
      <c r="E35" s="15"/>
      <c r="F35" s="15">
        <v>245</v>
      </c>
      <c r="G35" s="60">
        <v>13611.111111111109</v>
      </c>
      <c r="H35" s="14">
        <v>1.8</v>
      </c>
      <c r="I35" s="15"/>
      <c r="J35" s="15">
        <v>205</v>
      </c>
      <c r="K35" s="60">
        <v>13666.666666666668</v>
      </c>
      <c r="L35" s="14">
        <v>1.5</v>
      </c>
      <c r="M35" s="15"/>
      <c r="N35" s="15">
        <v>210</v>
      </c>
      <c r="O35" s="60">
        <v>14000</v>
      </c>
      <c r="P35" s="14">
        <v>1.5</v>
      </c>
    </row>
    <row r="36" spans="1:16384" customFormat="1">
      <c r="A36" s="10" t="s">
        <v>41</v>
      </c>
      <c r="B36" s="15">
        <v>3235</v>
      </c>
      <c r="C36" s="60">
        <v>66020.408163265311</v>
      </c>
      <c r="D36" s="14">
        <v>4.9000000000000004</v>
      </c>
      <c r="E36" s="15"/>
      <c r="F36" s="15">
        <v>2315</v>
      </c>
      <c r="G36" s="60">
        <v>66142.85714285713</v>
      </c>
      <c r="H36" s="14">
        <v>3.5</v>
      </c>
      <c r="I36" s="15"/>
      <c r="J36" s="15">
        <v>2195</v>
      </c>
      <c r="K36" s="60">
        <v>66515.151515151505</v>
      </c>
      <c r="L36" s="14">
        <v>3.3</v>
      </c>
      <c r="M36" s="15"/>
      <c r="N36" s="15">
        <v>2265</v>
      </c>
      <c r="O36" s="60">
        <v>66617.647058823524</v>
      </c>
      <c r="P36" s="14">
        <v>3.4</v>
      </c>
    </row>
    <row r="37" spans="1:16384" customFormat="1">
      <c r="A37" s="10" t="s">
        <v>42</v>
      </c>
      <c r="B37" s="15">
        <v>8880</v>
      </c>
      <c r="C37" s="60">
        <v>201818.18181818179</v>
      </c>
      <c r="D37" s="14">
        <v>4.4000000000000004</v>
      </c>
      <c r="E37" s="15"/>
      <c r="F37" s="15">
        <v>6120</v>
      </c>
      <c r="G37" s="60">
        <v>204000</v>
      </c>
      <c r="H37" s="14">
        <v>3</v>
      </c>
      <c r="I37" s="15"/>
      <c r="J37" s="15">
        <v>5900</v>
      </c>
      <c r="K37" s="60">
        <v>203448.27586206899</v>
      </c>
      <c r="L37" s="14">
        <v>2.9</v>
      </c>
      <c r="M37" s="15"/>
      <c r="N37" s="15">
        <v>6010</v>
      </c>
      <c r="O37" s="60">
        <v>200333.33333333334</v>
      </c>
      <c r="P37" s="14">
        <v>3</v>
      </c>
    </row>
    <row r="38" spans="1:16384" customFormat="1">
      <c r="A38" s="10" t="s">
        <v>43</v>
      </c>
      <c r="B38" s="15">
        <v>1775</v>
      </c>
      <c r="C38" s="60">
        <v>59166.666666666672</v>
      </c>
      <c r="D38" s="14">
        <v>3</v>
      </c>
      <c r="E38" s="15"/>
      <c r="F38" s="15">
        <v>1355</v>
      </c>
      <c r="G38" s="60">
        <v>58913.043478260872</v>
      </c>
      <c r="H38" s="14">
        <v>2.2999999999999998</v>
      </c>
      <c r="I38" s="15"/>
      <c r="J38" s="15">
        <v>1375</v>
      </c>
      <c r="K38" s="60">
        <v>59782.608695652176</v>
      </c>
      <c r="L38" s="14">
        <v>2.2999999999999998</v>
      </c>
      <c r="M38" s="15"/>
      <c r="N38" s="15">
        <v>1400</v>
      </c>
      <c r="O38" s="60">
        <v>60869.565217391304</v>
      </c>
      <c r="P38" s="14">
        <v>2.2999999999999998</v>
      </c>
    </row>
    <row r="39" spans="1:16384" customFormat="1">
      <c r="A39" s="10" t="s">
        <v>44</v>
      </c>
      <c r="B39" s="15">
        <v>3230</v>
      </c>
      <c r="C39" s="60">
        <v>55689.655172413797</v>
      </c>
      <c r="D39" s="14">
        <v>5.8</v>
      </c>
      <c r="E39" s="15"/>
      <c r="F39" s="15">
        <v>2345</v>
      </c>
      <c r="G39" s="60">
        <v>55833.333333333328</v>
      </c>
      <c r="H39" s="14">
        <v>4.2</v>
      </c>
      <c r="I39" s="15"/>
      <c r="J39" s="15">
        <v>2340</v>
      </c>
      <c r="K39" s="60">
        <v>55714.28571428571</v>
      </c>
      <c r="L39" s="14">
        <v>4.2</v>
      </c>
      <c r="M39" s="15"/>
      <c r="N39" s="15">
        <v>2265</v>
      </c>
      <c r="O39" s="60">
        <v>55243.902439024394</v>
      </c>
      <c r="P39" s="14">
        <v>4.0999999999999996</v>
      </c>
    </row>
    <row r="40" spans="1:16384" customFormat="1">
      <c r="A40" s="10" t="s">
        <v>45</v>
      </c>
      <c r="B40" s="15">
        <v>4215</v>
      </c>
      <c r="C40" s="60">
        <v>120428.57142857142</v>
      </c>
      <c r="D40" s="14">
        <v>3.5</v>
      </c>
      <c r="E40" s="15"/>
      <c r="F40" s="15">
        <v>3045</v>
      </c>
      <c r="G40" s="60">
        <v>117115.38461538461</v>
      </c>
      <c r="H40" s="14">
        <v>2.6</v>
      </c>
      <c r="I40" s="15"/>
      <c r="J40" s="15">
        <v>2940</v>
      </c>
      <c r="K40" s="60">
        <v>117600</v>
      </c>
      <c r="L40" s="14">
        <v>2.5</v>
      </c>
      <c r="M40" s="15"/>
      <c r="N40" s="15">
        <v>3100</v>
      </c>
      <c r="O40" s="60">
        <v>119230.76923076922</v>
      </c>
      <c r="P40" s="14">
        <v>2.6</v>
      </c>
    </row>
    <row r="41" spans="1:16384" customFormat="1">
      <c r="A41" s="10" t="s">
        <v>46</v>
      </c>
      <c r="B41" s="15">
        <v>147615</v>
      </c>
      <c r="C41" s="60">
        <v>3514642.8571428568</v>
      </c>
      <c r="D41" s="14">
        <v>4.2</v>
      </c>
      <c r="F41" s="15">
        <v>106930</v>
      </c>
      <c r="G41" s="60">
        <v>3449354.8387096776</v>
      </c>
      <c r="H41" s="14">
        <v>3.1</v>
      </c>
      <c r="I41" s="15"/>
      <c r="J41" s="15">
        <v>103805</v>
      </c>
      <c r="K41" s="60">
        <v>3460166.666666667</v>
      </c>
      <c r="L41" s="14">
        <v>3</v>
      </c>
      <c r="M41" s="15"/>
      <c r="N41" s="15">
        <v>111400</v>
      </c>
      <c r="O41" s="60">
        <v>3481250</v>
      </c>
      <c r="P41" s="14">
        <v>3.2</v>
      </c>
    </row>
    <row r="42" spans="1:16384" customFormat="1">
      <c r="A42" s="10" t="s">
        <v>47</v>
      </c>
      <c r="B42" s="15">
        <v>1957735</v>
      </c>
      <c r="C42" s="60">
        <v>42559456.521739133</v>
      </c>
      <c r="D42" s="14">
        <v>4.5999999999999996</v>
      </c>
      <c r="F42" s="15">
        <v>1489340</v>
      </c>
      <c r="G42" s="60">
        <v>42552571.428571425</v>
      </c>
      <c r="H42" s="14">
        <v>3.5</v>
      </c>
      <c r="I42" s="15"/>
      <c r="J42" s="15">
        <v>1524915</v>
      </c>
      <c r="K42" s="60">
        <v>42358749.999999993</v>
      </c>
      <c r="L42" s="14">
        <v>3.6</v>
      </c>
      <c r="M42" s="15"/>
      <c r="N42" s="15">
        <v>1791725</v>
      </c>
      <c r="O42" s="60">
        <v>42660119.047619045</v>
      </c>
      <c r="P42" s="14">
        <v>4.2</v>
      </c>
    </row>
    <row r="43" spans="1:16384" customFormat="1">
      <c r="A43" s="10" t="s">
        <v>156</v>
      </c>
      <c r="B43" s="15" cm="1">
        <f t="array" ref="B43">SUM(SUMIFS(B$9:B$40,$A$9:$A$40,{"Aberdeen City","Aberdeenshire"}))</f>
        <v>11155</v>
      </c>
      <c r="C43" s="15" cm="1">
        <f t="array" ref="C43">SUM(SUMIFS(C$9:C$40,$A$9:$A$40,{"Aberdeen City","Aberdeenshire"}))</f>
        <v>316414.1414141414</v>
      </c>
      <c r="D43" s="14">
        <f t="shared" ref="D43:D47" si="0">SUM(B43/C43)*100</f>
        <v>3.5254429369513165</v>
      </c>
      <c r="E43" s="15"/>
      <c r="F43" s="15" cm="1">
        <f t="array" ref="F43">SUM(SUMIFS(F$9:F$40,$A$9:$A$40,{"Aberdeen City","Aberdeenshire"}))</f>
        <v>8010</v>
      </c>
      <c r="G43" s="15" cm="1">
        <f t="array" ref="G43">SUM(SUMIFS(G$9:G$40,$A$9:$A$40,{"Aberdeen City","Aberdeenshire"}))</f>
        <v>315580.80808080803</v>
      </c>
      <c r="H43" s="14">
        <f t="shared" ref="H43:H47" si="1">SUM(F43/G43)*100</f>
        <v>2.538177162519005</v>
      </c>
      <c r="I43" s="15"/>
      <c r="J43" s="15" cm="1">
        <f t="array" ref="J43">SUM(SUMIFS(J$9:J$40,$A$9:$A$40,{"Aberdeen City","Aberdeenshire"}))</f>
        <v>7395</v>
      </c>
      <c r="K43" s="15" cm="1">
        <f t="array" ref="K43">SUM(SUMIFS(K$9:K$40,$A$9:$A$40,{"Aberdeen City","Aberdeenshire"}))</f>
        <v>317490.19607843139</v>
      </c>
      <c r="L43" s="14">
        <f t="shared" ref="L43:L47" si="2">SUM(J43/K43)*100</f>
        <v>2.3292057806324111</v>
      </c>
      <c r="M43" s="15"/>
      <c r="N43" s="15" cm="1">
        <f t="array" ref="N43">SUM(SUMIFS(N$9:N$40,$A$9:$A$40,{"Aberdeen City","Aberdeenshire"}))</f>
        <v>7925</v>
      </c>
      <c r="O43" s="15" cm="1">
        <f t="array" ref="O43">SUM(SUMIFS(O$9:O$40,$A$9:$A$40,{"Aberdeen City","Aberdeenshire"}))</f>
        <v>319357.63888888888</v>
      </c>
      <c r="P43" s="14">
        <f t="shared" ref="P43:P47" si="3">SUM(N43/O43)*100</f>
        <v>2.4815438977983146</v>
      </c>
      <c r="Q43" s="10"/>
      <c r="R43" s="15"/>
      <c r="S43" s="15"/>
      <c r="T43" s="14"/>
      <c r="U43" s="15"/>
      <c r="V43" s="15"/>
      <c r="W43" s="15"/>
      <c r="X43" s="14"/>
      <c r="Y43" s="15"/>
      <c r="Z43" s="15"/>
      <c r="AA43" s="15"/>
      <c r="AB43" s="14"/>
      <c r="AC43" s="15"/>
      <c r="AD43" s="15"/>
      <c r="AE43" s="15"/>
      <c r="AF43" s="14"/>
      <c r="AG43" s="10"/>
      <c r="AH43" s="15"/>
      <c r="AI43" s="15"/>
      <c r="AJ43" s="14"/>
      <c r="AK43" s="15"/>
      <c r="AL43" s="15"/>
      <c r="AM43" s="15"/>
      <c r="AN43" s="14"/>
      <c r="AO43" s="15"/>
      <c r="AP43" s="15"/>
      <c r="AQ43" s="15"/>
      <c r="AR43" s="14"/>
      <c r="AS43" s="15"/>
      <c r="AT43" s="15"/>
      <c r="AU43" s="15"/>
      <c r="AV43" s="14"/>
      <c r="AW43" s="10"/>
      <c r="AX43" s="15"/>
      <c r="AY43" s="15"/>
      <c r="AZ43" s="14"/>
      <c r="BA43" s="15"/>
      <c r="BB43" s="15"/>
      <c r="BC43" s="15"/>
      <c r="BD43" s="14"/>
      <c r="BE43" s="15"/>
      <c r="BF43" s="15"/>
      <c r="BG43" s="15"/>
      <c r="BH43" s="14"/>
      <c r="BI43" s="15"/>
      <c r="BJ43" s="15"/>
      <c r="BK43" s="15"/>
      <c r="BL43" s="14"/>
      <c r="BM43" s="10"/>
      <c r="BN43" s="15"/>
      <c r="BO43" s="15"/>
      <c r="BP43" s="14"/>
      <c r="BQ43" s="15"/>
      <c r="BR43" s="15"/>
      <c r="BS43" s="15"/>
      <c r="BT43" s="14"/>
      <c r="BU43" s="15"/>
      <c r="BV43" s="15"/>
      <c r="BW43" s="15"/>
      <c r="BX43" s="14"/>
      <c r="BY43" s="15"/>
      <c r="BZ43" s="15"/>
      <c r="CA43" s="15"/>
      <c r="CB43" s="14"/>
      <c r="CC43" s="10"/>
      <c r="CD43" s="15"/>
      <c r="CE43" s="15"/>
      <c r="CF43" s="14"/>
      <c r="CG43" s="15"/>
      <c r="CH43" s="15"/>
      <c r="CI43" s="15"/>
      <c r="CJ43" s="14"/>
      <c r="CK43" s="15"/>
      <c r="CL43" s="15"/>
      <c r="CM43" s="15"/>
      <c r="CN43" s="14"/>
      <c r="CO43" s="15"/>
      <c r="CP43" s="15"/>
      <c r="CQ43" s="15"/>
      <c r="CR43" s="14"/>
      <c r="CS43" s="10"/>
      <c r="CT43" s="15"/>
      <c r="CU43" s="15"/>
      <c r="CV43" s="14"/>
      <c r="CW43" s="15"/>
      <c r="CX43" s="15"/>
      <c r="CY43" s="15"/>
      <c r="CZ43" s="14"/>
      <c r="DA43" s="15"/>
      <c r="DB43" s="15"/>
      <c r="DC43" s="15"/>
      <c r="DD43" s="14"/>
      <c r="DE43" s="15"/>
      <c r="DF43" s="15"/>
      <c r="DG43" s="15"/>
      <c r="DH43" s="14"/>
      <c r="DI43" s="10"/>
      <c r="DJ43" s="15"/>
      <c r="DK43" s="15"/>
      <c r="DL43" s="14"/>
      <c r="DM43" s="15"/>
      <c r="DN43" s="15"/>
      <c r="DO43" s="15"/>
      <c r="DP43" s="14"/>
      <c r="DQ43" s="15"/>
      <c r="DR43" s="15"/>
      <c r="DS43" s="15"/>
      <c r="DT43" s="14"/>
      <c r="DU43" s="15"/>
      <c r="DV43" s="15"/>
      <c r="DW43" s="15"/>
      <c r="DX43" s="14"/>
      <c r="DY43" s="10"/>
      <c r="DZ43" s="15"/>
      <c r="EA43" s="15"/>
      <c r="EB43" s="14"/>
      <c r="EC43" s="15"/>
      <c r="ED43" s="15"/>
      <c r="EE43" s="15"/>
      <c r="EF43" s="14"/>
      <c r="EG43" s="15"/>
      <c r="EH43" s="15"/>
      <c r="EI43" s="15"/>
      <c r="EJ43" s="14"/>
      <c r="EK43" s="15"/>
      <c r="EL43" s="15"/>
      <c r="EM43" s="15"/>
      <c r="EN43" s="14"/>
      <c r="EO43" s="10"/>
      <c r="EP43" s="15"/>
      <c r="EQ43" s="15"/>
      <c r="ER43" s="14"/>
      <c r="ES43" s="15"/>
      <c r="ET43" s="15"/>
      <c r="EU43" s="15"/>
      <c r="EV43" s="14"/>
      <c r="EW43" s="15"/>
      <c r="EX43" s="15"/>
      <c r="EY43" s="15"/>
      <c r="EZ43" s="14"/>
      <c r="FA43" s="15"/>
      <c r="FB43" s="15"/>
      <c r="FC43" s="15"/>
      <c r="FD43" s="14"/>
      <c r="FE43" s="10"/>
      <c r="FF43" s="15"/>
      <c r="FG43" s="15"/>
      <c r="FH43" s="14"/>
      <c r="FI43" s="15"/>
      <c r="FJ43" s="15"/>
      <c r="FK43" s="15"/>
      <c r="FL43" s="14"/>
      <c r="FM43" s="15"/>
      <c r="FN43" s="15"/>
      <c r="FO43" s="15"/>
      <c r="FP43" s="14"/>
      <c r="FQ43" s="15"/>
      <c r="FR43" s="15"/>
      <c r="FS43" s="15"/>
      <c r="FT43" s="14"/>
      <c r="FU43" s="10"/>
      <c r="FV43" s="15"/>
      <c r="FW43" s="15"/>
      <c r="FX43" s="14"/>
      <c r="FY43" s="15"/>
      <c r="FZ43" s="15"/>
      <c r="GA43" s="15"/>
      <c r="GB43" s="14"/>
      <c r="GC43" s="15"/>
      <c r="GD43" s="15"/>
      <c r="GE43" s="15"/>
      <c r="GF43" s="14"/>
      <c r="GG43" s="15"/>
      <c r="GH43" s="15"/>
      <c r="GI43" s="15"/>
      <c r="GJ43" s="14"/>
      <c r="GK43" s="10"/>
      <c r="GL43" s="15"/>
      <c r="GM43" s="15"/>
      <c r="GN43" s="14"/>
      <c r="GO43" s="15"/>
      <c r="GP43" s="15"/>
      <c r="GQ43" s="15"/>
      <c r="GR43" s="14"/>
      <c r="GS43" s="15"/>
      <c r="GT43" s="15"/>
      <c r="GU43" s="15"/>
      <c r="GV43" s="14"/>
      <c r="GW43" s="15"/>
      <c r="GX43" s="15"/>
      <c r="GY43" s="15"/>
      <c r="GZ43" s="14"/>
      <c r="HA43" s="10"/>
      <c r="HB43" s="15"/>
      <c r="HC43" s="15"/>
      <c r="HD43" s="14"/>
      <c r="HE43" s="15"/>
      <c r="HF43" s="15"/>
      <c r="HG43" s="15"/>
      <c r="HH43" s="14"/>
      <c r="HI43" s="15"/>
      <c r="HJ43" s="15"/>
      <c r="HK43" s="15"/>
      <c r="HL43" s="14"/>
      <c r="HM43" s="15"/>
      <c r="HN43" s="15"/>
      <c r="HO43" s="15"/>
      <c r="HP43" s="14"/>
      <c r="HQ43" s="10"/>
      <c r="HR43" s="15"/>
      <c r="HS43" s="15"/>
      <c r="HT43" s="14"/>
      <c r="HU43" s="15"/>
      <c r="HV43" s="15"/>
      <c r="HW43" s="15"/>
      <c r="HX43" s="14"/>
      <c r="HY43" s="15"/>
      <c r="HZ43" s="15"/>
      <c r="IA43" s="15"/>
      <c r="IB43" s="14"/>
      <c r="IC43" s="15"/>
      <c r="ID43" s="15"/>
      <c r="IE43" s="15"/>
      <c r="IF43" s="14"/>
      <c r="IG43" s="10"/>
      <c r="IH43" s="15"/>
      <c r="II43" s="15"/>
      <c r="IJ43" s="14"/>
      <c r="IK43" s="15"/>
      <c r="IL43" s="15"/>
      <c r="IM43" s="15"/>
      <c r="IN43" s="14"/>
      <c r="IO43" s="15"/>
      <c r="IP43" s="15"/>
      <c r="IQ43" s="15"/>
      <c r="IR43" s="14"/>
      <c r="IS43" s="15"/>
      <c r="IT43" s="15"/>
      <c r="IU43" s="15"/>
      <c r="IV43" s="14"/>
      <c r="IW43" s="10"/>
      <c r="IX43" s="15"/>
      <c r="IY43" s="15"/>
      <c r="IZ43" s="14"/>
      <c r="JA43" s="15"/>
      <c r="JB43" s="15"/>
      <c r="JC43" s="15"/>
      <c r="JD43" s="14"/>
      <c r="JE43" s="15"/>
      <c r="JF43" s="15"/>
      <c r="JG43" s="15"/>
      <c r="JH43" s="14"/>
      <c r="JI43" s="15"/>
      <c r="JJ43" s="15"/>
      <c r="JK43" s="15"/>
      <c r="JL43" s="14"/>
      <c r="JM43" s="10"/>
      <c r="JN43" s="15"/>
      <c r="JO43" s="15"/>
      <c r="JP43" s="14"/>
      <c r="JQ43" s="15"/>
      <c r="JR43" s="15"/>
      <c r="JS43" s="15"/>
      <c r="JT43" s="14"/>
      <c r="JU43" s="15"/>
      <c r="JV43" s="15"/>
      <c r="JW43" s="15"/>
      <c r="JX43" s="14"/>
      <c r="JY43" s="15"/>
      <c r="JZ43" s="15"/>
      <c r="KA43" s="15"/>
      <c r="KB43" s="14"/>
      <c r="KC43" s="10"/>
      <c r="KD43" s="15"/>
      <c r="KE43" s="15"/>
      <c r="KF43" s="14"/>
      <c r="KG43" s="15"/>
      <c r="KH43" s="15"/>
      <c r="KI43" s="15"/>
      <c r="KJ43" s="14"/>
      <c r="KK43" s="15"/>
      <c r="KL43" s="15"/>
      <c r="KM43" s="15"/>
      <c r="KN43" s="14"/>
      <c r="KO43" s="15"/>
      <c r="KP43" s="15"/>
      <c r="KQ43" s="15"/>
      <c r="KR43" s="14"/>
      <c r="KS43" s="10"/>
      <c r="KT43" s="15"/>
      <c r="KU43" s="15"/>
      <c r="KV43" s="14"/>
      <c r="KW43" s="15"/>
      <c r="KX43" s="15"/>
      <c r="KY43" s="15"/>
      <c r="KZ43" s="14"/>
      <c r="LA43" s="15"/>
      <c r="LB43" s="15"/>
      <c r="LC43" s="15"/>
      <c r="LD43" s="14"/>
      <c r="LE43" s="15"/>
      <c r="LF43" s="15"/>
      <c r="LG43" s="15"/>
      <c r="LH43" s="14"/>
      <c r="LI43" s="10"/>
      <c r="LJ43" s="15"/>
      <c r="LK43" s="15"/>
      <c r="LL43" s="14"/>
      <c r="LM43" s="15"/>
      <c r="LN43" s="15"/>
      <c r="LO43" s="15"/>
      <c r="LP43" s="14"/>
      <c r="LQ43" s="15"/>
      <c r="LR43" s="15"/>
      <c r="LS43" s="15"/>
      <c r="LT43" s="14"/>
      <c r="LU43" s="15"/>
      <c r="LV43" s="15"/>
      <c r="LW43" s="15"/>
      <c r="LX43" s="14"/>
      <c r="LY43" s="10"/>
      <c r="LZ43" s="15"/>
      <c r="MA43" s="15"/>
      <c r="MB43" s="14"/>
      <c r="MC43" s="15"/>
      <c r="MD43" s="15"/>
      <c r="ME43" s="15"/>
      <c r="MF43" s="14"/>
      <c r="MG43" s="15"/>
      <c r="MH43" s="15"/>
      <c r="MI43" s="15"/>
      <c r="MJ43" s="14"/>
      <c r="MK43" s="15"/>
      <c r="ML43" s="15"/>
      <c r="MM43" s="15"/>
      <c r="MN43" s="14"/>
      <c r="MO43" s="10"/>
      <c r="MP43" s="15"/>
      <c r="MQ43" s="15"/>
      <c r="MR43" s="14"/>
      <c r="MS43" s="15"/>
      <c r="MT43" s="15"/>
      <c r="MU43" s="15"/>
      <c r="MV43" s="14"/>
      <c r="MW43" s="15"/>
      <c r="MX43" s="15"/>
      <c r="MY43" s="15"/>
      <c r="MZ43" s="14"/>
      <c r="NA43" s="15"/>
      <c r="NB43" s="15"/>
      <c r="NC43" s="15"/>
      <c r="ND43" s="14"/>
      <c r="NE43" s="10"/>
      <c r="NF43" s="15"/>
      <c r="NG43" s="15"/>
      <c r="NH43" s="14"/>
      <c r="NI43" s="15"/>
      <c r="NJ43" s="15"/>
      <c r="NK43" s="15"/>
      <c r="NL43" s="14"/>
      <c r="NM43" s="15"/>
      <c r="NN43" s="15"/>
      <c r="NO43" s="15"/>
      <c r="NP43" s="14"/>
      <c r="NQ43" s="15"/>
      <c r="NR43" s="15"/>
      <c r="NS43" s="15"/>
      <c r="NT43" s="14"/>
      <c r="NU43" s="10"/>
      <c r="NV43" s="15"/>
      <c r="NW43" s="15"/>
      <c r="NX43" s="14"/>
      <c r="NY43" s="15"/>
      <c r="NZ43" s="15"/>
      <c r="OA43" s="15"/>
      <c r="OB43" s="14"/>
      <c r="OC43" s="15"/>
      <c r="OD43" s="15"/>
      <c r="OE43" s="15"/>
      <c r="OF43" s="14"/>
      <c r="OG43" s="15"/>
      <c r="OH43" s="15"/>
      <c r="OI43" s="15"/>
      <c r="OJ43" s="14"/>
      <c r="OK43" s="10"/>
      <c r="OL43" s="15"/>
      <c r="OM43" s="15"/>
      <c r="ON43" s="14"/>
      <c r="OO43" s="15"/>
      <c r="OP43" s="15"/>
      <c r="OQ43" s="15"/>
      <c r="OR43" s="14"/>
      <c r="OS43" s="15"/>
      <c r="OT43" s="15"/>
      <c r="OU43" s="15"/>
      <c r="OV43" s="14"/>
      <c r="OW43" s="15"/>
      <c r="OX43" s="15"/>
      <c r="OY43" s="15"/>
      <c r="OZ43" s="14"/>
      <c r="PA43" s="10"/>
      <c r="PB43" s="15"/>
      <c r="PC43" s="15"/>
      <c r="PD43" s="14"/>
      <c r="PE43" s="15"/>
      <c r="PF43" s="15"/>
      <c r="PG43" s="15"/>
      <c r="PH43" s="14"/>
      <c r="PI43" s="15"/>
      <c r="PJ43" s="15"/>
      <c r="PK43" s="15"/>
      <c r="PL43" s="14"/>
      <c r="PM43" s="15"/>
      <c r="PN43" s="15"/>
      <c r="PO43" s="15"/>
      <c r="PP43" s="14"/>
      <c r="PQ43" s="10"/>
      <c r="PR43" s="15"/>
      <c r="PS43" s="15"/>
      <c r="PT43" s="14"/>
      <c r="PU43" s="15"/>
      <c r="PV43" s="15"/>
      <c r="PW43" s="15"/>
      <c r="PX43" s="14"/>
      <c r="PY43" s="15"/>
      <c r="PZ43" s="15"/>
      <c r="QA43" s="15"/>
      <c r="QB43" s="14"/>
      <c r="QC43" s="15"/>
      <c r="QD43" s="15"/>
      <c r="QE43" s="15"/>
      <c r="QF43" s="14"/>
      <c r="QG43" s="10"/>
      <c r="QH43" s="15"/>
      <c r="QI43" s="15"/>
      <c r="QJ43" s="14"/>
      <c r="QK43" s="15"/>
      <c r="QL43" s="15"/>
      <c r="QM43" s="15"/>
      <c r="QN43" s="14"/>
      <c r="QO43" s="15"/>
      <c r="QP43" s="15"/>
      <c r="QQ43" s="15"/>
      <c r="QR43" s="14"/>
      <c r="QS43" s="15"/>
      <c r="QT43" s="15"/>
      <c r="QU43" s="15"/>
      <c r="QV43" s="14"/>
      <c r="QW43" s="10"/>
      <c r="QX43" s="15"/>
      <c r="QY43" s="15"/>
      <c r="QZ43" s="14"/>
      <c r="RA43" s="15"/>
      <c r="RB43" s="15"/>
      <c r="RC43" s="15"/>
      <c r="RD43" s="14"/>
      <c r="RE43" s="15"/>
      <c r="RF43" s="15"/>
      <c r="RG43" s="15"/>
      <c r="RH43" s="14"/>
      <c r="RI43" s="15"/>
      <c r="RJ43" s="15"/>
      <c r="RK43" s="15"/>
      <c r="RL43" s="14"/>
      <c r="RM43" s="10"/>
      <c r="RN43" s="15"/>
      <c r="RO43" s="15"/>
      <c r="RP43" s="14"/>
      <c r="RQ43" s="15"/>
      <c r="RR43" s="15"/>
      <c r="RS43" s="15"/>
      <c r="RT43" s="14"/>
      <c r="RU43" s="15"/>
      <c r="RV43" s="15"/>
      <c r="RW43" s="15"/>
      <c r="RX43" s="14"/>
      <c r="RY43" s="15"/>
      <c r="RZ43" s="15"/>
      <c r="SA43" s="15"/>
      <c r="SB43" s="14"/>
      <c r="SC43" s="10"/>
      <c r="SD43" s="15"/>
      <c r="SE43" s="15"/>
      <c r="SF43" s="14"/>
      <c r="SG43" s="15"/>
      <c r="SH43" s="15"/>
      <c r="SI43" s="15"/>
      <c r="SJ43" s="14"/>
      <c r="SK43" s="15"/>
      <c r="SL43" s="15"/>
      <c r="SM43" s="15"/>
      <c r="SN43" s="14"/>
      <c r="SO43" s="15"/>
      <c r="SP43" s="15"/>
      <c r="SQ43" s="15"/>
      <c r="SR43" s="14"/>
      <c r="SS43" s="10"/>
      <c r="ST43" s="15"/>
      <c r="SU43" s="15"/>
      <c r="SV43" s="14"/>
      <c r="SW43" s="15"/>
      <c r="SX43" s="15"/>
      <c r="SY43" s="15"/>
      <c r="SZ43" s="14"/>
      <c r="TA43" s="15"/>
      <c r="TB43" s="15"/>
      <c r="TC43" s="15"/>
      <c r="TD43" s="14"/>
      <c r="TE43" s="15"/>
      <c r="TF43" s="15"/>
      <c r="TG43" s="15"/>
      <c r="TH43" s="14"/>
      <c r="TI43" s="10"/>
      <c r="TJ43" s="15"/>
      <c r="TK43" s="15"/>
      <c r="TL43" s="14"/>
      <c r="TM43" s="15"/>
      <c r="TN43" s="15"/>
      <c r="TO43" s="15"/>
      <c r="TP43" s="14"/>
      <c r="TQ43" s="15"/>
      <c r="TR43" s="15"/>
      <c r="TS43" s="15"/>
      <c r="TT43" s="14"/>
      <c r="TU43" s="15"/>
      <c r="TV43" s="15"/>
      <c r="TW43" s="15"/>
      <c r="TX43" s="14"/>
      <c r="TY43" s="10"/>
      <c r="TZ43" s="15"/>
      <c r="UA43" s="15"/>
      <c r="UB43" s="14"/>
      <c r="UC43" s="15"/>
      <c r="UD43" s="15"/>
      <c r="UE43" s="15"/>
      <c r="UF43" s="14"/>
      <c r="UG43" s="15"/>
      <c r="UH43" s="15"/>
      <c r="UI43" s="15"/>
      <c r="UJ43" s="14"/>
      <c r="UK43" s="15"/>
      <c r="UL43" s="15"/>
      <c r="UM43" s="15"/>
      <c r="UN43" s="14"/>
      <c r="UO43" s="10"/>
      <c r="UP43" s="15"/>
      <c r="UQ43" s="15"/>
      <c r="UR43" s="14"/>
      <c r="US43" s="15"/>
      <c r="UT43" s="15"/>
      <c r="UU43" s="15"/>
      <c r="UV43" s="14"/>
      <c r="UW43" s="15"/>
      <c r="UX43" s="15"/>
      <c r="UY43" s="15"/>
      <c r="UZ43" s="14"/>
      <c r="VA43" s="15"/>
      <c r="VB43" s="15"/>
      <c r="VC43" s="15"/>
      <c r="VD43" s="14"/>
      <c r="VE43" s="10"/>
      <c r="VF43" s="15"/>
      <c r="VG43" s="15"/>
      <c r="VH43" s="14"/>
      <c r="VI43" s="15"/>
      <c r="VJ43" s="15"/>
      <c r="VK43" s="15"/>
      <c r="VL43" s="14"/>
      <c r="VM43" s="15"/>
      <c r="VN43" s="15"/>
      <c r="VO43" s="15"/>
      <c r="VP43" s="14"/>
      <c r="VQ43" s="15"/>
      <c r="VR43" s="15"/>
      <c r="VS43" s="15"/>
      <c r="VT43" s="14"/>
      <c r="VU43" s="10"/>
      <c r="VV43" s="15"/>
      <c r="VW43" s="15"/>
      <c r="VX43" s="14"/>
      <c r="VY43" s="15"/>
      <c r="VZ43" s="15"/>
      <c r="WA43" s="15"/>
      <c r="WB43" s="14"/>
      <c r="WC43" s="15"/>
      <c r="WD43" s="15"/>
      <c r="WE43" s="15"/>
      <c r="WF43" s="14"/>
      <c r="WG43" s="15"/>
      <c r="WH43" s="15"/>
      <c r="WI43" s="15"/>
      <c r="WJ43" s="14"/>
      <c r="WK43" s="10"/>
      <c r="WL43" s="15"/>
      <c r="WM43" s="15"/>
      <c r="WN43" s="14"/>
      <c r="WO43" s="15"/>
      <c r="WP43" s="15"/>
      <c r="WQ43" s="15"/>
      <c r="WR43" s="14"/>
      <c r="WS43" s="15"/>
      <c r="WT43" s="15"/>
      <c r="WU43" s="15"/>
      <c r="WV43" s="14"/>
      <c r="WW43" s="15"/>
      <c r="WX43" s="15"/>
      <c r="WY43" s="15"/>
      <c r="WZ43" s="14"/>
      <c r="XA43" s="10"/>
      <c r="XB43" s="15"/>
      <c r="XC43" s="15"/>
      <c r="XD43" s="14"/>
      <c r="XE43" s="15"/>
      <c r="XF43" s="15"/>
      <c r="XG43" s="15"/>
      <c r="XH43" s="14"/>
      <c r="XI43" s="15"/>
      <c r="XJ43" s="15"/>
      <c r="XK43" s="15"/>
      <c r="XL43" s="14"/>
      <c r="XM43" s="15"/>
      <c r="XN43" s="15"/>
      <c r="XO43" s="15"/>
      <c r="XP43" s="14"/>
      <c r="XQ43" s="10"/>
      <c r="XR43" s="15"/>
      <c r="XS43" s="15"/>
      <c r="XT43" s="14"/>
      <c r="XU43" s="15"/>
      <c r="XV43" s="15"/>
      <c r="XW43" s="15"/>
      <c r="XX43" s="14"/>
      <c r="XY43" s="15"/>
      <c r="XZ43" s="15"/>
      <c r="YA43" s="15"/>
      <c r="YB43" s="14"/>
      <c r="YC43" s="15"/>
      <c r="YD43" s="15"/>
      <c r="YE43" s="15"/>
      <c r="YF43" s="14"/>
      <c r="YG43" s="10"/>
      <c r="YH43" s="15"/>
      <c r="YI43" s="15"/>
      <c r="YJ43" s="14"/>
      <c r="YK43" s="15"/>
      <c r="YL43" s="15"/>
      <c r="YM43" s="15"/>
      <c r="YN43" s="14"/>
      <c r="YO43" s="15"/>
      <c r="YP43" s="15"/>
      <c r="YQ43" s="15"/>
      <c r="YR43" s="14"/>
      <c r="YS43" s="15"/>
      <c r="YT43" s="15"/>
      <c r="YU43" s="15"/>
      <c r="YV43" s="14"/>
      <c r="YW43" s="10"/>
      <c r="YX43" s="15"/>
      <c r="YY43" s="15"/>
      <c r="YZ43" s="14"/>
      <c r="ZA43" s="15"/>
      <c r="ZB43" s="15"/>
      <c r="ZC43" s="15"/>
      <c r="ZD43" s="14"/>
      <c r="ZE43" s="15"/>
      <c r="ZF43" s="15"/>
      <c r="ZG43" s="15"/>
      <c r="ZH43" s="14"/>
      <c r="ZI43" s="15"/>
      <c r="ZJ43" s="15"/>
      <c r="ZK43" s="15"/>
      <c r="ZL43" s="14"/>
      <c r="ZM43" s="10"/>
      <c r="ZN43" s="15"/>
      <c r="ZO43" s="15"/>
      <c r="ZP43" s="14"/>
      <c r="ZQ43" s="15"/>
      <c r="ZR43" s="15"/>
      <c r="ZS43" s="15"/>
      <c r="ZT43" s="14"/>
      <c r="ZU43" s="15"/>
      <c r="ZV43" s="15"/>
      <c r="ZW43" s="15"/>
      <c r="ZX43" s="14"/>
      <c r="ZY43" s="15"/>
      <c r="ZZ43" s="15"/>
      <c r="AAA43" s="15"/>
      <c r="AAB43" s="14"/>
      <c r="AAC43" s="10"/>
      <c r="AAD43" s="15"/>
      <c r="AAE43" s="15"/>
      <c r="AAF43" s="14"/>
      <c r="AAG43" s="15"/>
      <c r="AAH43" s="15"/>
      <c r="AAI43" s="15"/>
      <c r="AAJ43" s="14"/>
      <c r="AAK43" s="15"/>
      <c r="AAL43" s="15"/>
      <c r="AAM43" s="15"/>
      <c r="AAN43" s="14"/>
      <c r="AAO43" s="15"/>
      <c r="AAP43" s="15"/>
      <c r="AAQ43" s="15"/>
      <c r="AAR43" s="14"/>
      <c r="AAS43" s="10"/>
      <c r="AAT43" s="15"/>
      <c r="AAU43" s="15"/>
      <c r="AAV43" s="14"/>
      <c r="AAW43" s="15"/>
      <c r="AAX43" s="15"/>
      <c r="AAY43" s="15"/>
      <c r="AAZ43" s="14"/>
      <c r="ABA43" s="15"/>
      <c r="ABB43" s="15"/>
      <c r="ABC43" s="15"/>
      <c r="ABD43" s="14"/>
      <c r="ABE43" s="15"/>
      <c r="ABF43" s="15"/>
      <c r="ABG43" s="15"/>
      <c r="ABH43" s="14"/>
      <c r="ABI43" s="10"/>
      <c r="ABJ43" s="15"/>
      <c r="ABK43" s="15"/>
      <c r="ABL43" s="14"/>
      <c r="ABM43" s="15"/>
      <c r="ABN43" s="15"/>
      <c r="ABO43" s="15"/>
      <c r="ABP43" s="14"/>
      <c r="ABQ43" s="15"/>
      <c r="ABR43" s="15"/>
      <c r="ABS43" s="15"/>
      <c r="ABT43" s="14"/>
      <c r="ABU43" s="15"/>
      <c r="ABV43" s="15"/>
      <c r="ABW43" s="15"/>
      <c r="ABX43" s="14"/>
      <c r="ABY43" s="10"/>
      <c r="ABZ43" s="15"/>
      <c r="ACA43" s="15"/>
      <c r="ACB43" s="14"/>
      <c r="ACC43" s="15"/>
      <c r="ACD43" s="15"/>
      <c r="ACE43" s="15"/>
      <c r="ACF43" s="14"/>
      <c r="ACG43" s="15"/>
      <c r="ACH43" s="15"/>
      <c r="ACI43" s="15"/>
      <c r="ACJ43" s="14"/>
      <c r="ACK43" s="15"/>
      <c r="ACL43" s="15"/>
      <c r="ACM43" s="15"/>
      <c r="ACN43" s="14"/>
      <c r="ACO43" s="10"/>
      <c r="ACP43" s="15"/>
      <c r="ACQ43" s="15"/>
      <c r="ACR43" s="14"/>
      <c r="ACS43" s="15"/>
      <c r="ACT43" s="15"/>
      <c r="ACU43" s="15"/>
      <c r="ACV43" s="14"/>
      <c r="ACW43" s="15"/>
      <c r="ACX43" s="15"/>
      <c r="ACY43" s="15"/>
      <c r="ACZ43" s="14"/>
      <c r="ADA43" s="15"/>
      <c r="ADB43" s="15"/>
      <c r="ADC43" s="15"/>
      <c r="ADD43" s="14"/>
      <c r="ADE43" s="10"/>
      <c r="ADF43" s="15"/>
      <c r="ADG43" s="15"/>
      <c r="ADH43" s="14"/>
      <c r="ADI43" s="15"/>
      <c r="ADJ43" s="15"/>
      <c r="ADK43" s="15"/>
      <c r="ADL43" s="14"/>
      <c r="ADM43" s="15"/>
      <c r="ADN43" s="15"/>
      <c r="ADO43" s="15"/>
      <c r="ADP43" s="14"/>
      <c r="ADQ43" s="15"/>
      <c r="ADR43" s="15"/>
      <c r="ADS43" s="15"/>
      <c r="ADT43" s="14"/>
      <c r="ADU43" s="10"/>
      <c r="ADV43" s="15"/>
      <c r="ADW43" s="15"/>
      <c r="ADX43" s="14"/>
      <c r="ADY43" s="15"/>
      <c r="ADZ43" s="15"/>
      <c r="AEA43" s="15"/>
      <c r="AEB43" s="14"/>
      <c r="AEC43" s="15"/>
      <c r="AED43" s="15"/>
      <c r="AEE43" s="15"/>
      <c r="AEF43" s="14"/>
      <c r="AEG43" s="15"/>
      <c r="AEH43" s="15"/>
      <c r="AEI43" s="15"/>
      <c r="AEJ43" s="14"/>
      <c r="AEK43" s="10"/>
      <c r="AEL43" s="15"/>
      <c r="AEM43" s="15"/>
      <c r="AEN43" s="14"/>
      <c r="AEO43" s="15"/>
      <c r="AEP43" s="15"/>
      <c r="AEQ43" s="15"/>
      <c r="AER43" s="14"/>
      <c r="AES43" s="15"/>
      <c r="AET43" s="15"/>
      <c r="AEU43" s="15"/>
      <c r="AEV43" s="14"/>
      <c r="AEW43" s="15"/>
      <c r="AEX43" s="15"/>
      <c r="AEY43" s="15"/>
      <c r="AEZ43" s="14"/>
      <c r="AFA43" s="10"/>
      <c r="AFB43" s="15"/>
      <c r="AFC43" s="15"/>
      <c r="AFD43" s="14"/>
      <c r="AFE43" s="15"/>
      <c r="AFF43" s="15"/>
      <c r="AFG43" s="15"/>
      <c r="AFH43" s="14"/>
      <c r="AFI43" s="15"/>
      <c r="AFJ43" s="15"/>
      <c r="AFK43" s="15"/>
      <c r="AFL43" s="14"/>
      <c r="AFM43" s="15"/>
      <c r="AFN43" s="15"/>
      <c r="AFO43" s="15"/>
      <c r="AFP43" s="14"/>
      <c r="AFQ43" s="10"/>
      <c r="AFR43" s="15"/>
      <c r="AFS43" s="15"/>
      <c r="AFT43" s="14"/>
      <c r="AFU43" s="15"/>
      <c r="AFV43" s="15"/>
      <c r="AFW43" s="15"/>
      <c r="AFX43" s="14"/>
      <c r="AFY43" s="15"/>
      <c r="AFZ43" s="15"/>
      <c r="AGA43" s="15"/>
      <c r="AGB43" s="14"/>
      <c r="AGC43" s="15"/>
      <c r="AGD43" s="15"/>
      <c r="AGE43" s="15"/>
      <c r="AGF43" s="14"/>
      <c r="AGG43" s="10"/>
      <c r="AGH43" s="15"/>
      <c r="AGI43" s="15"/>
      <c r="AGJ43" s="14"/>
      <c r="AGK43" s="15"/>
      <c r="AGL43" s="15"/>
      <c r="AGM43" s="15"/>
      <c r="AGN43" s="14"/>
      <c r="AGO43" s="15"/>
      <c r="AGP43" s="15"/>
      <c r="AGQ43" s="15"/>
      <c r="AGR43" s="14"/>
      <c r="AGS43" s="15"/>
      <c r="AGT43" s="15"/>
      <c r="AGU43" s="15"/>
      <c r="AGV43" s="14"/>
      <c r="AGW43" s="10"/>
      <c r="AGX43" s="15"/>
      <c r="AGY43" s="15"/>
      <c r="AGZ43" s="14"/>
      <c r="AHA43" s="15"/>
      <c r="AHB43" s="15"/>
      <c r="AHC43" s="15"/>
      <c r="AHD43" s="14"/>
      <c r="AHE43" s="15"/>
      <c r="AHF43" s="15"/>
      <c r="AHG43" s="15"/>
      <c r="AHH43" s="14"/>
      <c r="AHI43" s="15"/>
      <c r="AHJ43" s="15"/>
      <c r="AHK43" s="15"/>
      <c r="AHL43" s="14"/>
      <c r="AHM43" s="10"/>
      <c r="AHN43" s="15"/>
      <c r="AHO43" s="15"/>
      <c r="AHP43" s="14"/>
      <c r="AHQ43" s="15"/>
      <c r="AHR43" s="15"/>
      <c r="AHS43" s="15"/>
      <c r="AHT43" s="14"/>
      <c r="AHU43" s="15"/>
      <c r="AHV43" s="15"/>
      <c r="AHW43" s="15"/>
      <c r="AHX43" s="14"/>
      <c r="AHY43" s="15"/>
      <c r="AHZ43" s="15"/>
      <c r="AIA43" s="15"/>
      <c r="AIB43" s="14"/>
      <c r="AIC43" s="10"/>
      <c r="AID43" s="15"/>
      <c r="AIE43" s="15"/>
      <c r="AIF43" s="14"/>
      <c r="AIG43" s="15"/>
      <c r="AIH43" s="15"/>
      <c r="AII43" s="15"/>
      <c r="AIJ43" s="14"/>
      <c r="AIK43" s="15"/>
      <c r="AIL43" s="15"/>
      <c r="AIM43" s="15"/>
      <c r="AIN43" s="14"/>
      <c r="AIO43" s="15"/>
      <c r="AIP43" s="15"/>
      <c r="AIQ43" s="15"/>
      <c r="AIR43" s="14"/>
      <c r="AIS43" s="10"/>
      <c r="AIT43" s="15"/>
      <c r="AIU43" s="15"/>
      <c r="AIV43" s="14"/>
      <c r="AIW43" s="15"/>
      <c r="AIX43" s="15"/>
      <c r="AIY43" s="15"/>
      <c r="AIZ43" s="14"/>
      <c r="AJA43" s="15"/>
      <c r="AJB43" s="15"/>
      <c r="AJC43" s="15"/>
      <c r="AJD43" s="14"/>
      <c r="AJE43" s="15"/>
      <c r="AJF43" s="15"/>
      <c r="AJG43" s="15"/>
      <c r="AJH43" s="14"/>
      <c r="AJI43" s="10"/>
      <c r="AJJ43" s="15"/>
      <c r="AJK43" s="15"/>
      <c r="AJL43" s="14"/>
      <c r="AJM43" s="15"/>
      <c r="AJN43" s="15"/>
      <c r="AJO43" s="15"/>
      <c r="AJP43" s="14"/>
      <c r="AJQ43" s="15"/>
      <c r="AJR43" s="15"/>
      <c r="AJS43" s="15"/>
      <c r="AJT43" s="14"/>
      <c r="AJU43" s="15"/>
      <c r="AJV43" s="15"/>
      <c r="AJW43" s="15"/>
      <c r="AJX43" s="14"/>
      <c r="AJY43" s="10"/>
      <c r="AJZ43" s="15"/>
      <c r="AKA43" s="15"/>
      <c r="AKB43" s="14"/>
      <c r="AKC43" s="15"/>
      <c r="AKD43" s="15"/>
      <c r="AKE43" s="15"/>
      <c r="AKF43" s="14"/>
      <c r="AKG43" s="15"/>
      <c r="AKH43" s="15"/>
      <c r="AKI43" s="15"/>
      <c r="AKJ43" s="14"/>
      <c r="AKK43" s="15"/>
      <c r="AKL43" s="15"/>
      <c r="AKM43" s="15"/>
      <c r="AKN43" s="14"/>
      <c r="AKO43" s="10"/>
      <c r="AKP43" s="15"/>
      <c r="AKQ43" s="15"/>
      <c r="AKR43" s="14"/>
      <c r="AKS43" s="15"/>
      <c r="AKT43" s="15"/>
      <c r="AKU43" s="15"/>
      <c r="AKV43" s="14"/>
      <c r="AKW43" s="15"/>
      <c r="AKX43" s="15"/>
      <c r="AKY43" s="15"/>
      <c r="AKZ43" s="14"/>
      <c r="ALA43" s="15"/>
      <c r="ALB43" s="15"/>
      <c r="ALC43" s="15"/>
      <c r="ALD43" s="14"/>
      <c r="ALE43" s="10"/>
      <c r="ALF43" s="15"/>
      <c r="ALG43" s="15"/>
      <c r="ALH43" s="14"/>
      <c r="ALI43" s="15"/>
      <c r="ALJ43" s="15"/>
      <c r="ALK43" s="15"/>
      <c r="ALL43" s="14"/>
      <c r="ALM43" s="15"/>
      <c r="ALN43" s="15"/>
      <c r="ALO43" s="15"/>
      <c r="ALP43" s="14"/>
      <c r="ALQ43" s="15"/>
      <c r="ALR43" s="15"/>
      <c r="ALS43" s="15"/>
      <c r="ALT43" s="14"/>
      <c r="ALU43" s="10"/>
      <c r="ALV43" s="15"/>
      <c r="ALW43" s="15"/>
      <c r="ALX43" s="14"/>
      <c r="ALY43" s="15"/>
      <c r="ALZ43" s="15"/>
      <c r="AMA43" s="15"/>
      <c r="AMB43" s="14"/>
      <c r="AMC43" s="15"/>
      <c r="AMD43" s="15"/>
      <c r="AME43" s="15"/>
      <c r="AMF43" s="14"/>
      <c r="AMG43" s="15"/>
      <c r="AMH43" s="15"/>
      <c r="AMI43" s="15"/>
      <c r="AMJ43" s="14"/>
      <c r="AMK43" s="10"/>
      <c r="AML43" s="15"/>
      <c r="AMM43" s="15"/>
      <c r="AMN43" s="14"/>
      <c r="AMO43" s="15"/>
      <c r="AMP43" s="15"/>
      <c r="AMQ43" s="15"/>
      <c r="AMR43" s="14"/>
      <c r="AMS43" s="15"/>
      <c r="AMT43" s="15"/>
      <c r="AMU43" s="15"/>
      <c r="AMV43" s="14"/>
      <c r="AMW43" s="15"/>
      <c r="AMX43" s="15"/>
      <c r="AMY43" s="15"/>
      <c r="AMZ43" s="14"/>
      <c r="ANA43" s="10"/>
      <c r="ANB43" s="15"/>
      <c r="ANC43" s="15"/>
      <c r="AND43" s="14"/>
      <c r="ANE43" s="15"/>
      <c r="ANF43" s="15"/>
      <c r="ANG43" s="15"/>
      <c r="ANH43" s="14"/>
      <c r="ANI43" s="15"/>
      <c r="ANJ43" s="15"/>
      <c r="ANK43" s="15"/>
      <c r="ANL43" s="14"/>
      <c r="ANM43" s="15"/>
      <c r="ANN43" s="15"/>
      <c r="ANO43" s="15"/>
      <c r="ANP43" s="14"/>
      <c r="ANQ43" s="10"/>
      <c r="ANR43" s="15"/>
      <c r="ANS43" s="15"/>
      <c r="ANT43" s="14"/>
      <c r="ANU43" s="15"/>
      <c r="ANV43" s="15"/>
      <c r="ANW43" s="15"/>
      <c r="ANX43" s="14"/>
      <c r="ANY43" s="15"/>
      <c r="ANZ43" s="15"/>
      <c r="AOA43" s="15"/>
      <c r="AOB43" s="14"/>
      <c r="AOC43" s="15"/>
      <c r="AOD43" s="15"/>
      <c r="AOE43" s="15"/>
      <c r="AOF43" s="14"/>
      <c r="AOG43" s="10"/>
      <c r="AOH43" s="15"/>
      <c r="AOI43" s="15"/>
      <c r="AOJ43" s="14"/>
      <c r="AOK43" s="15"/>
      <c r="AOL43" s="15"/>
      <c r="AOM43" s="15"/>
      <c r="AON43" s="14"/>
      <c r="AOO43" s="15"/>
      <c r="AOP43" s="15"/>
      <c r="AOQ43" s="15"/>
      <c r="AOR43" s="14"/>
      <c r="AOS43" s="15"/>
      <c r="AOT43" s="15"/>
      <c r="AOU43" s="15"/>
      <c r="AOV43" s="14"/>
      <c r="AOW43" s="10"/>
      <c r="AOX43" s="15"/>
      <c r="AOY43" s="15"/>
      <c r="AOZ43" s="14"/>
      <c r="APA43" s="15"/>
      <c r="APB43" s="15"/>
      <c r="APC43" s="15"/>
      <c r="APD43" s="14"/>
      <c r="APE43" s="15"/>
      <c r="APF43" s="15"/>
      <c r="APG43" s="15"/>
      <c r="APH43" s="14"/>
      <c r="API43" s="15"/>
      <c r="APJ43" s="15"/>
      <c r="APK43" s="15"/>
      <c r="APL43" s="14"/>
      <c r="APM43" s="10"/>
      <c r="APN43" s="15"/>
      <c r="APO43" s="15"/>
      <c r="APP43" s="14"/>
      <c r="APQ43" s="15"/>
      <c r="APR43" s="15"/>
      <c r="APS43" s="15"/>
      <c r="APT43" s="14"/>
      <c r="APU43" s="15"/>
      <c r="APV43" s="15"/>
      <c r="APW43" s="15"/>
      <c r="APX43" s="14"/>
      <c r="APY43" s="15"/>
      <c r="APZ43" s="15"/>
      <c r="AQA43" s="15"/>
      <c r="AQB43" s="14"/>
      <c r="AQC43" s="10"/>
      <c r="AQD43" s="15"/>
      <c r="AQE43" s="15"/>
      <c r="AQF43" s="14"/>
      <c r="AQG43" s="15"/>
      <c r="AQH43" s="15"/>
      <c r="AQI43" s="15"/>
      <c r="AQJ43" s="14"/>
      <c r="AQK43" s="15"/>
      <c r="AQL43" s="15"/>
      <c r="AQM43" s="15"/>
      <c r="AQN43" s="14"/>
      <c r="AQO43" s="15"/>
      <c r="AQP43" s="15"/>
      <c r="AQQ43" s="15"/>
      <c r="AQR43" s="14"/>
      <c r="AQS43" s="10"/>
      <c r="AQT43" s="15"/>
      <c r="AQU43" s="15"/>
      <c r="AQV43" s="14"/>
      <c r="AQW43" s="15"/>
      <c r="AQX43" s="15"/>
      <c r="AQY43" s="15"/>
      <c r="AQZ43" s="14"/>
      <c r="ARA43" s="15"/>
      <c r="ARB43" s="15"/>
      <c r="ARC43" s="15"/>
      <c r="ARD43" s="14"/>
      <c r="ARE43" s="15"/>
      <c r="ARF43" s="15"/>
      <c r="ARG43" s="15"/>
      <c r="ARH43" s="14"/>
      <c r="ARI43" s="10"/>
      <c r="ARJ43" s="15"/>
      <c r="ARK43" s="15"/>
      <c r="ARL43" s="14"/>
      <c r="ARM43" s="15"/>
      <c r="ARN43" s="15"/>
      <c r="ARO43" s="15"/>
      <c r="ARP43" s="14"/>
      <c r="ARQ43" s="15"/>
      <c r="ARR43" s="15"/>
      <c r="ARS43" s="15"/>
      <c r="ART43" s="14"/>
      <c r="ARU43" s="15"/>
      <c r="ARV43" s="15"/>
      <c r="ARW43" s="15"/>
      <c r="ARX43" s="14"/>
      <c r="ARY43" s="10"/>
      <c r="ARZ43" s="15"/>
      <c r="ASA43" s="15"/>
      <c r="ASB43" s="14"/>
      <c r="ASC43" s="15"/>
      <c r="ASD43" s="15"/>
      <c r="ASE43" s="15"/>
      <c r="ASF43" s="14"/>
      <c r="ASG43" s="15"/>
      <c r="ASH43" s="15"/>
      <c r="ASI43" s="15"/>
      <c r="ASJ43" s="14"/>
      <c r="ASK43" s="15"/>
      <c r="ASL43" s="15"/>
      <c r="ASM43" s="15"/>
      <c r="ASN43" s="14"/>
      <c r="ASO43" s="10"/>
      <c r="ASP43" s="15"/>
      <c r="ASQ43" s="15"/>
      <c r="ASR43" s="14"/>
      <c r="ASS43" s="15"/>
      <c r="AST43" s="15"/>
      <c r="ASU43" s="15"/>
      <c r="ASV43" s="14"/>
      <c r="ASW43" s="15"/>
      <c r="ASX43" s="15"/>
      <c r="ASY43" s="15"/>
      <c r="ASZ43" s="14"/>
      <c r="ATA43" s="15"/>
      <c r="ATB43" s="15"/>
      <c r="ATC43" s="15"/>
      <c r="ATD43" s="14"/>
      <c r="ATE43" s="10"/>
      <c r="ATF43" s="15"/>
      <c r="ATG43" s="15"/>
      <c r="ATH43" s="14"/>
      <c r="ATI43" s="15"/>
      <c r="ATJ43" s="15"/>
      <c r="ATK43" s="15"/>
      <c r="ATL43" s="14"/>
      <c r="ATM43" s="15"/>
      <c r="ATN43" s="15"/>
      <c r="ATO43" s="15"/>
      <c r="ATP43" s="14"/>
      <c r="ATQ43" s="15"/>
      <c r="ATR43" s="15"/>
      <c r="ATS43" s="15"/>
      <c r="ATT43" s="14"/>
      <c r="ATU43" s="10"/>
      <c r="ATV43" s="15"/>
      <c r="ATW43" s="15"/>
      <c r="ATX43" s="14"/>
      <c r="ATY43" s="15"/>
      <c r="ATZ43" s="15"/>
      <c r="AUA43" s="15"/>
      <c r="AUB43" s="14"/>
      <c r="AUC43" s="15"/>
      <c r="AUD43" s="15"/>
      <c r="AUE43" s="15"/>
      <c r="AUF43" s="14"/>
      <c r="AUG43" s="15"/>
      <c r="AUH43" s="15"/>
      <c r="AUI43" s="15"/>
      <c r="AUJ43" s="14"/>
      <c r="AUK43" s="10"/>
      <c r="AUL43" s="15"/>
      <c r="AUM43" s="15"/>
      <c r="AUN43" s="14"/>
      <c r="AUO43" s="15"/>
      <c r="AUP43" s="15"/>
      <c r="AUQ43" s="15"/>
      <c r="AUR43" s="14"/>
      <c r="AUS43" s="15"/>
      <c r="AUT43" s="15"/>
      <c r="AUU43" s="15"/>
      <c r="AUV43" s="14"/>
      <c r="AUW43" s="15"/>
      <c r="AUX43" s="15"/>
      <c r="AUY43" s="15"/>
      <c r="AUZ43" s="14"/>
      <c r="AVA43" s="10"/>
      <c r="AVB43" s="15"/>
      <c r="AVC43" s="15"/>
      <c r="AVD43" s="14"/>
      <c r="AVE43" s="15"/>
      <c r="AVF43" s="15"/>
      <c r="AVG43" s="15"/>
      <c r="AVH43" s="14"/>
      <c r="AVI43" s="15"/>
      <c r="AVJ43" s="15"/>
      <c r="AVK43" s="15"/>
      <c r="AVL43" s="14"/>
      <c r="AVM43" s="15"/>
      <c r="AVN43" s="15"/>
      <c r="AVO43" s="15"/>
      <c r="AVP43" s="14"/>
      <c r="AVQ43" s="10"/>
      <c r="AVR43" s="15"/>
      <c r="AVS43" s="15"/>
      <c r="AVT43" s="14"/>
      <c r="AVU43" s="15"/>
      <c r="AVV43" s="15"/>
      <c r="AVW43" s="15"/>
      <c r="AVX43" s="14"/>
      <c r="AVY43" s="15"/>
      <c r="AVZ43" s="15"/>
      <c r="AWA43" s="15"/>
      <c r="AWB43" s="14"/>
      <c r="AWC43" s="15"/>
      <c r="AWD43" s="15"/>
      <c r="AWE43" s="15"/>
      <c r="AWF43" s="14"/>
      <c r="AWG43" s="10"/>
      <c r="AWH43" s="15"/>
      <c r="AWI43" s="15"/>
      <c r="AWJ43" s="14"/>
      <c r="AWK43" s="15"/>
      <c r="AWL43" s="15"/>
      <c r="AWM43" s="15"/>
      <c r="AWN43" s="14"/>
      <c r="AWO43" s="15"/>
      <c r="AWP43" s="15"/>
      <c r="AWQ43" s="15"/>
      <c r="AWR43" s="14"/>
      <c r="AWS43" s="15"/>
      <c r="AWT43" s="15"/>
      <c r="AWU43" s="15"/>
      <c r="AWV43" s="14"/>
      <c r="AWW43" s="10"/>
      <c r="AWX43" s="15"/>
      <c r="AWY43" s="15"/>
      <c r="AWZ43" s="14"/>
      <c r="AXA43" s="15"/>
      <c r="AXB43" s="15"/>
      <c r="AXC43" s="15"/>
      <c r="AXD43" s="14"/>
      <c r="AXE43" s="15"/>
      <c r="AXF43" s="15"/>
      <c r="AXG43" s="15"/>
      <c r="AXH43" s="14"/>
      <c r="AXI43" s="15"/>
      <c r="AXJ43" s="15"/>
      <c r="AXK43" s="15"/>
      <c r="AXL43" s="14"/>
      <c r="AXM43" s="10"/>
      <c r="AXN43" s="15"/>
      <c r="AXO43" s="15"/>
      <c r="AXP43" s="14"/>
      <c r="AXQ43" s="15"/>
      <c r="AXR43" s="15"/>
      <c r="AXS43" s="15"/>
      <c r="AXT43" s="14"/>
      <c r="AXU43" s="15"/>
      <c r="AXV43" s="15"/>
      <c r="AXW43" s="15"/>
      <c r="AXX43" s="14"/>
      <c r="AXY43" s="15"/>
      <c r="AXZ43" s="15"/>
      <c r="AYA43" s="15"/>
      <c r="AYB43" s="14"/>
      <c r="AYC43" s="10"/>
      <c r="AYD43" s="15"/>
      <c r="AYE43" s="15"/>
      <c r="AYF43" s="14"/>
      <c r="AYG43" s="15"/>
      <c r="AYH43" s="15"/>
      <c r="AYI43" s="15"/>
      <c r="AYJ43" s="14"/>
      <c r="AYK43" s="15"/>
      <c r="AYL43" s="15"/>
      <c r="AYM43" s="15"/>
      <c r="AYN43" s="14"/>
      <c r="AYO43" s="15"/>
      <c r="AYP43" s="15"/>
      <c r="AYQ43" s="15"/>
      <c r="AYR43" s="14"/>
      <c r="AYS43" s="10"/>
      <c r="AYT43" s="15"/>
      <c r="AYU43" s="15"/>
      <c r="AYV43" s="14"/>
      <c r="AYW43" s="15"/>
      <c r="AYX43" s="15"/>
      <c r="AYY43" s="15"/>
      <c r="AYZ43" s="14"/>
      <c r="AZA43" s="15"/>
      <c r="AZB43" s="15"/>
      <c r="AZC43" s="15"/>
      <c r="AZD43" s="14"/>
      <c r="AZE43" s="15"/>
      <c r="AZF43" s="15"/>
      <c r="AZG43" s="15"/>
      <c r="AZH43" s="14"/>
      <c r="AZI43" s="10"/>
      <c r="AZJ43" s="15"/>
      <c r="AZK43" s="15"/>
      <c r="AZL43" s="14"/>
      <c r="AZM43" s="15"/>
      <c r="AZN43" s="15"/>
      <c r="AZO43" s="15"/>
      <c r="AZP43" s="14"/>
      <c r="AZQ43" s="15"/>
      <c r="AZR43" s="15"/>
      <c r="AZS43" s="15"/>
      <c r="AZT43" s="14"/>
      <c r="AZU43" s="15"/>
      <c r="AZV43" s="15"/>
      <c r="AZW43" s="15"/>
      <c r="AZX43" s="14"/>
      <c r="AZY43" s="10"/>
      <c r="AZZ43" s="15"/>
      <c r="BAA43" s="15"/>
      <c r="BAB43" s="14"/>
      <c r="BAC43" s="15"/>
      <c r="BAD43" s="15"/>
      <c r="BAE43" s="15"/>
      <c r="BAF43" s="14"/>
      <c r="BAG43" s="15"/>
      <c r="BAH43" s="15"/>
      <c r="BAI43" s="15"/>
      <c r="BAJ43" s="14"/>
      <c r="BAK43" s="15"/>
      <c r="BAL43" s="15"/>
      <c r="BAM43" s="15"/>
      <c r="BAN43" s="14"/>
      <c r="BAO43" s="10"/>
      <c r="BAP43" s="15"/>
      <c r="BAQ43" s="15"/>
      <c r="BAR43" s="14"/>
      <c r="BAS43" s="15"/>
      <c r="BAT43" s="15"/>
      <c r="BAU43" s="15"/>
      <c r="BAV43" s="14"/>
      <c r="BAW43" s="15"/>
      <c r="BAX43" s="15"/>
      <c r="BAY43" s="15"/>
      <c r="BAZ43" s="14"/>
      <c r="BBA43" s="15"/>
      <c r="BBB43" s="15"/>
      <c r="BBC43" s="15"/>
      <c r="BBD43" s="14"/>
      <c r="BBE43" s="10"/>
      <c r="BBF43" s="15"/>
      <c r="BBG43" s="15"/>
      <c r="BBH43" s="14"/>
      <c r="BBI43" s="15"/>
      <c r="BBJ43" s="15"/>
      <c r="BBK43" s="15"/>
      <c r="BBL43" s="14"/>
      <c r="BBM43" s="15"/>
      <c r="BBN43" s="15"/>
      <c r="BBO43" s="15"/>
      <c r="BBP43" s="14"/>
      <c r="BBQ43" s="15"/>
      <c r="BBR43" s="15"/>
      <c r="BBS43" s="15"/>
      <c r="BBT43" s="14"/>
      <c r="BBU43" s="10"/>
      <c r="BBV43" s="15"/>
      <c r="BBW43" s="15"/>
      <c r="BBX43" s="14"/>
      <c r="BBY43" s="15"/>
      <c r="BBZ43" s="15"/>
      <c r="BCA43" s="15"/>
      <c r="BCB43" s="14"/>
      <c r="BCC43" s="15"/>
      <c r="BCD43" s="15"/>
      <c r="BCE43" s="15"/>
      <c r="BCF43" s="14"/>
      <c r="BCG43" s="15"/>
      <c r="BCH43" s="15"/>
      <c r="BCI43" s="15"/>
      <c r="BCJ43" s="14"/>
      <c r="BCK43" s="10"/>
      <c r="BCL43" s="15"/>
      <c r="BCM43" s="15"/>
      <c r="BCN43" s="14"/>
      <c r="BCO43" s="15"/>
      <c r="BCP43" s="15"/>
      <c r="BCQ43" s="15"/>
      <c r="BCR43" s="14"/>
      <c r="BCS43" s="15"/>
      <c r="BCT43" s="15"/>
      <c r="BCU43" s="15"/>
      <c r="BCV43" s="14"/>
      <c r="BCW43" s="15"/>
      <c r="BCX43" s="15"/>
      <c r="BCY43" s="15"/>
      <c r="BCZ43" s="14"/>
      <c r="BDA43" s="10"/>
      <c r="BDB43" s="15"/>
      <c r="BDC43" s="15"/>
      <c r="BDD43" s="14"/>
      <c r="BDE43" s="15"/>
      <c r="BDF43" s="15"/>
      <c r="BDG43" s="15"/>
      <c r="BDH43" s="14"/>
      <c r="BDI43" s="15"/>
      <c r="BDJ43" s="15"/>
      <c r="BDK43" s="15"/>
      <c r="BDL43" s="14"/>
      <c r="BDM43" s="15"/>
      <c r="BDN43" s="15"/>
      <c r="BDO43" s="15"/>
      <c r="BDP43" s="14"/>
      <c r="BDQ43" s="10"/>
      <c r="BDR43" s="15"/>
      <c r="BDS43" s="15"/>
      <c r="BDT43" s="14"/>
      <c r="BDU43" s="15"/>
      <c r="BDV43" s="15"/>
      <c r="BDW43" s="15"/>
      <c r="BDX43" s="14"/>
      <c r="BDY43" s="15"/>
      <c r="BDZ43" s="15"/>
      <c r="BEA43" s="15"/>
      <c r="BEB43" s="14"/>
      <c r="BEC43" s="15"/>
      <c r="BED43" s="15"/>
      <c r="BEE43" s="15"/>
      <c r="BEF43" s="14"/>
      <c r="BEG43" s="10"/>
      <c r="BEH43" s="15"/>
      <c r="BEI43" s="15"/>
      <c r="BEJ43" s="14"/>
      <c r="BEK43" s="15"/>
      <c r="BEL43" s="15"/>
      <c r="BEM43" s="15"/>
      <c r="BEN43" s="14"/>
      <c r="BEO43" s="15"/>
      <c r="BEP43" s="15"/>
      <c r="BEQ43" s="15"/>
      <c r="BER43" s="14"/>
      <c r="BES43" s="15"/>
      <c r="BET43" s="15"/>
      <c r="BEU43" s="15"/>
      <c r="BEV43" s="14"/>
      <c r="BEW43" s="10"/>
      <c r="BEX43" s="15"/>
      <c r="BEY43" s="15"/>
      <c r="BEZ43" s="14"/>
      <c r="BFA43" s="15"/>
      <c r="BFB43" s="15"/>
      <c r="BFC43" s="15"/>
      <c r="BFD43" s="14"/>
      <c r="BFE43" s="15"/>
      <c r="BFF43" s="15"/>
      <c r="BFG43" s="15"/>
      <c r="BFH43" s="14"/>
      <c r="BFI43" s="15"/>
      <c r="BFJ43" s="15"/>
      <c r="BFK43" s="15"/>
      <c r="BFL43" s="14"/>
      <c r="BFM43" s="10"/>
      <c r="BFN43" s="15"/>
      <c r="BFO43" s="15"/>
      <c r="BFP43" s="14"/>
      <c r="BFQ43" s="15"/>
      <c r="BFR43" s="15"/>
      <c r="BFS43" s="15"/>
      <c r="BFT43" s="14"/>
      <c r="BFU43" s="15"/>
      <c r="BFV43" s="15"/>
      <c r="BFW43" s="15"/>
      <c r="BFX43" s="14"/>
      <c r="BFY43" s="15"/>
      <c r="BFZ43" s="15"/>
      <c r="BGA43" s="15"/>
      <c r="BGB43" s="14"/>
      <c r="BGC43" s="10"/>
      <c r="BGD43" s="15"/>
      <c r="BGE43" s="15"/>
      <c r="BGF43" s="14"/>
      <c r="BGG43" s="15"/>
      <c r="BGH43" s="15"/>
      <c r="BGI43" s="15"/>
      <c r="BGJ43" s="14"/>
      <c r="BGK43" s="15"/>
      <c r="BGL43" s="15"/>
      <c r="BGM43" s="15"/>
      <c r="BGN43" s="14"/>
      <c r="BGO43" s="15"/>
      <c r="BGP43" s="15"/>
      <c r="BGQ43" s="15"/>
      <c r="BGR43" s="14"/>
      <c r="BGS43" s="10"/>
      <c r="BGT43" s="15"/>
      <c r="BGU43" s="15"/>
      <c r="BGV43" s="14"/>
      <c r="BGW43" s="15"/>
      <c r="BGX43" s="15"/>
      <c r="BGY43" s="15"/>
      <c r="BGZ43" s="14"/>
      <c r="BHA43" s="15"/>
      <c r="BHB43" s="15"/>
      <c r="BHC43" s="15"/>
      <c r="BHD43" s="14"/>
      <c r="BHE43" s="15"/>
      <c r="BHF43" s="15"/>
      <c r="BHG43" s="15"/>
      <c r="BHH43" s="14"/>
      <c r="BHI43" s="10"/>
      <c r="BHJ43" s="15"/>
      <c r="BHK43" s="15"/>
      <c r="BHL43" s="14"/>
      <c r="BHM43" s="15"/>
      <c r="BHN43" s="15"/>
      <c r="BHO43" s="15"/>
      <c r="BHP43" s="14"/>
      <c r="BHQ43" s="15"/>
      <c r="BHR43" s="15"/>
      <c r="BHS43" s="15"/>
      <c r="BHT43" s="14"/>
      <c r="BHU43" s="15"/>
      <c r="BHV43" s="15"/>
      <c r="BHW43" s="15"/>
      <c r="BHX43" s="14"/>
      <c r="BHY43" s="10"/>
      <c r="BHZ43" s="15"/>
      <c r="BIA43" s="15"/>
      <c r="BIB43" s="14"/>
      <c r="BIC43" s="15"/>
      <c r="BID43" s="15"/>
      <c r="BIE43" s="15"/>
      <c r="BIF43" s="14"/>
      <c r="BIG43" s="15"/>
      <c r="BIH43" s="15"/>
      <c r="BII43" s="15"/>
      <c r="BIJ43" s="14"/>
      <c r="BIK43" s="15"/>
      <c r="BIL43" s="15"/>
      <c r="BIM43" s="15"/>
      <c r="BIN43" s="14"/>
      <c r="BIO43" s="10"/>
      <c r="BIP43" s="15"/>
      <c r="BIQ43" s="15"/>
      <c r="BIR43" s="14"/>
      <c r="BIS43" s="15"/>
      <c r="BIT43" s="15"/>
      <c r="BIU43" s="15"/>
      <c r="BIV43" s="14"/>
      <c r="BIW43" s="15"/>
      <c r="BIX43" s="15"/>
      <c r="BIY43" s="15"/>
      <c r="BIZ43" s="14"/>
      <c r="BJA43" s="15"/>
      <c r="BJB43" s="15"/>
      <c r="BJC43" s="15"/>
      <c r="BJD43" s="14"/>
      <c r="BJE43" s="10"/>
      <c r="BJF43" s="15"/>
      <c r="BJG43" s="15"/>
      <c r="BJH43" s="14"/>
      <c r="BJI43" s="15"/>
      <c r="BJJ43" s="15"/>
      <c r="BJK43" s="15"/>
      <c r="BJL43" s="14"/>
      <c r="BJM43" s="15"/>
      <c r="BJN43" s="15"/>
      <c r="BJO43" s="15"/>
      <c r="BJP43" s="14"/>
      <c r="BJQ43" s="15"/>
      <c r="BJR43" s="15"/>
      <c r="BJS43" s="15"/>
      <c r="BJT43" s="14"/>
      <c r="BJU43" s="10"/>
      <c r="BJV43" s="15"/>
      <c r="BJW43" s="15"/>
      <c r="BJX43" s="14"/>
      <c r="BJY43" s="15"/>
      <c r="BJZ43" s="15"/>
      <c r="BKA43" s="15"/>
      <c r="BKB43" s="14"/>
      <c r="BKC43" s="15"/>
      <c r="BKD43" s="15"/>
      <c r="BKE43" s="15"/>
      <c r="BKF43" s="14"/>
      <c r="BKG43" s="15"/>
      <c r="BKH43" s="15"/>
      <c r="BKI43" s="15"/>
      <c r="BKJ43" s="14"/>
      <c r="BKK43" s="10"/>
      <c r="BKL43" s="15"/>
      <c r="BKM43" s="15"/>
      <c r="BKN43" s="14"/>
      <c r="BKO43" s="15"/>
      <c r="BKP43" s="15"/>
      <c r="BKQ43" s="15"/>
      <c r="BKR43" s="14"/>
      <c r="BKS43" s="15"/>
      <c r="BKT43" s="15"/>
      <c r="BKU43" s="15"/>
      <c r="BKV43" s="14"/>
      <c r="BKW43" s="15"/>
      <c r="BKX43" s="15"/>
      <c r="BKY43" s="15"/>
      <c r="BKZ43" s="14"/>
      <c r="BLA43" s="10"/>
      <c r="BLB43" s="15"/>
      <c r="BLC43" s="15"/>
      <c r="BLD43" s="14"/>
      <c r="BLE43" s="15"/>
      <c r="BLF43" s="15"/>
      <c r="BLG43" s="15"/>
      <c r="BLH43" s="14"/>
      <c r="BLI43" s="15"/>
      <c r="BLJ43" s="15"/>
      <c r="BLK43" s="15"/>
      <c r="BLL43" s="14"/>
      <c r="BLM43" s="15"/>
      <c r="BLN43" s="15"/>
      <c r="BLO43" s="15"/>
      <c r="BLP43" s="14"/>
      <c r="BLQ43" s="10"/>
      <c r="BLR43" s="15"/>
      <c r="BLS43" s="15"/>
      <c r="BLT43" s="14"/>
      <c r="BLU43" s="15"/>
      <c r="BLV43" s="15"/>
      <c r="BLW43" s="15"/>
      <c r="BLX43" s="14"/>
      <c r="BLY43" s="15"/>
      <c r="BLZ43" s="15"/>
      <c r="BMA43" s="15"/>
      <c r="BMB43" s="14"/>
      <c r="BMC43" s="15"/>
      <c r="BMD43" s="15"/>
      <c r="BME43" s="15"/>
      <c r="BMF43" s="14"/>
      <c r="BMG43" s="10"/>
      <c r="BMH43" s="15"/>
      <c r="BMI43" s="15"/>
      <c r="BMJ43" s="14"/>
      <c r="BMK43" s="15"/>
      <c r="BML43" s="15"/>
      <c r="BMM43" s="15"/>
      <c r="BMN43" s="14"/>
      <c r="BMO43" s="15"/>
      <c r="BMP43" s="15"/>
      <c r="BMQ43" s="15"/>
      <c r="BMR43" s="14"/>
      <c r="BMS43" s="15"/>
      <c r="BMT43" s="15"/>
      <c r="BMU43" s="15"/>
      <c r="BMV43" s="14"/>
      <c r="BMW43" s="10"/>
      <c r="BMX43" s="15"/>
      <c r="BMY43" s="15"/>
      <c r="BMZ43" s="14"/>
      <c r="BNA43" s="15"/>
      <c r="BNB43" s="15"/>
      <c r="BNC43" s="15"/>
      <c r="BND43" s="14"/>
      <c r="BNE43" s="15"/>
      <c r="BNF43" s="15"/>
      <c r="BNG43" s="15"/>
      <c r="BNH43" s="14"/>
      <c r="BNI43" s="15"/>
      <c r="BNJ43" s="15"/>
      <c r="BNK43" s="15"/>
      <c r="BNL43" s="14"/>
      <c r="BNM43" s="10"/>
      <c r="BNN43" s="15"/>
      <c r="BNO43" s="15"/>
      <c r="BNP43" s="14"/>
      <c r="BNQ43" s="15"/>
      <c r="BNR43" s="15"/>
      <c r="BNS43" s="15"/>
      <c r="BNT43" s="14"/>
      <c r="BNU43" s="15"/>
      <c r="BNV43" s="15"/>
      <c r="BNW43" s="15"/>
      <c r="BNX43" s="14"/>
      <c r="BNY43" s="15"/>
      <c r="BNZ43" s="15"/>
      <c r="BOA43" s="15"/>
      <c r="BOB43" s="14"/>
      <c r="BOC43" s="10"/>
      <c r="BOD43" s="15"/>
      <c r="BOE43" s="15"/>
      <c r="BOF43" s="14"/>
      <c r="BOG43" s="15"/>
      <c r="BOH43" s="15"/>
      <c r="BOI43" s="15"/>
      <c r="BOJ43" s="14"/>
      <c r="BOK43" s="15"/>
      <c r="BOL43" s="15"/>
      <c r="BOM43" s="15"/>
      <c r="BON43" s="14"/>
      <c r="BOO43" s="15"/>
      <c r="BOP43" s="15"/>
      <c r="BOQ43" s="15"/>
      <c r="BOR43" s="14"/>
      <c r="BOS43" s="10"/>
      <c r="BOT43" s="15"/>
      <c r="BOU43" s="15"/>
      <c r="BOV43" s="14"/>
      <c r="BOW43" s="15"/>
      <c r="BOX43" s="15"/>
      <c r="BOY43" s="15"/>
      <c r="BOZ43" s="14"/>
      <c r="BPA43" s="15"/>
      <c r="BPB43" s="15"/>
      <c r="BPC43" s="15"/>
      <c r="BPD43" s="14"/>
      <c r="BPE43" s="15"/>
      <c r="BPF43" s="15"/>
      <c r="BPG43" s="15"/>
      <c r="BPH43" s="14"/>
      <c r="BPI43" s="10"/>
      <c r="BPJ43" s="15"/>
      <c r="BPK43" s="15"/>
      <c r="BPL43" s="14"/>
      <c r="BPM43" s="15"/>
      <c r="BPN43" s="15"/>
      <c r="BPO43" s="15"/>
      <c r="BPP43" s="14"/>
      <c r="BPQ43" s="15"/>
      <c r="BPR43" s="15"/>
      <c r="BPS43" s="15"/>
      <c r="BPT43" s="14"/>
      <c r="BPU43" s="15"/>
      <c r="BPV43" s="15"/>
      <c r="BPW43" s="15"/>
      <c r="BPX43" s="14"/>
      <c r="BPY43" s="10"/>
      <c r="BPZ43" s="15"/>
      <c r="BQA43" s="15"/>
      <c r="BQB43" s="14"/>
      <c r="BQC43" s="15"/>
      <c r="BQD43" s="15"/>
      <c r="BQE43" s="15"/>
      <c r="BQF43" s="14"/>
      <c r="BQG43" s="15"/>
      <c r="BQH43" s="15"/>
      <c r="BQI43" s="15"/>
      <c r="BQJ43" s="14"/>
      <c r="BQK43" s="15"/>
      <c r="BQL43" s="15"/>
      <c r="BQM43" s="15"/>
      <c r="BQN43" s="14"/>
      <c r="BQO43" s="10"/>
      <c r="BQP43" s="15"/>
      <c r="BQQ43" s="15"/>
      <c r="BQR43" s="14"/>
      <c r="BQS43" s="15"/>
      <c r="BQT43" s="15"/>
      <c r="BQU43" s="15"/>
      <c r="BQV43" s="14"/>
      <c r="BQW43" s="15"/>
      <c r="BQX43" s="15"/>
      <c r="BQY43" s="15"/>
      <c r="BQZ43" s="14"/>
      <c r="BRA43" s="15"/>
      <c r="BRB43" s="15"/>
      <c r="BRC43" s="15"/>
      <c r="BRD43" s="14"/>
      <c r="BRE43" s="10"/>
      <c r="BRF43" s="15"/>
      <c r="BRG43" s="15"/>
      <c r="BRH43" s="14"/>
      <c r="BRI43" s="15"/>
      <c r="BRJ43" s="15"/>
      <c r="BRK43" s="15"/>
      <c r="BRL43" s="14"/>
      <c r="BRM43" s="15"/>
      <c r="BRN43" s="15"/>
      <c r="BRO43" s="15"/>
      <c r="BRP43" s="14"/>
      <c r="BRQ43" s="15"/>
      <c r="BRR43" s="15"/>
      <c r="BRS43" s="15"/>
      <c r="BRT43" s="14"/>
      <c r="BRU43" s="10"/>
      <c r="BRV43" s="15"/>
      <c r="BRW43" s="15"/>
      <c r="BRX43" s="14"/>
      <c r="BRY43" s="15"/>
      <c r="BRZ43" s="15"/>
      <c r="BSA43" s="15"/>
      <c r="BSB43" s="14"/>
      <c r="BSC43" s="15"/>
      <c r="BSD43" s="15"/>
      <c r="BSE43" s="15"/>
      <c r="BSF43" s="14"/>
      <c r="BSG43" s="15"/>
      <c r="BSH43" s="15"/>
      <c r="BSI43" s="15"/>
      <c r="BSJ43" s="14"/>
      <c r="BSK43" s="10"/>
      <c r="BSL43" s="15"/>
      <c r="BSM43" s="15"/>
      <c r="BSN43" s="14"/>
      <c r="BSO43" s="15"/>
      <c r="BSP43" s="15"/>
      <c r="BSQ43" s="15"/>
      <c r="BSR43" s="14"/>
      <c r="BSS43" s="15"/>
      <c r="BST43" s="15"/>
      <c r="BSU43" s="15"/>
      <c r="BSV43" s="14"/>
      <c r="BSW43" s="15"/>
      <c r="BSX43" s="15"/>
      <c r="BSY43" s="15"/>
      <c r="BSZ43" s="14"/>
      <c r="BTA43" s="10"/>
      <c r="BTB43" s="15"/>
      <c r="BTC43" s="15"/>
      <c r="BTD43" s="14"/>
      <c r="BTE43" s="15"/>
      <c r="BTF43" s="15"/>
      <c r="BTG43" s="15"/>
      <c r="BTH43" s="14"/>
      <c r="BTI43" s="15"/>
      <c r="BTJ43" s="15"/>
      <c r="BTK43" s="15"/>
      <c r="BTL43" s="14"/>
      <c r="BTM43" s="15"/>
      <c r="BTN43" s="15"/>
      <c r="BTO43" s="15"/>
      <c r="BTP43" s="14"/>
      <c r="BTQ43" s="10"/>
      <c r="BTR43" s="15"/>
      <c r="BTS43" s="15"/>
      <c r="BTT43" s="14"/>
      <c r="BTU43" s="15"/>
      <c r="BTV43" s="15"/>
      <c r="BTW43" s="15"/>
      <c r="BTX43" s="14"/>
      <c r="BTY43" s="15"/>
      <c r="BTZ43" s="15"/>
      <c r="BUA43" s="15"/>
      <c r="BUB43" s="14"/>
      <c r="BUC43" s="15"/>
      <c r="BUD43" s="15"/>
      <c r="BUE43" s="15"/>
      <c r="BUF43" s="14"/>
      <c r="BUG43" s="10"/>
      <c r="BUH43" s="15"/>
      <c r="BUI43" s="15"/>
      <c r="BUJ43" s="14"/>
      <c r="BUK43" s="15"/>
      <c r="BUL43" s="15"/>
      <c r="BUM43" s="15"/>
      <c r="BUN43" s="14"/>
      <c r="BUO43" s="15"/>
      <c r="BUP43" s="15"/>
      <c r="BUQ43" s="15"/>
      <c r="BUR43" s="14"/>
      <c r="BUS43" s="15"/>
      <c r="BUT43" s="15"/>
      <c r="BUU43" s="15"/>
      <c r="BUV43" s="14"/>
      <c r="BUW43" s="10"/>
      <c r="BUX43" s="15"/>
      <c r="BUY43" s="15"/>
      <c r="BUZ43" s="14"/>
      <c r="BVA43" s="15"/>
      <c r="BVB43" s="15"/>
      <c r="BVC43" s="15"/>
      <c r="BVD43" s="14"/>
      <c r="BVE43" s="15"/>
      <c r="BVF43" s="15"/>
      <c r="BVG43" s="15"/>
      <c r="BVH43" s="14"/>
      <c r="BVI43" s="15"/>
      <c r="BVJ43" s="15"/>
      <c r="BVK43" s="15"/>
      <c r="BVL43" s="14"/>
      <c r="BVM43" s="10"/>
      <c r="BVN43" s="15"/>
      <c r="BVO43" s="15"/>
      <c r="BVP43" s="14"/>
      <c r="BVQ43" s="15"/>
      <c r="BVR43" s="15"/>
      <c r="BVS43" s="15"/>
      <c r="BVT43" s="14"/>
      <c r="BVU43" s="15"/>
      <c r="BVV43" s="15"/>
      <c r="BVW43" s="15"/>
      <c r="BVX43" s="14"/>
      <c r="BVY43" s="15"/>
      <c r="BVZ43" s="15"/>
      <c r="BWA43" s="15"/>
      <c r="BWB43" s="14"/>
      <c r="BWC43" s="10"/>
      <c r="BWD43" s="15"/>
      <c r="BWE43" s="15"/>
      <c r="BWF43" s="14"/>
      <c r="BWG43" s="15"/>
      <c r="BWH43" s="15"/>
      <c r="BWI43" s="15"/>
      <c r="BWJ43" s="14"/>
      <c r="BWK43" s="15"/>
      <c r="BWL43" s="15"/>
      <c r="BWM43" s="15"/>
      <c r="BWN43" s="14"/>
      <c r="BWO43" s="15"/>
      <c r="BWP43" s="15"/>
      <c r="BWQ43" s="15"/>
      <c r="BWR43" s="14"/>
      <c r="BWS43" s="10"/>
      <c r="BWT43" s="15"/>
      <c r="BWU43" s="15"/>
      <c r="BWV43" s="14"/>
      <c r="BWW43" s="15"/>
      <c r="BWX43" s="15"/>
      <c r="BWY43" s="15"/>
      <c r="BWZ43" s="14"/>
      <c r="BXA43" s="15"/>
      <c r="BXB43" s="15"/>
      <c r="BXC43" s="15"/>
      <c r="BXD43" s="14"/>
      <c r="BXE43" s="15"/>
      <c r="BXF43" s="15"/>
      <c r="BXG43" s="15"/>
      <c r="BXH43" s="14"/>
      <c r="BXI43" s="10"/>
      <c r="BXJ43" s="15"/>
      <c r="BXK43" s="15"/>
      <c r="BXL43" s="14"/>
      <c r="BXM43" s="15"/>
      <c r="BXN43" s="15"/>
      <c r="BXO43" s="15"/>
      <c r="BXP43" s="14"/>
      <c r="BXQ43" s="15"/>
      <c r="BXR43" s="15"/>
      <c r="BXS43" s="15"/>
      <c r="BXT43" s="14"/>
      <c r="BXU43" s="15"/>
      <c r="BXV43" s="15"/>
      <c r="BXW43" s="15"/>
      <c r="BXX43" s="14"/>
      <c r="BXY43" s="10"/>
      <c r="BXZ43" s="15"/>
      <c r="BYA43" s="15"/>
      <c r="BYB43" s="14"/>
      <c r="BYC43" s="15"/>
      <c r="BYD43" s="15"/>
      <c r="BYE43" s="15"/>
      <c r="BYF43" s="14"/>
      <c r="BYG43" s="15"/>
      <c r="BYH43" s="15"/>
      <c r="BYI43" s="15"/>
      <c r="BYJ43" s="14"/>
      <c r="BYK43" s="15"/>
      <c r="BYL43" s="15"/>
      <c r="BYM43" s="15"/>
      <c r="BYN43" s="14"/>
      <c r="BYO43" s="10"/>
      <c r="BYP43" s="15"/>
      <c r="BYQ43" s="15"/>
      <c r="BYR43" s="14"/>
      <c r="BYS43" s="15"/>
      <c r="BYT43" s="15"/>
      <c r="BYU43" s="15"/>
      <c r="BYV43" s="14"/>
      <c r="BYW43" s="15"/>
      <c r="BYX43" s="15"/>
      <c r="BYY43" s="15"/>
      <c r="BYZ43" s="14"/>
      <c r="BZA43" s="15"/>
      <c r="BZB43" s="15"/>
      <c r="BZC43" s="15"/>
      <c r="BZD43" s="14"/>
      <c r="BZE43" s="10"/>
      <c r="BZF43" s="15"/>
      <c r="BZG43" s="15"/>
      <c r="BZH43" s="14"/>
      <c r="BZI43" s="15"/>
      <c r="BZJ43" s="15"/>
      <c r="BZK43" s="15"/>
      <c r="BZL43" s="14"/>
      <c r="BZM43" s="15"/>
      <c r="BZN43" s="15"/>
      <c r="BZO43" s="15"/>
      <c r="BZP43" s="14"/>
      <c r="BZQ43" s="15"/>
      <c r="BZR43" s="15"/>
      <c r="BZS43" s="15"/>
      <c r="BZT43" s="14"/>
      <c r="BZU43" s="10"/>
      <c r="BZV43" s="15"/>
      <c r="BZW43" s="15"/>
      <c r="BZX43" s="14"/>
      <c r="BZY43" s="15"/>
      <c r="BZZ43" s="15"/>
      <c r="CAA43" s="15"/>
      <c r="CAB43" s="14"/>
      <c r="CAC43" s="15"/>
      <c r="CAD43" s="15"/>
      <c r="CAE43" s="15"/>
      <c r="CAF43" s="14"/>
      <c r="CAG43" s="15"/>
      <c r="CAH43" s="15"/>
      <c r="CAI43" s="15"/>
      <c r="CAJ43" s="14"/>
      <c r="CAK43" s="10"/>
      <c r="CAL43" s="15"/>
      <c r="CAM43" s="15"/>
      <c r="CAN43" s="14"/>
      <c r="CAO43" s="15"/>
      <c r="CAP43" s="15"/>
      <c r="CAQ43" s="15"/>
      <c r="CAR43" s="14"/>
      <c r="CAS43" s="15"/>
      <c r="CAT43" s="15"/>
      <c r="CAU43" s="15"/>
      <c r="CAV43" s="14"/>
      <c r="CAW43" s="15"/>
      <c r="CAX43" s="15"/>
      <c r="CAY43" s="15"/>
      <c r="CAZ43" s="14"/>
      <c r="CBA43" s="10"/>
      <c r="CBB43" s="15"/>
      <c r="CBC43" s="15"/>
      <c r="CBD43" s="14"/>
      <c r="CBE43" s="15"/>
      <c r="CBF43" s="15"/>
      <c r="CBG43" s="15"/>
      <c r="CBH43" s="14"/>
      <c r="CBI43" s="15"/>
      <c r="CBJ43" s="15"/>
      <c r="CBK43" s="15"/>
      <c r="CBL43" s="14"/>
      <c r="CBM43" s="15"/>
      <c r="CBN43" s="15"/>
      <c r="CBO43" s="15"/>
      <c r="CBP43" s="14"/>
      <c r="CBQ43" s="10"/>
      <c r="CBR43" s="15"/>
      <c r="CBS43" s="15"/>
      <c r="CBT43" s="14"/>
      <c r="CBU43" s="15"/>
      <c r="CBV43" s="15"/>
      <c r="CBW43" s="15"/>
      <c r="CBX43" s="14"/>
      <c r="CBY43" s="15"/>
      <c r="CBZ43" s="15"/>
      <c r="CCA43" s="15"/>
      <c r="CCB43" s="14"/>
      <c r="CCC43" s="15"/>
      <c r="CCD43" s="15"/>
      <c r="CCE43" s="15"/>
      <c r="CCF43" s="14"/>
      <c r="CCG43" s="10"/>
      <c r="CCH43" s="15"/>
      <c r="CCI43" s="15"/>
      <c r="CCJ43" s="14"/>
      <c r="CCK43" s="15"/>
      <c r="CCL43" s="15"/>
      <c r="CCM43" s="15"/>
      <c r="CCN43" s="14"/>
      <c r="CCO43" s="15"/>
      <c r="CCP43" s="15"/>
      <c r="CCQ43" s="15"/>
      <c r="CCR43" s="14"/>
      <c r="CCS43" s="15"/>
      <c r="CCT43" s="15"/>
      <c r="CCU43" s="15"/>
      <c r="CCV43" s="14"/>
      <c r="CCW43" s="10"/>
      <c r="CCX43" s="15"/>
      <c r="CCY43" s="15"/>
      <c r="CCZ43" s="14"/>
      <c r="CDA43" s="15"/>
      <c r="CDB43" s="15"/>
      <c r="CDC43" s="15"/>
      <c r="CDD43" s="14"/>
      <c r="CDE43" s="15"/>
      <c r="CDF43" s="15"/>
      <c r="CDG43" s="15"/>
      <c r="CDH43" s="14"/>
      <c r="CDI43" s="15"/>
      <c r="CDJ43" s="15"/>
      <c r="CDK43" s="15"/>
      <c r="CDL43" s="14"/>
      <c r="CDM43" s="10"/>
      <c r="CDN43" s="15"/>
      <c r="CDO43" s="15"/>
      <c r="CDP43" s="14"/>
      <c r="CDQ43" s="15"/>
      <c r="CDR43" s="15"/>
      <c r="CDS43" s="15"/>
      <c r="CDT43" s="14"/>
      <c r="CDU43" s="15"/>
      <c r="CDV43" s="15"/>
      <c r="CDW43" s="15"/>
      <c r="CDX43" s="14"/>
      <c r="CDY43" s="15"/>
      <c r="CDZ43" s="15"/>
      <c r="CEA43" s="15"/>
      <c r="CEB43" s="14"/>
      <c r="CEC43" s="10"/>
      <c r="CED43" s="15"/>
      <c r="CEE43" s="15"/>
      <c r="CEF43" s="14"/>
      <c r="CEG43" s="15"/>
      <c r="CEH43" s="15"/>
      <c r="CEI43" s="15"/>
      <c r="CEJ43" s="14"/>
      <c r="CEK43" s="15"/>
      <c r="CEL43" s="15"/>
      <c r="CEM43" s="15"/>
      <c r="CEN43" s="14"/>
      <c r="CEO43" s="15"/>
      <c r="CEP43" s="15"/>
      <c r="CEQ43" s="15"/>
      <c r="CER43" s="14"/>
      <c r="CES43" s="10"/>
      <c r="CET43" s="15"/>
      <c r="CEU43" s="15"/>
      <c r="CEV43" s="14"/>
      <c r="CEW43" s="15"/>
      <c r="CEX43" s="15"/>
      <c r="CEY43" s="15"/>
      <c r="CEZ43" s="14"/>
      <c r="CFA43" s="15"/>
      <c r="CFB43" s="15"/>
      <c r="CFC43" s="15"/>
      <c r="CFD43" s="14"/>
      <c r="CFE43" s="15"/>
      <c r="CFF43" s="15"/>
      <c r="CFG43" s="15"/>
      <c r="CFH43" s="14"/>
      <c r="CFI43" s="10"/>
      <c r="CFJ43" s="15"/>
      <c r="CFK43" s="15"/>
      <c r="CFL43" s="14"/>
      <c r="CFM43" s="15"/>
      <c r="CFN43" s="15"/>
      <c r="CFO43" s="15"/>
      <c r="CFP43" s="14"/>
      <c r="CFQ43" s="15"/>
      <c r="CFR43" s="15"/>
      <c r="CFS43" s="15"/>
      <c r="CFT43" s="14"/>
      <c r="CFU43" s="15"/>
      <c r="CFV43" s="15"/>
      <c r="CFW43" s="15"/>
      <c r="CFX43" s="14"/>
      <c r="CFY43" s="10"/>
      <c r="CFZ43" s="15"/>
      <c r="CGA43" s="15"/>
      <c r="CGB43" s="14"/>
      <c r="CGC43" s="15"/>
      <c r="CGD43" s="15"/>
      <c r="CGE43" s="15"/>
      <c r="CGF43" s="14"/>
      <c r="CGG43" s="15"/>
      <c r="CGH43" s="15"/>
      <c r="CGI43" s="15"/>
      <c r="CGJ43" s="14"/>
      <c r="CGK43" s="15"/>
      <c r="CGL43" s="15"/>
      <c r="CGM43" s="15"/>
      <c r="CGN43" s="14"/>
      <c r="CGO43" s="10"/>
      <c r="CGP43" s="15"/>
      <c r="CGQ43" s="15"/>
      <c r="CGR43" s="14"/>
      <c r="CGS43" s="15"/>
      <c r="CGT43" s="15"/>
      <c r="CGU43" s="15"/>
      <c r="CGV43" s="14"/>
      <c r="CGW43" s="15"/>
      <c r="CGX43" s="15"/>
      <c r="CGY43" s="15"/>
      <c r="CGZ43" s="14"/>
      <c r="CHA43" s="15"/>
      <c r="CHB43" s="15"/>
      <c r="CHC43" s="15"/>
      <c r="CHD43" s="14"/>
      <c r="CHE43" s="10"/>
      <c r="CHF43" s="15"/>
      <c r="CHG43" s="15"/>
      <c r="CHH43" s="14"/>
      <c r="CHI43" s="15"/>
      <c r="CHJ43" s="15"/>
      <c r="CHK43" s="15"/>
      <c r="CHL43" s="14"/>
      <c r="CHM43" s="15"/>
      <c r="CHN43" s="15"/>
      <c r="CHO43" s="15"/>
      <c r="CHP43" s="14"/>
      <c r="CHQ43" s="15"/>
      <c r="CHR43" s="15"/>
      <c r="CHS43" s="15"/>
      <c r="CHT43" s="14"/>
      <c r="CHU43" s="10"/>
      <c r="CHV43" s="15"/>
      <c r="CHW43" s="15"/>
      <c r="CHX43" s="14"/>
      <c r="CHY43" s="15"/>
      <c r="CHZ43" s="15"/>
      <c r="CIA43" s="15"/>
      <c r="CIB43" s="14"/>
      <c r="CIC43" s="15"/>
      <c r="CID43" s="15"/>
      <c r="CIE43" s="15"/>
      <c r="CIF43" s="14"/>
      <c r="CIG43" s="15"/>
      <c r="CIH43" s="15"/>
      <c r="CII43" s="15"/>
      <c r="CIJ43" s="14"/>
      <c r="CIK43" s="10"/>
      <c r="CIL43" s="15"/>
      <c r="CIM43" s="15"/>
      <c r="CIN43" s="14"/>
      <c r="CIO43" s="15"/>
      <c r="CIP43" s="15"/>
      <c r="CIQ43" s="15"/>
      <c r="CIR43" s="14"/>
      <c r="CIS43" s="15"/>
      <c r="CIT43" s="15"/>
      <c r="CIU43" s="15"/>
      <c r="CIV43" s="14"/>
      <c r="CIW43" s="15"/>
      <c r="CIX43" s="15"/>
      <c r="CIY43" s="15"/>
      <c r="CIZ43" s="14"/>
      <c r="CJA43" s="10"/>
      <c r="CJB43" s="15"/>
      <c r="CJC43" s="15"/>
      <c r="CJD43" s="14"/>
      <c r="CJE43" s="15"/>
      <c r="CJF43" s="15"/>
      <c r="CJG43" s="15"/>
      <c r="CJH43" s="14"/>
      <c r="CJI43" s="15"/>
      <c r="CJJ43" s="15"/>
      <c r="CJK43" s="15"/>
      <c r="CJL43" s="14"/>
      <c r="CJM43" s="15"/>
      <c r="CJN43" s="15"/>
      <c r="CJO43" s="15"/>
      <c r="CJP43" s="14"/>
      <c r="CJQ43" s="10"/>
      <c r="CJR43" s="15"/>
      <c r="CJS43" s="15"/>
      <c r="CJT43" s="14"/>
      <c r="CJU43" s="15"/>
      <c r="CJV43" s="15"/>
      <c r="CJW43" s="15"/>
      <c r="CJX43" s="14"/>
      <c r="CJY43" s="15"/>
      <c r="CJZ43" s="15"/>
      <c r="CKA43" s="15"/>
      <c r="CKB43" s="14"/>
      <c r="CKC43" s="15"/>
      <c r="CKD43" s="15"/>
      <c r="CKE43" s="15"/>
      <c r="CKF43" s="14"/>
      <c r="CKG43" s="10"/>
      <c r="CKH43" s="15"/>
      <c r="CKI43" s="15"/>
      <c r="CKJ43" s="14"/>
      <c r="CKK43" s="15"/>
      <c r="CKL43" s="15"/>
      <c r="CKM43" s="15"/>
      <c r="CKN43" s="14"/>
      <c r="CKO43" s="15"/>
      <c r="CKP43" s="15"/>
      <c r="CKQ43" s="15"/>
      <c r="CKR43" s="14"/>
      <c r="CKS43" s="15"/>
      <c r="CKT43" s="15"/>
      <c r="CKU43" s="15"/>
      <c r="CKV43" s="14"/>
      <c r="CKW43" s="10"/>
      <c r="CKX43" s="15"/>
      <c r="CKY43" s="15"/>
      <c r="CKZ43" s="14"/>
      <c r="CLA43" s="15"/>
      <c r="CLB43" s="15"/>
      <c r="CLC43" s="15"/>
      <c r="CLD43" s="14"/>
      <c r="CLE43" s="15"/>
      <c r="CLF43" s="15"/>
      <c r="CLG43" s="15"/>
      <c r="CLH43" s="14"/>
      <c r="CLI43" s="15"/>
      <c r="CLJ43" s="15"/>
      <c r="CLK43" s="15"/>
      <c r="CLL43" s="14"/>
      <c r="CLM43" s="10"/>
      <c r="CLN43" s="15"/>
      <c r="CLO43" s="15"/>
      <c r="CLP43" s="14"/>
      <c r="CLQ43" s="15"/>
      <c r="CLR43" s="15"/>
      <c r="CLS43" s="15"/>
      <c r="CLT43" s="14"/>
      <c r="CLU43" s="15"/>
      <c r="CLV43" s="15"/>
      <c r="CLW43" s="15"/>
      <c r="CLX43" s="14"/>
      <c r="CLY43" s="15"/>
      <c r="CLZ43" s="15"/>
      <c r="CMA43" s="15"/>
      <c r="CMB43" s="14"/>
      <c r="CMC43" s="10"/>
      <c r="CMD43" s="15"/>
      <c r="CME43" s="15"/>
      <c r="CMF43" s="14"/>
      <c r="CMG43" s="15"/>
      <c r="CMH43" s="15"/>
      <c r="CMI43" s="15"/>
      <c r="CMJ43" s="14"/>
      <c r="CMK43" s="15"/>
      <c r="CML43" s="15"/>
      <c r="CMM43" s="15"/>
      <c r="CMN43" s="14"/>
      <c r="CMO43" s="15"/>
      <c r="CMP43" s="15"/>
      <c r="CMQ43" s="15"/>
      <c r="CMR43" s="14"/>
      <c r="CMS43" s="10"/>
      <c r="CMT43" s="15"/>
      <c r="CMU43" s="15"/>
      <c r="CMV43" s="14"/>
      <c r="CMW43" s="15"/>
      <c r="CMX43" s="15"/>
      <c r="CMY43" s="15"/>
      <c r="CMZ43" s="14"/>
      <c r="CNA43" s="15"/>
      <c r="CNB43" s="15"/>
      <c r="CNC43" s="15"/>
      <c r="CND43" s="14"/>
      <c r="CNE43" s="15"/>
      <c r="CNF43" s="15"/>
      <c r="CNG43" s="15"/>
      <c r="CNH43" s="14"/>
      <c r="CNI43" s="10"/>
      <c r="CNJ43" s="15"/>
      <c r="CNK43" s="15"/>
      <c r="CNL43" s="14"/>
      <c r="CNM43" s="15"/>
      <c r="CNN43" s="15"/>
      <c r="CNO43" s="15"/>
      <c r="CNP43" s="14"/>
      <c r="CNQ43" s="15"/>
      <c r="CNR43" s="15"/>
      <c r="CNS43" s="15"/>
      <c r="CNT43" s="14"/>
      <c r="CNU43" s="15"/>
      <c r="CNV43" s="15"/>
      <c r="CNW43" s="15"/>
      <c r="CNX43" s="14"/>
      <c r="CNY43" s="10"/>
      <c r="CNZ43" s="15"/>
      <c r="COA43" s="15"/>
      <c r="COB43" s="14"/>
      <c r="COC43" s="15"/>
      <c r="COD43" s="15"/>
      <c r="COE43" s="15"/>
      <c r="COF43" s="14"/>
      <c r="COG43" s="15"/>
      <c r="COH43" s="15"/>
      <c r="COI43" s="15"/>
      <c r="COJ43" s="14"/>
      <c r="COK43" s="15"/>
      <c r="COL43" s="15"/>
      <c r="COM43" s="15"/>
      <c r="CON43" s="14"/>
      <c r="COO43" s="10"/>
      <c r="COP43" s="15"/>
      <c r="COQ43" s="15"/>
      <c r="COR43" s="14"/>
      <c r="COS43" s="15"/>
      <c r="COT43" s="15"/>
      <c r="COU43" s="15"/>
      <c r="COV43" s="14"/>
      <c r="COW43" s="15"/>
      <c r="COX43" s="15"/>
      <c r="COY43" s="15"/>
      <c r="COZ43" s="14"/>
      <c r="CPA43" s="15"/>
      <c r="CPB43" s="15"/>
      <c r="CPC43" s="15"/>
      <c r="CPD43" s="14"/>
      <c r="CPE43" s="10"/>
      <c r="CPF43" s="15"/>
      <c r="CPG43" s="15"/>
      <c r="CPH43" s="14"/>
      <c r="CPI43" s="15"/>
      <c r="CPJ43" s="15"/>
      <c r="CPK43" s="15"/>
      <c r="CPL43" s="14"/>
      <c r="CPM43" s="15"/>
      <c r="CPN43" s="15"/>
      <c r="CPO43" s="15"/>
      <c r="CPP43" s="14"/>
      <c r="CPQ43" s="15"/>
      <c r="CPR43" s="15"/>
      <c r="CPS43" s="15"/>
      <c r="CPT43" s="14"/>
      <c r="CPU43" s="10"/>
      <c r="CPV43" s="15"/>
      <c r="CPW43" s="15"/>
      <c r="CPX43" s="14"/>
      <c r="CPY43" s="15"/>
      <c r="CPZ43" s="15"/>
      <c r="CQA43" s="15"/>
      <c r="CQB43" s="14"/>
      <c r="CQC43" s="15"/>
      <c r="CQD43" s="15"/>
      <c r="CQE43" s="15"/>
      <c r="CQF43" s="14"/>
      <c r="CQG43" s="15"/>
      <c r="CQH43" s="15"/>
      <c r="CQI43" s="15"/>
      <c r="CQJ43" s="14"/>
      <c r="CQK43" s="10"/>
      <c r="CQL43" s="15"/>
      <c r="CQM43" s="15"/>
      <c r="CQN43" s="14"/>
      <c r="CQO43" s="15"/>
      <c r="CQP43" s="15"/>
      <c r="CQQ43" s="15"/>
      <c r="CQR43" s="14"/>
      <c r="CQS43" s="15"/>
      <c r="CQT43" s="15"/>
      <c r="CQU43" s="15"/>
      <c r="CQV43" s="14"/>
      <c r="CQW43" s="15"/>
      <c r="CQX43" s="15"/>
      <c r="CQY43" s="15"/>
      <c r="CQZ43" s="14"/>
      <c r="CRA43" s="10"/>
      <c r="CRB43" s="15"/>
      <c r="CRC43" s="15"/>
      <c r="CRD43" s="14"/>
      <c r="CRE43" s="15"/>
      <c r="CRF43" s="15"/>
      <c r="CRG43" s="15"/>
      <c r="CRH43" s="14"/>
      <c r="CRI43" s="15"/>
      <c r="CRJ43" s="15"/>
      <c r="CRK43" s="15"/>
      <c r="CRL43" s="14"/>
      <c r="CRM43" s="15"/>
      <c r="CRN43" s="15"/>
      <c r="CRO43" s="15"/>
      <c r="CRP43" s="14"/>
      <c r="CRQ43" s="10"/>
      <c r="CRR43" s="15"/>
      <c r="CRS43" s="15"/>
      <c r="CRT43" s="14"/>
      <c r="CRU43" s="15"/>
      <c r="CRV43" s="15"/>
      <c r="CRW43" s="15"/>
      <c r="CRX43" s="14"/>
      <c r="CRY43" s="15"/>
      <c r="CRZ43" s="15"/>
      <c r="CSA43" s="15"/>
      <c r="CSB43" s="14"/>
      <c r="CSC43" s="15"/>
      <c r="CSD43" s="15"/>
      <c r="CSE43" s="15"/>
      <c r="CSF43" s="14"/>
      <c r="CSG43" s="10"/>
      <c r="CSH43" s="15"/>
      <c r="CSI43" s="15"/>
      <c r="CSJ43" s="14"/>
      <c r="CSK43" s="15"/>
      <c r="CSL43" s="15"/>
      <c r="CSM43" s="15"/>
      <c r="CSN43" s="14"/>
      <c r="CSO43" s="15"/>
      <c r="CSP43" s="15"/>
      <c r="CSQ43" s="15"/>
      <c r="CSR43" s="14"/>
      <c r="CSS43" s="15"/>
      <c r="CST43" s="15"/>
      <c r="CSU43" s="15"/>
      <c r="CSV43" s="14"/>
      <c r="CSW43" s="10"/>
      <c r="CSX43" s="15"/>
      <c r="CSY43" s="15"/>
      <c r="CSZ43" s="14"/>
      <c r="CTA43" s="15"/>
      <c r="CTB43" s="15"/>
      <c r="CTC43" s="15"/>
      <c r="CTD43" s="14"/>
      <c r="CTE43" s="15"/>
      <c r="CTF43" s="15"/>
      <c r="CTG43" s="15"/>
      <c r="CTH43" s="14"/>
      <c r="CTI43" s="15"/>
      <c r="CTJ43" s="15"/>
      <c r="CTK43" s="15"/>
      <c r="CTL43" s="14"/>
      <c r="CTM43" s="10"/>
      <c r="CTN43" s="15"/>
      <c r="CTO43" s="15"/>
      <c r="CTP43" s="14"/>
      <c r="CTQ43" s="15"/>
      <c r="CTR43" s="15"/>
      <c r="CTS43" s="15"/>
      <c r="CTT43" s="14"/>
      <c r="CTU43" s="15"/>
      <c r="CTV43" s="15"/>
      <c r="CTW43" s="15"/>
      <c r="CTX43" s="14"/>
      <c r="CTY43" s="15"/>
      <c r="CTZ43" s="15"/>
      <c r="CUA43" s="15"/>
      <c r="CUB43" s="14"/>
      <c r="CUC43" s="10"/>
      <c r="CUD43" s="15"/>
      <c r="CUE43" s="15"/>
      <c r="CUF43" s="14"/>
      <c r="CUG43" s="15"/>
      <c r="CUH43" s="15"/>
      <c r="CUI43" s="15"/>
      <c r="CUJ43" s="14"/>
      <c r="CUK43" s="15"/>
      <c r="CUL43" s="15"/>
      <c r="CUM43" s="15"/>
      <c r="CUN43" s="14"/>
      <c r="CUO43" s="15"/>
      <c r="CUP43" s="15"/>
      <c r="CUQ43" s="15"/>
      <c r="CUR43" s="14"/>
      <c r="CUS43" s="10"/>
      <c r="CUT43" s="15"/>
      <c r="CUU43" s="15"/>
      <c r="CUV43" s="14"/>
      <c r="CUW43" s="15"/>
      <c r="CUX43" s="15"/>
      <c r="CUY43" s="15"/>
      <c r="CUZ43" s="14"/>
      <c r="CVA43" s="15"/>
      <c r="CVB43" s="15"/>
      <c r="CVC43" s="15"/>
      <c r="CVD43" s="14"/>
      <c r="CVE43" s="15"/>
      <c r="CVF43" s="15"/>
      <c r="CVG43" s="15"/>
      <c r="CVH43" s="14"/>
      <c r="CVI43" s="10"/>
      <c r="CVJ43" s="15"/>
      <c r="CVK43" s="15"/>
      <c r="CVL43" s="14"/>
      <c r="CVM43" s="15"/>
      <c r="CVN43" s="15"/>
      <c r="CVO43" s="15"/>
      <c r="CVP43" s="14"/>
      <c r="CVQ43" s="15"/>
      <c r="CVR43" s="15"/>
      <c r="CVS43" s="15"/>
      <c r="CVT43" s="14"/>
      <c r="CVU43" s="15"/>
      <c r="CVV43" s="15"/>
      <c r="CVW43" s="15"/>
      <c r="CVX43" s="14"/>
      <c r="CVY43" s="10"/>
      <c r="CVZ43" s="15"/>
      <c r="CWA43" s="15"/>
      <c r="CWB43" s="14"/>
      <c r="CWC43" s="15"/>
      <c r="CWD43" s="15"/>
      <c r="CWE43" s="15"/>
      <c r="CWF43" s="14"/>
      <c r="CWG43" s="15"/>
      <c r="CWH43" s="15"/>
      <c r="CWI43" s="15"/>
      <c r="CWJ43" s="14"/>
      <c r="CWK43" s="15"/>
      <c r="CWL43" s="15"/>
      <c r="CWM43" s="15"/>
      <c r="CWN43" s="14"/>
      <c r="CWO43" s="10"/>
      <c r="CWP43" s="15"/>
      <c r="CWQ43" s="15"/>
      <c r="CWR43" s="14"/>
      <c r="CWS43" s="15"/>
      <c r="CWT43" s="15"/>
      <c r="CWU43" s="15"/>
      <c r="CWV43" s="14"/>
      <c r="CWW43" s="15"/>
      <c r="CWX43" s="15"/>
      <c r="CWY43" s="15"/>
      <c r="CWZ43" s="14"/>
      <c r="CXA43" s="15"/>
      <c r="CXB43" s="15"/>
      <c r="CXC43" s="15"/>
      <c r="CXD43" s="14"/>
      <c r="CXE43" s="10"/>
      <c r="CXF43" s="15"/>
      <c r="CXG43" s="15"/>
      <c r="CXH43" s="14"/>
      <c r="CXI43" s="15"/>
      <c r="CXJ43" s="15"/>
      <c r="CXK43" s="15"/>
      <c r="CXL43" s="14"/>
      <c r="CXM43" s="15"/>
      <c r="CXN43" s="15"/>
      <c r="CXO43" s="15"/>
      <c r="CXP43" s="14"/>
      <c r="CXQ43" s="15"/>
      <c r="CXR43" s="15"/>
      <c r="CXS43" s="15"/>
      <c r="CXT43" s="14"/>
      <c r="CXU43" s="10"/>
      <c r="CXV43" s="15"/>
      <c r="CXW43" s="15"/>
      <c r="CXX43" s="14"/>
      <c r="CXY43" s="15"/>
      <c r="CXZ43" s="15"/>
      <c r="CYA43" s="15"/>
      <c r="CYB43" s="14"/>
      <c r="CYC43" s="15"/>
      <c r="CYD43" s="15"/>
      <c r="CYE43" s="15"/>
      <c r="CYF43" s="14"/>
      <c r="CYG43" s="15"/>
      <c r="CYH43" s="15"/>
      <c r="CYI43" s="15"/>
      <c r="CYJ43" s="14"/>
      <c r="CYK43" s="10"/>
      <c r="CYL43" s="15"/>
      <c r="CYM43" s="15"/>
      <c r="CYN43" s="14"/>
      <c r="CYO43" s="15"/>
      <c r="CYP43" s="15"/>
      <c r="CYQ43" s="15"/>
      <c r="CYR43" s="14"/>
      <c r="CYS43" s="15"/>
      <c r="CYT43" s="15"/>
      <c r="CYU43" s="15"/>
      <c r="CYV43" s="14"/>
      <c r="CYW43" s="15"/>
      <c r="CYX43" s="15"/>
      <c r="CYY43" s="15"/>
      <c r="CYZ43" s="14"/>
      <c r="CZA43" s="10"/>
      <c r="CZB43" s="15"/>
      <c r="CZC43" s="15"/>
      <c r="CZD43" s="14"/>
      <c r="CZE43" s="15"/>
      <c r="CZF43" s="15"/>
      <c r="CZG43" s="15"/>
      <c r="CZH43" s="14"/>
      <c r="CZI43" s="15"/>
      <c r="CZJ43" s="15"/>
      <c r="CZK43" s="15"/>
      <c r="CZL43" s="14"/>
      <c r="CZM43" s="15"/>
      <c r="CZN43" s="15"/>
      <c r="CZO43" s="15"/>
      <c r="CZP43" s="14"/>
      <c r="CZQ43" s="10"/>
      <c r="CZR43" s="15"/>
      <c r="CZS43" s="15"/>
      <c r="CZT43" s="14"/>
      <c r="CZU43" s="15"/>
      <c r="CZV43" s="15"/>
      <c r="CZW43" s="15"/>
      <c r="CZX43" s="14"/>
      <c r="CZY43" s="15"/>
      <c r="CZZ43" s="15"/>
      <c r="DAA43" s="15"/>
      <c r="DAB43" s="14"/>
      <c r="DAC43" s="15"/>
      <c r="DAD43" s="15"/>
      <c r="DAE43" s="15"/>
      <c r="DAF43" s="14"/>
      <c r="DAG43" s="10"/>
      <c r="DAH43" s="15"/>
      <c r="DAI43" s="15"/>
      <c r="DAJ43" s="14"/>
      <c r="DAK43" s="15"/>
      <c r="DAL43" s="15"/>
      <c r="DAM43" s="15"/>
      <c r="DAN43" s="14"/>
      <c r="DAO43" s="15"/>
      <c r="DAP43" s="15"/>
      <c r="DAQ43" s="15"/>
      <c r="DAR43" s="14"/>
      <c r="DAS43" s="15"/>
      <c r="DAT43" s="15"/>
      <c r="DAU43" s="15"/>
      <c r="DAV43" s="14"/>
      <c r="DAW43" s="10"/>
      <c r="DAX43" s="15"/>
      <c r="DAY43" s="15"/>
      <c r="DAZ43" s="14"/>
      <c r="DBA43" s="15"/>
      <c r="DBB43" s="15"/>
      <c r="DBC43" s="15"/>
      <c r="DBD43" s="14"/>
      <c r="DBE43" s="15"/>
      <c r="DBF43" s="15"/>
      <c r="DBG43" s="15"/>
      <c r="DBH43" s="14"/>
      <c r="DBI43" s="15"/>
      <c r="DBJ43" s="15"/>
      <c r="DBK43" s="15"/>
      <c r="DBL43" s="14"/>
      <c r="DBM43" s="10"/>
      <c r="DBN43" s="15"/>
      <c r="DBO43" s="15"/>
      <c r="DBP43" s="14"/>
      <c r="DBQ43" s="15"/>
      <c r="DBR43" s="15"/>
      <c r="DBS43" s="15"/>
      <c r="DBT43" s="14"/>
      <c r="DBU43" s="15"/>
      <c r="DBV43" s="15"/>
      <c r="DBW43" s="15"/>
      <c r="DBX43" s="14"/>
      <c r="DBY43" s="15"/>
      <c r="DBZ43" s="15"/>
      <c r="DCA43" s="15"/>
      <c r="DCB43" s="14"/>
      <c r="DCC43" s="10"/>
      <c r="DCD43" s="15"/>
      <c r="DCE43" s="15"/>
      <c r="DCF43" s="14"/>
      <c r="DCG43" s="15"/>
      <c r="DCH43" s="15"/>
      <c r="DCI43" s="15"/>
      <c r="DCJ43" s="14"/>
      <c r="DCK43" s="15"/>
      <c r="DCL43" s="15"/>
      <c r="DCM43" s="15"/>
      <c r="DCN43" s="14"/>
      <c r="DCO43" s="15"/>
      <c r="DCP43" s="15"/>
      <c r="DCQ43" s="15"/>
      <c r="DCR43" s="14"/>
      <c r="DCS43" s="10"/>
      <c r="DCT43" s="15"/>
      <c r="DCU43" s="15"/>
      <c r="DCV43" s="14"/>
      <c r="DCW43" s="15"/>
      <c r="DCX43" s="15"/>
      <c r="DCY43" s="15"/>
      <c r="DCZ43" s="14"/>
      <c r="DDA43" s="15"/>
      <c r="DDB43" s="15"/>
      <c r="DDC43" s="15"/>
      <c r="DDD43" s="14"/>
      <c r="DDE43" s="15"/>
      <c r="DDF43" s="15"/>
      <c r="DDG43" s="15"/>
      <c r="DDH43" s="14"/>
      <c r="DDI43" s="10"/>
      <c r="DDJ43" s="15"/>
      <c r="DDK43" s="15"/>
      <c r="DDL43" s="14"/>
      <c r="DDM43" s="15"/>
      <c r="DDN43" s="15"/>
      <c r="DDO43" s="15"/>
      <c r="DDP43" s="14"/>
      <c r="DDQ43" s="15"/>
      <c r="DDR43" s="15"/>
      <c r="DDS43" s="15"/>
      <c r="DDT43" s="14"/>
      <c r="DDU43" s="15"/>
      <c r="DDV43" s="15"/>
      <c r="DDW43" s="15"/>
      <c r="DDX43" s="14"/>
      <c r="DDY43" s="10"/>
      <c r="DDZ43" s="15"/>
      <c r="DEA43" s="15"/>
      <c r="DEB43" s="14"/>
      <c r="DEC43" s="15"/>
      <c r="DED43" s="15"/>
      <c r="DEE43" s="15"/>
      <c r="DEF43" s="14"/>
      <c r="DEG43" s="15"/>
      <c r="DEH43" s="15"/>
      <c r="DEI43" s="15"/>
      <c r="DEJ43" s="14"/>
      <c r="DEK43" s="15"/>
      <c r="DEL43" s="15"/>
      <c r="DEM43" s="15"/>
      <c r="DEN43" s="14"/>
      <c r="DEO43" s="10"/>
      <c r="DEP43" s="15"/>
      <c r="DEQ43" s="15"/>
      <c r="DER43" s="14"/>
      <c r="DES43" s="15"/>
      <c r="DET43" s="15"/>
      <c r="DEU43" s="15"/>
      <c r="DEV43" s="14"/>
      <c r="DEW43" s="15"/>
      <c r="DEX43" s="15"/>
      <c r="DEY43" s="15"/>
      <c r="DEZ43" s="14"/>
      <c r="DFA43" s="15"/>
      <c r="DFB43" s="15"/>
      <c r="DFC43" s="15"/>
      <c r="DFD43" s="14"/>
      <c r="DFE43" s="10"/>
      <c r="DFF43" s="15"/>
      <c r="DFG43" s="15"/>
      <c r="DFH43" s="14"/>
      <c r="DFI43" s="15"/>
      <c r="DFJ43" s="15"/>
      <c r="DFK43" s="15"/>
      <c r="DFL43" s="14"/>
      <c r="DFM43" s="15"/>
      <c r="DFN43" s="15"/>
      <c r="DFO43" s="15"/>
      <c r="DFP43" s="14"/>
      <c r="DFQ43" s="15"/>
      <c r="DFR43" s="15"/>
      <c r="DFS43" s="15"/>
      <c r="DFT43" s="14"/>
      <c r="DFU43" s="10"/>
      <c r="DFV43" s="15"/>
      <c r="DFW43" s="15"/>
      <c r="DFX43" s="14"/>
      <c r="DFY43" s="15"/>
      <c r="DFZ43" s="15"/>
      <c r="DGA43" s="15"/>
      <c r="DGB43" s="14"/>
      <c r="DGC43" s="15"/>
      <c r="DGD43" s="15"/>
      <c r="DGE43" s="15"/>
      <c r="DGF43" s="14"/>
      <c r="DGG43" s="15"/>
      <c r="DGH43" s="15"/>
      <c r="DGI43" s="15"/>
      <c r="DGJ43" s="14"/>
      <c r="DGK43" s="10"/>
      <c r="DGL43" s="15"/>
      <c r="DGM43" s="15"/>
      <c r="DGN43" s="14"/>
      <c r="DGO43" s="15"/>
      <c r="DGP43" s="15"/>
      <c r="DGQ43" s="15"/>
      <c r="DGR43" s="14"/>
      <c r="DGS43" s="15"/>
      <c r="DGT43" s="15"/>
      <c r="DGU43" s="15"/>
      <c r="DGV43" s="14"/>
      <c r="DGW43" s="15"/>
      <c r="DGX43" s="15"/>
      <c r="DGY43" s="15"/>
      <c r="DGZ43" s="14"/>
      <c r="DHA43" s="10"/>
      <c r="DHB43" s="15"/>
      <c r="DHC43" s="15"/>
      <c r="DHD43" s="14"/>
      <c r="DHE43" s="15"/>
      <c r="DHF43" s="15"/>
      <c r="DHG43" s="15"/>
      <c r="DHH43" s="14"/>
      <c r="DHI43" s="15"/>
      <c r="DHJ43" s="15"/>
      <c r="DHK43" s="15"/>
      <c r="DHL43" s="14"/>
      <c r="DHM43" s="15"/>
      <c r="DHN43" s="15"/>
      <c r="DHO43" s="15"/>
      <c r="DHP43" s="14"/>
      <c r="DHQ43" s="10"/>
      <c r="DHR43" s="15"/>
      <c r="DHS43" s="15"/>
      <c r="DHT43" s="14"/>
      <c r="DHU43" s="15"/>
      <c r="DHV43" s="15"/>
      <c r="DHW43" s="15"/>
      <c r="DHX43" s="14"/>
      <c r="DHY43" s="15"/>
      <c r="DHZ43" s="15"/>
      <c r="DIA43" s="15"/>
      <c r="DIB43" s="14"/>
      <c r="DIC43" s="15"/>
      <c r="DID43" s="15"/>
      <c r="DIE43" s="15"/>
      <c r="DIF43" s="14"/>
      <c r="DIG43" s="10"/>
      <c r="DIH43" s="15"/>
      <c r="DII43" s="15"/>
      <c r="DIJ43" s="14"/>
      <c r="DIK43" s="15"/>
      <c r="DIL43" s="15"/>
      <c r="DIM43" s="15"/>
      <c r="DIN43" s="14"/>
      <c r="DIO43" s="15"/>
      <c r="DIP43" s="15"/>
      <c r="DIQ43" s="15"/>
      <c r="DIR43" s="14"/>
      <c r="DIS43" s="15"/>
      <c r="DIT43" s="15"/>
      <c r="DIU43" s="15"/>
      <c r="DIV43" s="14"/>
      <c r="DIW43" s="10"/>
      <c r="DIX43" s="15"/>
      <c r="DIY43" s="15"/>
      <c r="DIZ43" s="14"/>
      <c r="DJA43" s="15"/>
      <c r="DJB43" s="15"/>
      <c r="DJC43" s="15"/>
      <c r="DJD43" s="14"/>
      <c r="DJE43" s="15"/>
      <c r="DJF43" s="15"/>
      <c r="DJG43" s="15"/>
      <c r="DJH43" s="14"/>
      <c r="DJI43" s="15"/>
      <c r="DJJ43" s="15"/>
      <c r="DJK43" s="15"/>
      <c r="DJL43" s="14"/>
      <c r="DJM43" s="10"/>
      <c r="DJN43" s="15"/>
      <c r="DJO43" s="15"/>
      <c r="DJP43" s="14"/>
      <c r="DJQ43" s="15"/>
      <c r="DJR43" s="15"/>
      <c r="DJS43" s="15"/>
      <c r="DJT43" s="14"/>
      <c r="DJU43" s="15"/>
      <c r="DJV43" s="15"/>
      <c r="DJW43" s="15"/>
      <c r="DJX43" s="14"/>
      <c r="DJY43" s="15"/>
      <c r="DJZ43" s="15"/>
      <c r="DKA43" s="15"/>
      <c r="DKB43" s="14"/>
      <c r="DKC43" s="10"/>
      <c r="DKD43" s="15"/>
      <c r="DKE43" s="15"/>
      <c r="DKF43" s="14"/>
      <c r="DKG43" s="15"/>
      <c r="DKH43" s="15"/>
      <c r="DKI43" s="15"/>
      <c r="DKJ43" s="14"/>
      <c r="DKK43" s="15"/>
      <c r="DKL43" s="15"/>
      <c r="DKM43" s="15"/>
      <c r="DKN43" s="14"/>
      <c r="DKO43" s="15"/>
      <c r="DKP43" s="15"/>
      <c r="DKQ43" s="15"/>
      <c r="DKR43" s="14"/>
      <c r="DKS43" s="10"/>
      <c r="DKT43" s="15"/>
      <c r="DKU43" s="15"/>
      <c r="DKV43" s="14"/>
      <c r="DKW43" s="15"/>
      <c r="DKX43" s="15"/>
      <c r="DKY43" s="15"/>
      <c r="DKZ43" s="14"/>
      <c r="DLA43" s="15"/>
      <c r="DLB43" s="15"/>
      <c r="DLC43" s="15"/>
      <c r="DLD43" s="14"/>
      <c r="DLE43" s="15"/>
      <c r="DLF43" s="15"/>
      <c r="DLG43" s="15"/>
      <c r="DLH43" s="14"/>
      <c r="DLI43" s="10"/>
      <c r="DLJ43" s="15"/>
      <c r="DLK43" s="15"/>
      <c r="DLL43" s="14"/>
      <c r="DLM43" s="15"/>
      <c r="DLN43" s="15"/>
      <c r="DLO43" s="15"/>
      <c r="DLP43" s="14"/>
      <c r="DLQ43" s="15"/>
      <c r="DLR43" s="15"/>
      <c r="DLS43" s="15"/>
      <c r="DLT43" s="14"/>
      <c r="DLU43" s="15"/>
      <c r="DLV43" s="15"/>
      <c r="DLW43" s="15"/>
      <c r="DLX43" s="14"/>
      <c r="DLY43" s="10"/>
      <c r="DLZ43" s="15"/>
      <c r="DMA43" s="15"/>
      <c r="DMB43" s="14"/>
      <c r="DMC43" s="15"/>
      <c r="DMD43" s="15"/>
      <c r="DME43" s="15"/>
      <c r="DMF43" s="14"/>
      <c r="DMG43" s="15"/>
      <c r="DMH43" s="15"/>
      <c r="DMI43" s="15"/>
      <c r="DMJ43" s="14"/>
      <c r="DMK43" s="15"/>
      <c r="DML43" s="15"/>
      <c r="DMM43" s="15"/>
      <c r="DMN43" s="14"/>
      <c r="DMO43" s="10"/>
      <c r="DMP43" s="15"/>
      <c r="DMQ43" s="15"/>
      <c r="DMR43" s="14"/>
      <c r="DMS43" s="15"/>
      <c r="DMT43" s="15"/>
      <c r="DMU43" s="15"/>
      <c r="DMV43" s="14"/>
      <c r="DMW43" s="15"/>
      <c r="DMX43" s="15"/>
      <c r="DMY43" s="15"/>
      <c r="DMZ43" s="14"/>
      <c r="DNA43" s="15"/>
      <c r="DNB43" s="15"/>
      <c r="DNC43" s="15"/>
      <c r="DND43" s="14"/>
      <c r="DNE43" s="10"/>
      <c r="DNF43" s="15"/>
      <c r="DNG43" s="15"/>
      <c r="DNH43" s="14"/>
      <c r="DNI43" s="15"/>
      <c r="DNJ43" s="15"/>
      <c r="DNK43" s="15"/>
      <c r="DNL43" s="14"/>
      <c r="DNM43" s="15"/>
      <c r="DNN43" s="15"/>
      <c r="DNO43" s="15"/>
      <c r="DNP43" s="14"/>
      <c r="DNQ43" s="15"/>
      <c r="DNR43" s="15"/>
      <c r="DNS43" s="15"/>
      <c r="DNT43" s="14"/>
      <c r="DNU43" s="10"/>
      <c r="DNV43" s="15"/>
      <c r="DNW43" s="15"/>
      <c r="DNX43" s="14"/>
      <c r="DNY43" s="15"/>
      <c r="DNZ43" s="15"/>
      <c r="DOA43" s="15"/>
      <c r="DOB43" s="14"/>
      <c r="DOC43" s="15"/>
      <c r="DOD43" s="15"/>
      <c r="DOE43" s="15"/>
      <c r="DOF43" s="14"/>
      <c r="DOG43" s="15"/>
      <c r="DOH43" s="15"/>
      <c r="DOI43" s="15"/>
      <c r="DOJ43" s="14"/>
      <c r="DOK43" s="10"/>
      <c r="DOL43" s="15"/>
      <c r="DOM43" s="15"/>
      <c r="DON43" s="14"/>
      <c r="DOO43" s="15"/>
      <c r="DOP43" s="15"/>
      <c r="DOQ43" s="15"/>
      <c r="DOR43" s="14"/>
      <c r="DOS43" s="15"/>
      <c r="DOT43" s="15"/>
      <c r="DOU43" s="15"/>
      <c r="DOV43" s="14"/>
      <c r="DOW43" s="15"/>
      <c r="DOX43" s="15"/>
      <c r="DOY43" s="15"/>
      <c r="DOZ43" s="14"/>
      <c r="DPA43" s="10"/>
      <c r="DPB43" s="15"/>
      <c r="DPC43" s="15"/>
      <c r="DPD43" s="14"/>
      <c r="DPE43" s="15"/>
      <c r="DPF43" s="15"/>
      <c r="DPG43" s="15"/>
      <c r="DPH43" s="14"/>
      <c r="DPI43" s="15"/>
      <c r="DPJ43" s="15"/>
      <c r="DPK43" s="15"/>
      <c r="DPL43" s="14"/>
      <c r="DPM43" s="15"/>
      <c r="DPN43" s="15"/>
      <c r="DPO43" s="15"/>
      <c r="DPP43" s="14"/>
      <c r="DPQ43" s="10"/>
      <c r="DPR43" s="15"/>
      <c r="DPS43" s="15"/>
      <c r="DPT43" s="14"/>
      <c r="DPU43" s="15"/>
      <c r="DPV43" s="15"/>
      <c r="DPW43" s="15"/>
      <c r="DPX43" s="14"/>
      <c r="DPY43" s="15"/>
      <c r="DPZ43" s="15"/>
      <c r="DQA43" s="15"/>
      <c r="DQB43" s="14"/>
      <c r="DQC43" s="15"/>
      <c r="DQD43" s="15"/>
      <c r="DQE43" s="15"/>
      <c r="DQF43" s="14"/>
      <c r="DQG43" s="10"/>
      <c r="DQH43" s="15"/>
      <c r="DQI43" s="15"/>
      <c r="DQJ43" s="14"/>
      <c r="DQK43" s="15"/>
      <c r="DQL43" s="15"/>
      <c r="DQM43" s="15"/>
      <c r="DQN43" s="14"/>
      <c r="DQO43" s="15"/>
      <c r="DQP43" s="15"/>
      <c r="DQQ43" s="15"/>
      <c r="DQR43" s="14"/>
      <c r="DQS43" s="15"/>
      <c r="DQT43" s="15"/>
      <c r="DQU43" s="15"/>
      <c r="DQV43" s="14"/>
      <c r="DQW43" s="10"/>
      <c r="DQX43" s="15"/>
      <c r="DQY43" s="15"/>
      <c r="DQZ43" s="14"/>
      <c r="DRA43" s="15"/>
      <c r="DRB43" s="15"/>
      <c r="DRC43" s="15"/>
      <c r="DRD43" s="14"/>
      <c r="DRE43" s="15"/>
      <c r="DRF43" s="15"/>
      <c r="DRG43" s="15"/>
      <c r="DRH43" s="14"/>
      <c r="DRI43" s="15"/>
      <c r="DRJ43" s="15"/>
      <c r="DRK43" s="15"/>
      <c r="DRL43" s="14"/>
      <c r="DRM43" s="10"/>
      <c r="DRN43" s="15"/>
      <c r="DRO43" s="15"/>
      <c r="DRP43" s="14"/>
      <c r="DRQ43" s="15"/>
      <c r="DRR43" s="15"/>
      <c r="DRS43" s="15"/>
      <c r="DRT43" s="14"/>
      <c r="DRU43" s="15"/>
      <c r="DRV43" s="15"/>
      <c r="DRW43" s="15"/>
      <c r="DRX43" s="14"/>
      <c r="DRY43" s="15"/>
      <c r="DRZ43" s="15"/>
      <c r="DSA43" s="15"/>
      <c r="DSB43" s="14"/>
      <c r="DSC43" s="10"/>
      <c r="DSD43" s="15"/>
      <c r="DSE43" s="15"/>
      <c r="DSF43" s="14"/>
      <c r="DSG43" s="15"/>
      <c r="DSH43" s="15"/>
      <c r="DSI43" s="15"/>
      <c r="DSJ43" s="14"/>
      <c r="DSK43" s="15"/>
      <c r="DSL43" s="15"/>
      <c r="DSM43" s="15"/>
      <c r="DSN43" s="14"/>
      <c r="DSO43" s="15"/>
      <c r="DSP43" s="15"/>
      <c r="DSQ43" s="15"/>
      <c r="DSR43" s="14"/>
      <c r="DSS43" s="10"/>
      <c r="DST43" s="15"/>
      <c r="DSU43" s="15"/>
      <c r="DSV43" s="14"/>
      <c r="DSW43" s="15"/>
      <c r="DSX43" s="15"/>
      <c r="DSY43" s="15"/>
      <c r="DSZ43" s="14"/>
      <c r="DTA43" s="15"/>
      <c r="DTB43" s="15"/>
      <c r="DTC43" s="15"/>
      <c r="DTD43" s="14"/>
      <c r="DTE43" s="15"/>
      <c r="DTF43" s="15"/>
      <c r="DTG43" s="15"/>
      <c r="DTH43" s="14"/>
      <c r="DTI43" s="10"/>
      <c r="DTJ43" s="15"/>
      <c r="DTK43" s="15"/>
      <c r="DTL43" s="14"/>
      <c r="DTM43" s="15"/>
      <c r="DTN43" s="15"/>
      <c r="DTO43" s="15"/>
      <c r="DTP43" s="14"/>
      <c r="DTQ43" s="15"/>
      <c r="DTR43" s="15"/>
      <c r="DTS43" s="15"/>
      <c r="DTT43" s="14"/>
      <c r="DTU43" s="15"/>
      <c r="DTV43" s="15"/>
      <c r="DTW43" s="15"/>
      <c r="DTX43" s="14"/>
      <c r="DTY43" s="10"/>
      <c r="DTZ43" s="15"/>
      <c r="DUA43" s="15"/>
      <c r="DUB43" s="14"/>
      <c r="DUC43" s="15"/>
      <c r="DUD43" s="15"/>
      <c r="DUE43" s="15"/>
      <c r="DUF43" s="14"/>
      <c r="DUG43" s="15"/>
      <c r="DUH43" s="15"/>
      <c r="DUI43" s="15"/>
      <c r="DUJ43" s="14"/>
      <c r="DUK43" s="15"/>
      <c r="DUL43" s="15"/>
      <c r="DUM43" s="15"/>
      <c r="DUN43" s="14"/>
      <c r="DUO43" s="10"/>
      <c r="DUP43" s="15"/>
      <c r="DUQ43" s="15"/>
      <c r="DUR43" s="14"/>
      <c r="DUS43" s="15"/>
      <c r="DUT43" s="15"/>
      <c r="DUU43" s="15"/>
      <c r="DUV43" s="14"/>
      <c r="DUW43" s="15"/>
      <c r="DUX43" s="15"/>
      <c r="DUY43" s="15"/>
      <c r="DUZ43" s="14"/>
      <c r="DVA43" s="15"/>
      <c r="DVB43" s="15"/>
      <c r="DVC43" s="15"/>
      <c r="DVD43" s="14"/>
      <c r="DVE43" s="10"/>
      <c r="DVF43" s="15"/>
      <c r="DVG43" s="15"/>
      <c r="DVH43" s="14"/>
      <c r="DVI43" s="15"/>
      <c r="DVJ43" s="15"/>
      <c r="DVK43" s="15"/>
      <c r="DVL43" s="14"/>
      <c r="DVM43" s="15"/>
      <c r="DVN43" s="15"/>
      <c r="DVO43" s="15"/>
      <c r="DVP43" s="14"/>
      <c r="DVQ43" s="15"/>
      <c r="DVR43" s="15"/>
      <c r="DVS43" s="15"/>
      <c r="DVT43" s="14"/>
      <c r="DVU43" s="10"/>
      <c r="DVV43" s="15"/>
      <c r="DVW43" s="15"/>
      <c r="DVX43" s="14"/>
      <c r="DVY43" s="15"/>
      <c r="DVZ43" s="15"/>
      <c r="DWA43" s="15"/>
      <c r="DWB43" s="14"/>
      <c r="DWC43" s="15"/>
      <c r="DWD43" s="15"/>
      <c r="DWE43" s="15"/>
      <c r="DWF43" s="14"/>
      <c r="DWG43" s="15"/>
      <c r="DWH43" s="15"/>
      <c r="DWI43" s="15"/>
      <c r="DWJ43" s="14"/>
      <c r="DWK43" s="10"/>
      <c r="DWL43" s="15"/>
      <c r="DWM43" s="15"/>
      <c r="DWN43" s="14"/>
      <c r="DWO43" s="15"/>
      <c r="DWP43" s="15"/>
      <c r="DWQ43" s="15"/>
      <c r="DWR43" s="14"/>
      <c r="DWS43" s="15"/>
      <c r="DWT43" s="15"/>
      <c r="DWU43" s="15"/>
      <c r="DWV43" s="14"/>
      <c r="DWW43" s="15"/>
      <c r="DWX43" s="15"/>
      <c r="DWY43" s="15"/>
      <c r="DWZ43" s="14"/>
      <c r="DXA43" s="10"/>
      <c r="DXB43" s="15"/>
      <c r="DXC43" s="15"/>
      <c r="DXD43" s="14"/>
      <c r="DXE43" s="15"/>
      <c r="DXF43" s="15"/>
      <c r="DXG43" s="15"/>
      <c r="DXH43" s="14"/>
      <c r="DXI43" s="15"/>
      <c r="DXJ43" s="15"/>
      <c r="DXK43" s="15"/>
      <c r="DXL43" s="14"/>
      <c r="DXM43" s="15"/>
      <c r="DXN43" s="15"/>
      <c r="DXO43" s="15"/>
      <c r="DXP43" s="14"/>
      <c r="DXQ43" s="10"/>
      <c r="DXR43" s="15"/>
      <c r="DXS43" s="15"/>
      <c r="DXT43" s="14"/>
      <c r="DXU43" s="15"/>
      <c r="DXV43" s="15"/>
      <c r="DXW43" s="15"/>
      <c r="DXX43" s="14"/>
      <c r="DXY43" s="15"/>
      <c r="DXZ43" s="15"/>
      <c r="DYA43" s="15"/>
      <c r="DYB43" s="14"/>
      <c r="DYC43" s="15"/>
      <c r="DYD43" s="15"/>
      <c r="DYE43" s="15"/>
      <c r="DYF43" s="14"/>
      <c r="DYG43" s="10"/>
      <c r="DYH43" s="15"/>
      <c r="DYI43" s="15"/>
      <c r="DYJ43" s="14"/>
      <c r="DYK43" s="15"/>
      <c r="DYL43" s="15"/>
      <c r="DYM43" s="15"/>
      <c r="DYN43" s="14"/>
      <c r="DYO43" s="15"/>
      <c r="DYP43" s="15"/>
      <c r="DYQ43" s="15"/>
      <c r="DYR43" s="14"/>
      <c r="DYS43" s="15"/>
      <c r="DYT43" s="15"/>
      <c r="DYU43" s="15"/>
      <c r="DYV43" s="14"/>
      <c r="DYW43" s="10"/>
      <c r="DYX43" s="15"/>
      <c r="DYY43" s="15"/>
      <c r="DYZ43" s="14"/>
      <c r="DZA43" s="15"/>
      <c r="DZB43" s="15"/>
      <c r="DZC43" s="15"/>
      <c r="DZD43" s="14"/>
      <c r="DZE43" s="15"/>
      <c r="DZF43" s="15"/>
      <c r="DZG43" s="15"/>
      <c r="DZH43" s="14"/>
      <c r="DZI43" s="15"/>
      <c r="DZJ43" s="15"/>
      <c r="DZK43" s="15"/>
      <c r="DZL43" s="14"/>
      <c r="DZM43" s="10"/>
      <c r="DZN43" s="15"/>
      <c r="DZO43" s="15"/>
      <c r="DZP43" s="14"/>
      <c r="DZQ43" s="15"/>
      <c r="DZR43" s="15"/>
      <c r="DZS43" s="15"/>
      <c r="DZT43" s="14"/>
      <c r="DZU43" s="15"/>
      <c r="DZV43" s="15"/>
      <c r="DZW43" s="15"/>
      <c r="DZX43" s="14"/>
      <c r="DZY43" s="15"/>
      <c r="DZZ43" s="15"/>
      <c r="EAA43" s="15"/>
      <c r="EAB43" s="14"/>
      <c r="EAC43" s="10"/>
      <c r="EAD43" s="15"/>
      <c r="EAE43" s="15"/>
      <c r="EAF43" s="14"/>
      <c r="EAG43" s="15"/>
      <c r="EAH43" s="15"/>
      <c r="EAI43" s="15"/>
      <c r="EAJ43" s="14"/>
      <c r="EAK43" s="15"/>
      <c r="EAL43" s="15"/>
      <c r="EAM43" s="15"/>
      <c r="EAN43" s="14"/>
      <c r="EAO43" s="15"/>
      <c r="EAP43" s="15"/>
      <c r="EAQ43" s="15"/>
      <c r="EAR43" s="14"/>
      <c r="EAS43" s="10"/>
      <c r="EAT43" s="15"/>
      <c r="EAU43" s="15"/>
      <c r="EAV43" s="14"/>
      <c r="EAW43" s="15"/>
      <c r="EAX43" s="15"/>
      <c r="EAY43" s="15"/>
      <c r="EAZ43" s="14"/>
      <c r="EBA43" s="15"/>
      <c r="EBB43" s="15"/>
      <c r="EBC43" s="15"/>
      <c r="EBD43" s="14"/>
      <c r="EBE43" s="15"/>
      <c r="EBF43" s="15"/>
      <c r="EBG43" s="15"/>
      <c r="EBH43" s="14"/>
      <c r="EBI43" s="10"/>
      <c r="EBJ43" s="15"/>
      <c r="EBK43" s="15"/>
      <c r="EBL43" s="14"/>
      <c r="EBM43" s="15"/>
      <c r="EBN43" s="15"/>
      <c r="EBO43" s="15"/>
      <c r="EBP43" s="14"/>
      <c r="EBQ43" s="15"/>
      <c r="EBR43" s="15"/>
      <c r="EBS43" s="15"/>
      <c r="EBT43" s="14"/>
      <c r="EBU43" s="15"/>
      <c r="EBV43" s="15"/>
      <c r="EBW43" s="15"/>
      <c r="EBX43" s="14"/>
      <c r="EBY43" s="10"/>
      <c r="EBZ43" s="15"/>
      <c r="ECA43" s="15"/>
      <c r="ECB43" s="14"/>
      <c r="ECC43" s="15"/>
      <c r="ECD43" s="15"/>
      <c r="ECE43" s="15"/>
      <c r="ECF43" s="14"/>
      <c r="ECG43" s="15"/>
      <c r="ECH43" s="15"/>
      <c r="ECI43" s="15"/>
      <c r="ECJ43" s="14"/>
      <c r="ECK43" s="15"/>
      <c r="ECL43" s="15"/>
      <c r="ECM43" s="15"/>
      <c r="ECN43" s="14"/>
      <c r="ECO43" s="10"/>
      <c r="ECP43" s="15"/>
      <c r="ECQ43" s="15"/>
      <c r="ECR43" s="14"/>
      <c r="ECS43" s="15"/>
      <c r="ECT43" s="15"/>
      <c r="ECU43" s="15"/>
      <c r="ECV43" s="14"/>
      <c r="ECW43" s="15"/>
      <c r="ECX43" s="15"/>
      <c r="ECY43" s="15"/>
      <c r="ECZ43" s="14"/>
      <c r="EDA43" s="15"/>
      <c r="EDB43" s="15"/>
      <c r="EDC43" s="15"/>
      <c r="EDD43" s="14"/>
      <c r="EDE43" s="10"/>
      <c r="EDF43" s="15"/>
      <c r="EDG43" s="15"/>
      <c r="EDH43" s="14"/>
      <c r="EDI43" s="15"/>
      <c r="EDJ43" s="15"/>
      <c r="EDK43" s="15"/>
      <c r="EDL43" s="14"/>
      <c r="EDM43" s="15"/>
      <c r="EDN43" s="15"/>
      <c r="EDO43" s="15"/>
      <c r="EDP43" s="14"/>
      <c r="EDQ43" s="15"/>
      <c r="EDR43" s="15"/>
      <c r="EDS43" s="15"/>
      <c r="EDT43" s="14"/>
      <c r="EDU43" s="10"/>
      <c r="EDV43" s="15"/>
      <c r="EDW43" s="15"/>
      <c r="EDX43" s="14"/>
      <c r="EDY43" s="15"/>
      <c r="EDZ43" s="15"/>
      <c r="EEA43" s="15"/>
      <c r="EEB43" s="14"/>
      <c r="EEC43" s="15"/>
      <c r="EED43" s="15"/>
      <c r="EEE43" s="15"/>
      <c r="EEF43" s="14"/>
      <c r="EEG43" s="15"/>
      <c r="EEH43" s="15"/>
      <c r="EEI43" s="15"/>
      <c r="EEJ43" s="14"/>
      <c r="EEK43" s="10"/>
      <c r="EEL43" s="15"/>
      <c r="EEM43" s="15"/>
      <c r="EEN43" s="14"/>
      <c r="EEO43" s="15"/>
      <c r="EEP43" s="15"/>
      <c r="EEQ43" s="15"/>
      <c r="EER43" s="14"/>
      <c r="EES43" s="15"/>
      <c r="EET43" s="15"/>
      <c r="EEU43" s="15"/>
      <c r="EEV43" s="14"/>
      <c r="EEW43" s="15"/>
      <c r="EEX43" s="15"/>
      <c r="EEY43" s="15"/>
      <c r="EEZ43" s="14"/>
      <c r="EFA43" s="10"/>
      <c r="EFB43" s="15"/>
      <c r="EFC43" s="15"/>
      <c r="EFD43" s="14"/>
      <c r="EFE43" s="15"/>
      <c r="EFF43" s="15"/>
      <c r="EFG43" s="15"/>
      <c r="EFH43" s="14"/>
      <c r="EFI43" s="15"/>
      <c r="EFJ43" s="15"/>
      <c r="EFK43" s="15"/>
      <c r="EFL43" s="14"/>
      <c r="EFM43" s="15"/>
      <c r="EFN43" s="15"/>
      <c r="EFO43" s="15"/>
      <c r="EFP43" s="14"/>
      <c r="EFQ43" s="10"/>
      <c r="EFR43" s="15"/>
      <c r="EFS43" s="15"/>
      <c r="EFT43" s="14"/>
      <c r="EFU43" s="15"/>
      <c r="EFV43" s="15"/>
      <c r="EFW43" s="15"/>
      <c r="EFX43" s="14"/>
      <c r="EFY43" s="15"/>
      <c r="EFZ43" s="15"/>
      <c r="EGA43" s="15"/>
      <c r="EGB43" s="14"/>
      <c r="EGC43" s="15"/>
      <c r="EGD43" s="15"/>
      <c r="EGE43" s="15"/>
      <c r="EGF43" s="14"/>
      <c r="EGG43" s="10"/>
      <c r="EGH43" s="15"/>
      <c r="EGI43" s="15"/>
      <c r="EGJ43" s="14"/>
      <c r="EGK43" s="15"/>
      <c r="EGL43" s="15"/>
      <c r="EGM43" s="15"/>
      <c r="EGN43" s="14"/>
      <c r="EGO43" s="15"/>
      <c r="EGP43" s="15"/>
      <c r="EGQ43" s="15"/>
      <c r="EGR43" s="14"/>
      <c r="EGS43" s="15"/>
      <c r="EGT43" s="15"/>
      <c r="EGU43" s="15"/>
      <c r="EGV43" s="14"/>
      <c r="EGW43" s="10"/>
      <c r="EGX43" s="15"/>
      <c r="EGY43" s="15"/>
      <c r="EGZ43" s="14"/>
      <c r="EHA43" s="15"/>
      <c r="EHB43" s="15"/>
      <c r="EHC43" s="15"/>
      <c r="EHD43" s="14"/>
      <c r="EHE43" s="15"/>
      <c r="EHF43" s="15"/>
      <c r="EHG43" s="15"/>
      <c r="EHH43" s="14"/>
      <c r="EHI43" s="15"/>
      <c r="EHJ43" s="15"/>
      <c r="EHK43" s="15"/>
      <c r="EHL43" s="14"/>
      <c r="EHM43" s="10"/>
      <c r="EHN43" s="15"/>
      <c r="EHO43" s="15"/>
      <c r="EHP43" s="14"/>
      <c r="EHQ43" s="15"/>
      <c r="EHR43" s="15"/>
      <c r="EHS43" s="15"/>
      <c r="EHT43" s="14"/>
      <c r="EHU43" s="15"/>
      <c r="EHV43" s="15"/>
      <c r="EHW43" s="15"/>
      <c r="EHX43" s="14"/>
      <c r="EHY43" s="15"/>
      <c r="EHZ43" s="15"/>
      <c r="EIA43" s="15"/>
      <c r="EIB43" s="14"/>
      <c r="EIC43" s="10"/>
      <c r="EID43" s="15"/>
      <c r="EIE43" s="15"/>
      <c r="EIF43" s="14"/>
      <c r="EIG43" s="15"/>
      <c r="EIH43" s="15"/>
      <c r="EII43" s="15"/>
      <c r="EIJ43" s="14"/>
      <c r="EIK43" s="15"/>
      <c r="EIL43" s="15"/>
      <c r="EIM43" s="15"/>
      <c r="EIN43" s="14"/>
      <c r="EIO43" s="15"/>
      <c r="EIP43" s="15"/>
      <c r="EIQ43" s="15"/>
      <c r="EIR43" s="14"/>
      <c r="EIS43" s="10"/>
      <c r="EIT43" s="15"/>
      <c r="EIU43" s="15"/>
      <c r="EIV43" s="14"/>
      <c r="EIW43" s="15"/>
      <c r="EIX43" s="15"/>
      <c r="EIY43" s="15"/>
      <c r="EIZ43" s="14"/>
      <c r="EJA43" s="15"/>
      <c r="EJB43" s="15"/>
      <c r="EJC43" s="15"/>
      <c r="EJD43" s="14"/>
      <c r="EJE43" s="15"/>
      <c r="EJF43" s="15"/>
      <c r="EJG43" s="15"/>
      <c r="EJH43" s="14"/>
      <c r="EJI43" s="10"/>
      <c r="EJJ43" s="15"/>
      <c r="EJK43" s="15"/>
      <c r="EJL43" s="14"/>
      <c r="EJM43" s="15"/>
      <c r="EJN43" s="15"/>
      <c r="EJO43" s="15"/>
      <c r="EJP43" s="14"/>
      <c r="EJQ43" s="15"/>
      <c r="EJR43" s="15"/>
      <c r="EJS43" s="15"/>
      <c r="EJT43" s="14"/>
      <c r="EJU43" s="15"/>
      <c r="EJV43" s="15"/>
      <c r="EJW43" s="15"/>
      <c r="EJX43" s="14"/>
      <c r="EJY43" s="10"/>
      <c r="EJZ43" s="15"/>
      <c r="EKA43" s="15"/>
      <c r="EKB43" s="14"/>
      <c r="EKC43" s="15"/>
      <c r="EKD43" s="15"/>
      <c r="EKE43" s="15"/>
      <c r="EKF43" s="14"/>
      <c r="EKG43" s="15"/>
      <c r="EKH43" s="15"/>
      <c r="EKI43" s="15"/>
      <c r="EKJ43" s="14"/>
      <c r="EKK43" s="15"/>
      <c r="EKL43" s="15"/>
      <c r="EKM43" s="15"/>
      <c r="EKN43" s="14"/>
      <c r="EKO43" s="10"/>
      <c r="EKP43" s="15"/>
      <c r="EKQ43" s="15"/>
      <c r="EKR43" s="14"/>
      <c r="EKS43" s="15"/>
      <c r="EKT43" s="15"/>
      <c r="EKU43" s="15"/>
      <c r="EKV43" s="14"/>
      <c r="EKW43" s="15"/>
      <c r="EKX43" s="15"/>
      <c r="EKY43" s="15"/>
      <c r="EKZ43" s="14"/>
      <c r="ELA43" s="15"/>
      <c r="ELB43" s="15"/>
      <c r="ELC43" s="15"/>
      <c r="ELD43" s="14"/>
      <c r="ELE43" s="10"/>
      <c r="ELF43" s="15"/>
      <c r="ELG43" s="15"/>
      <c r="ELH43" s="14"/>
      <c r="ELI43" s="15"/>
      <c r="ELJ43" s="15"/>
      <c r="ELK43" s="15"/>
      <c r="ELL43" s="14"/>
      <c r="ELM43" s="15"/>
      <c r="ELN43" s="15"/>
      <c r="ELO43" s="15"/>
      <c r="ELP43" s="14"/>
      <c r="ELQ43" s="15"/>
      <c r="ELR43" s="15"/>
      <c r="ELS43" s="15"/>
      <c r="ELT43" s="14"/>
      <c r="ELU43" s="10"/>
      <c r="ELV43" s="15"/>
      <c r="ELW43" s="15"/>
      <c r="ELX43" s="14"/>
      <c r="ELY43" s="15"/>
      <c r="ELZ43" s="15"/>
      <c r="EMA43" s="15"/>
      <c r="EMB43" s="14"/>
      <c r="EMC43" s="15"/>
      <c r="EMD43" s="15"/>
      <c r="EME43" s="15"/>
      <c r="EMF43" s="14"/>
      <c r="EMG43" s="15"/>
      <c r="EMH43" s="15"/>
      <c r="EMI43" s="15"/>
      <c r="EMJ43" s="14"/>
      <c r="EMK43" s="10"/>
      <c r="EML43" s="15"/>
      <c r="EMM43" s="15"/>
      <c r="EMN43" s="14"/>
      <c r="EMO43" s="15"/>
      <c r="EMP43" s="15"/>
      <c r="EMQ43" s="15"/>
      <c r="EMR43" s="14"/>
      <c r="EMS43" s="15"/>
      <c r="EMT43" s="15"/>
      <c r="EMU43" s="15"/>
      <c r="EMV43" s="14"/>
      <c r="EMW43" s="15"/>
      <c r="EMX43" s="15"/>
      <c r="EMY43" s="15"/>
      <c r="EMZ43" s="14"/>
      <c r="ENA43" s="10"/>
      <c r="ENB43" s="15"/>
      <c r="ENC43" s="15"/>
      <c r="END43" s="14"/>
      <c r="ENE43" s="15"/>
      <c r="ENF43" s="15"/>
      <c r="ENG43" s="15"/>
      <c r="ENH43" s="14"/>
      <c r="ENI43" s="15"/>
      <c r="ENJ43" s="15"/>
      <c r="ENK43" s="15"/>
      <c r="ENL43" s="14"/>
      <c r="ENM43" s="15"/>
      <c r="ENN43" s="15"/>
      <c r="ENO43" s="15"/>
      <c r="ENP43" s="14"/>
      <c r="ENQ43" s="10"/>
      <c r="ENR43" s="15"/>
      <c r="ENS43" s="15"/>
      <c r="ENT43" s="14"/>
      <c r="ENU43" s="15"/>
      <c r="ENV43" s="15"/>
      <c r="ENW43" s="15"/>
      <c r="ENX43" s="14"/>
      <c r="ENY43" s="15"/>
      <c r="ENZ43" s="15"/>
      <c r="EOA43" s="15"/>
      <c r="EOB43" s="14"/>
      <c r="EOC43" s="15"/>
      <c r="EOD43" s="15"/>
      <c r="EOE43" s="15"/>
      <c r="EOF43" s="14"/>
      <c r="EOG43" s="10"/>
      <c r="EOH43" s="15"/>
      <c r="EOI43" s="15"/>
      <c r="EOJ43" s="14"/>
      <c r="EOK43" s="15"/>
      <c r="EOL43" s="15"/>
      <c r="EOM43" s="15"/>
      <c r="EON43" s="14"/>
      <c r="EOO43" s="15"/>
      <c r="EOP43" s="15"/>
      <c r="EOQ43" s="15"/>
      <c r="EOR43" s="14"/>
      <c r="EOS43" s="15"/>
      <c r="EOT43" s="15"/>
      <c r="EOU43" s="15"/>
      <c r="EOV43" s="14"/>
      <c r="EOW43" s="10"/>
      <c r="EOX43" s="15"/>
      <c r="EOY43" s="15"/>
      <c r="EOZ43" s="14"/>
      <c r="EPA43" s="15"/>
      <c r="EPB43" s="15"/>
      <c r="EPC43" s="15"/>
      <c r="EPD43" s="14"/>
      <c r="EPE43" s="15"/>
      <c r="EPF43" s="15"/>
      <c r="EPG43" s="15"/>
      <c r="EPH43" s="14"/>
      <c r="EPI43" s="15"/>
      <c r="EPJ43" s="15"/>
      <c r="EPK43" s="15"/>
      <c r="EPL43" s="14"/>
      <c r="EPM43" s="10"/>
      <c r="EPN43" s="15"/>
      <c r="EPO43" s="15"/>
      <c r="EPP43" s="14"/>
      <c r="EPQ43" s="15"/>
      <c r="EPR43" s="15"/>
      <c r="EPS43" s="15"/>
      <c r="EPT43" s="14"/>
      <c r="EPU43" s="15"/>
      <c r="EPV43" s="15"/>
      <c r="EPW43" s="15"/>
      <c r="EPX43" s="14"/>
      <c r="EPY43" s="15"/>
      <c r="EPZ43" s="15"/>
      <c r="EQA43" s="15"/>
      <c r="EQB43" s="14"/>
      <c r="EQC43" s="10"/>
      <c r="EQD43" s="15"/>
      <c r="EQE43" s="15"/>
      <c r="EQF43" s="14"/>
      <c r="EQG43" s="15"/>
      <c r="EQH43" s="15"/>
      <c r="EQI43" s="15"/>
      <c r="EQJ43" s="14"/>
      <c r="EQK43" s="15"/>
      <c r="EQL43" s="15"/>
      <c r="EQM43" s="15"/>
      <c r="EQN43" s="14"/>
      <c r="EQO43" s="15"/>
      <c r="EQP43" s="15"/>
      <c r="EQQ43" s="15"/>
      <c r="EQR43" s="14"/>
      <c r="EQS43" s="10"/>
      <c r="EQT43" s="15"/>
      <c r="EQU43" s="15"/>
      <c r="EQV43" s="14"/>
      <c r="EQW43" s="15"/>
      <c r="EQX43" s="15"/>
      <c r="EQY43" s="15"/>
      <c r="EQZ43" s="14"/>
      <c r="ERA43" s="15"/>
      <c r="ERB43" s="15"/>
      <c r="ERC43" s="15"/>
      <c r="ERD43" s="14"/>
      <c r="ERE43" s="15"/>
      <c r="ERF43" s="15"/>
      <c r="ERG43" s="15"/>
      <c r="ERH43" s="14"/>
      <c r="ERI43" s="10"/>
      <c r="ERJ43" s="15"/>
      <c r="ERK43" s="15"/>
      <c r="ERL43" s="14"/>
      <c r="ERM43" s="15"/>
      <c r="ERN43" s="15"/>
      <c r="ERO43" s="15"/>
      <c r="ERP43" s="14"/>
      <c r="ERQ43" s="15"/>
      <c r="ERR43" s="15"/>
      <c r="ERS43" s="15"/>
      <c r="ERT43" s="14"/>
      <c r="ERU43" s="15"/>
      <c r="ERV43" s="15"/>
      <c r="ERW43" s="15"/>
      <c r="ERX43" s="14"/>
      <c r="ERY43" s="10"/>
      <c r="ERZ43" s="15"/>
      <c r="ESA43" s="15"/>
      <c r="ESB43" s="14"/>
      <c r="ESC43" s="15"/>
      <c r="ESD43" s="15"/>
      <c r="ESE43" s="15"/>
      <c r="ESF43" s="14"/>
      <c r="ESG43" s="15"/>
      <c r="ESH43" s="15"/>
      <c r="ESI43" s="15"/>
      <c r="ESJ43" s="14"/>
      <c r="ESK43" s="15"/>
      <c r="ESL43" s="15"/>
      <c r="ESM43" s="15"/>
      <c r="ESN43" s="14"/>
      <c r="ESO43" s="10"/>
      <c r="ESP43" s="15"/>
      <c r="ESQ43" s="15"/>
      <c r="ESR43" s="14"/>
      <c r="ESS43" s="15"/>
      <c r="EST43" s="15"/>
      <c r="ESU43" s="15"/>
      <c r="ESV43" s="14"/>
      <c r="ESW43" s="15"/>
      <c r="ESX43" s="15"/>
      <c r="ESY43" s="15"/>
      <c r="ESZ43" s="14"/>
      <c r="ETA43" s="15"/>
      <c r="ETB43" s="15"/>
      <c r="ETC43" s="15"/>
      <c r="ETD43" s="14"/>
      <c r="ETE43" s="10"/>
      <c r="ETF43" s="15"/>
      <c r="ETG43" s="15"/>
      <c r="ETH43" s="14"/>
      <c r="ETI43" s="15"/>
      <c r="ETJ43" s="15"/>
      <c r="ETK43" s="15"/>
      <c r="ETL43" s="14"/>
      <c r="ETM43" s="15"/>
      <c r="ETN43" s="15"/>
      <c r="ETO43" s="15"/>
      <c r="ETP43" s="14"/>
      <c r="ETQ43" s="15"/>
      <c r="ETR43" s="15"/>
      <c r="ETS43" s="15"/>
      <c r="ETT43" s="14"/>
      <c r="ETU43" s="10"/>
      <c r="ETV43" s="15"/>
      <c r="ETW43" s="15"/>
      <c r="ETX43" s="14"/>
      <c r="ETY43" s="15"/>
      <c r="ETZ43" s="15"/>
      <c r="EUA43" s="15"/>
      <c r="EUB43" s="14"/>
      <c r="EUC43" s="15"/>
      <c r="EUD43" s="15"/>
      <c r="EUE43" s="15"/>
      <c r="EUF43" s="14"/>
      <c r="EUG43" s="15"/>
      <c r="EUH43" s="15"/>
      <c r="EUI43" s="15"/>
      <c r="EUJ43" s="14"/>
      <c r="EUK43" s="10"/>
      <c r="EUL43" s="15"/>
      <c r="EUM43" s="15"/>
      <c r="EUN43" s="14"/>
      <c r="EUO43" s="15"/>
      <c r="EUP43" s="15"/>
      <c r="EUQ43" s="15"/>
      <c r="EUR43" s="14"/>
      <c r="EUS43" s="15"/>
      <c r="EUT43" s="15"/>
      <c r="EUU43" s="15"/>
      <c r="EUV43" s="14"/>
      <c r="EUW43" s="15"/>
      <c r="EUX43" s="15"/>
      <c r="EUY43" s="15"/>
      <c r="EUZ43" s="14"/>
      <c r="EVA43" s="10"/>
      <c r="EVB43" s="15"/>
      <c r="EVC43" s="15"/>
      <c r="EVD43" s="14"/>
      <c r="EVE43" s="15"/>
      <c r="EVF43" s="15"/>
      <c r="EVG43" s="15"/>
      <c r="EVH43" s="14"/>
      <c r="EVI43" s="15"/>
      <c r="EVJ43" s="15"/>
      <c r="EVK43" s="15"/>
      <c r="EVL43" s="14"/>
      <c r="EVM43" s="15"/>
      <c r="EVN43" s="15"/>
      <c r="EVO43" s="15"/>
      <c r="EVP43" s="14"/>
      <c r="EVQ43" s="10"/>
      <c r="EVR43" s="15"/>
      <c r="EVS43" s="15"/>
      <c r="EVT43" s="14"/>
      <c r="EVU43" s="15"/>
      <c r="EVV43" s="15"/>
      <c r="EVW43" s="15"/>
      <c r="EVX43" s="14"/>
      <c r="EVY43" s="15"/>
      <c r="EVZ43" s="15"/>
      <c r="EWA43" s="15"/>
      <c r="EWB43" s="14"/>
      <c r="EWC43" s="15"/>
      <c r="EWD43" s="15"/>
      <c r="EWE43" s="15"/>
      <c r="EWF43" s="14"/>
      <c r="EWG43" s="10"/>
      <c r="EWH43" s="15"/>
      <c r="EWI43" s="15"/>
      <c r="EWJ43" s="14"/>
      <c r="EWK43" s="15"/>
      <c r="EWL43" s="15"/>
      <c r="EWM43" s="15"/>
      <c r="EWN43" s="14"/>
      <c r="EWO43" s="15"/>
      <c r="EWP43" s="15"/>
      <c r="EWQ43" s="15"/>
      <c r="EWR43" s="14"/>
      <c r="EWS43" s="15"/>
      <c r="EWT43" s="15"/>
      <c r="EWU43" s="15"/>
      <c r="EWV43" s="14"/>
      <c r="EWW43" s="10"/>
      <c r="EWX43" s="15"/>
      <c r="EWY43" s="15"/>
      <c r="EWZ43" s="14"/>
      <c r="EXA43" s="15"/>
      <c r="EXB43" s="15"/>
      <c r="EXC43" s="15"/>
      <c r="EXD43" s="14"/>
      <c r="EXE43" s="15"/>
      <c r="EXF43" s="15"/>
      <c r="EXG43" s="15"/>
      <c r="EXH43" s="14"/>
      <c r="EXI43" s="15"/>
      <c r="EXJ43" s="15"/>
      <c r="EXK43" s="15"/>
      <c r="EXL43" s="14"/>
      <c r="EXM43" s="10"/>
      <c r="EXN43" s="15"/>
      <c r="EXO43" s="15"/>
      <c r="EXP43" s="14"/>
      <c r="EXQ43" s="15"/>
      <c r="EXR43" s="15"/>
      <c r="EXS43" s="15"/>
      <c r="EXT43" s="14"/>
      <c r="EXU43" s="15"/>
      <c r="EXV43" s="15"/>
      <c r="EXW43" s="15"/>
      <c r="EXX43" s="14"/>
      <c r="EXY43" s="15"/>
      <c r="EXZ43" s="15"/>
      <c r="EYA43" s="15"/>
      <c r="EYB43" s="14"/>
      <c r="EYC43" s="10"/>
      <c r="EYD43" s="15"/>
      <c r="EYE43" s="15"/>
      <c r="EYF43" s="14"/>
      <c r="EYG43" s="15"/>
      <c r="EYH43" s="15"/>
      <c r="EYI43" s="15"/>
      <c r="EYJ43" s="14"/>
      <c r="EYK43" s="15"/>
      <c r="EYL43" s="15"/>
      <c r="EYM43" s="15"/>
      <c r="EYN43" s="14"/>
      <c r="EYO43" s="15"/>
      <c r="EYP43" s="15"/>
      <c r="EYQ43" s="15"/>
      <c r="EYR43" s="14"/>
      <c r="EYS43" s="10"/>
      <c r="EYT43" s="15"/>
      <c r="EYU43" s="15"/>
      <c r="EYV43" s="14"/>
      <c r="EYW43" s="15"/>
      <c r="EYX43" s="15"/>
      <c r="EYY43" s="15"/>
      <c r="EYZ43" s="14"/>
      <c r="EZA43" s="15"/>
      <c r="EZB43" s="15"/>
      <c r="EZC43" s="15"/>
      <c r="EZD43" s="14"/>
      <c r="EZE43" s="15"/>
      <c r="EZF43" s="15"/>
      <c r="EZG43" s="15"/>
      <c r="EZH43" s="14"/>
      <c r="EZI43" s="10"/>
      <c r="EZJ43" s="15"/>
      <c r="EZK43" s="15"/>
      <c r="EZL43" s="14"/>
      <c r="EZM43" s="15"/>
      <c r="EZN43" s="15"/>
      <c r="EZO43" s="15"/>
      <c r="EZP43" s="14"/>
      <c r="EZQ43" s="15"/>
      <c r="EZR43" s="15"/>
      <c r="EZS43" s="15"/>
      <c r="EZT43" s="14"/>
      <c r="EZU43" s="15"/>
      <c r="EZV43" s="15"/>
      <c r="EZW43" s="15"/>
      <c r="EZX43" s="14"/>
      <c r="EZY43" s="10"/>
      <c r="EZZ43" s="15"/>
      <c r="FAA43" s="15"/>
      <c r="FAB43" s="14"/>
      <c r="FAC43" s="15"/>
      <c r="FAD43" s="15"/>
      <c r="FAE43" s="15"/>
      <c r="FAF43" s="14"/>
      <c r="FAG43" s="15"/>
      <c r="FAH43" s="15"/>
      <c r="FAI43" s="15"/>
      <c r="FAJ43" s="14"/>
      <c r="FAK43" s="15"/>
      <c r="FAL43" s="15"/>
      <c r="FAM43" s="15"/>
      <c r="FAN43" s="14"/>
      <c r="FAO43" s="10"/>
      <c r="FAP43" s="15"/>
      <c r="FAQ43" s="15"/>
      <c r="FAR43" s="14"/>
      <c r="FAS43" s="15"/>
      <c r="FAT43" s="15"/>
      <c r="FAU43" s="15"/>
      <c r="FAV43" s="14"/>
      <c r="FAW43" s="15"/>
      <c r="FAX43" s="15"/>
      <c r="FAY43" s="15"/>
      <c r="FAZ43" s="14"/>
      <c r="FBA43" s="15"/>
      <c r="FBB43" s="15"/>
      <c r="FBC43" s="15"/>
      <c r="FBD43" s="14"/>
      <c r="FBE43" s="10"/>
      <c r="FBF43" s="15"/>
      <c r="FBG43" s="15"/>
      <c r="FBH43" s="14"/>
      <c r="FBI43" s="15"/>
      <c r="FBJ43" s="15"/>
      <c r="FBK43" s="15"/>
      <c r="FBL43" s="14"/>
      <c r="FBM43" s="15"/>
      <c r="FBN43" s="15"/>
      <c r="FBO43" s="15"/>
      <c r="FBP43" s="14"/>
      <c r="FBQ43" s="15"/>
      <c r="FBR43" s="15"/>
      <c r="FBS43" s="15"/>
      <c r="FBT43" s="14"/>
      <c r="FBU43" s="10"/>
      <c r="FBV43" s="15"/>
      <c r="FBW43" s="15"/>
      <c r="FBX43" s="14"/>
      <c r="FBY43" s="15"/>
      <c r="FBZ43" s="15"/>
      <c r="FCA43" s="15"/>
      <c r="FCB43" s="14"/>
      <c r="FCC43" s="15"/>
      <c r="FCD43" s="15"/>
      <c r="FCE43" s="15"/>
      <c r="FCF43" s="14"/>
      <c r="FCG43" s="15"/>
      <c r="FCH43" s="15"/>
      <c r="FCI43" s="15"/>
      <c r="FCJ43" s="14"/>
      <c r="FCK43" s="10"/>
      <c r="FCL43" s="15"/>
      <c r="FCM43" s="15"/>
      <c r="FCN43" s="14"/>
      <c r="FCO43" s="15"/>
      <c r="FCP43" s="15"/>
      <c r="FCQ43" s="15"/>
      <c r="FCR43" s="14"/>
      <c r="FCS43" s="15"/>
      <c r="FCT43" s="15"/>
      <c r="FCU43" s="15"/>
      <c r="FCV43" s="14"/>
      <c r="FCW43" s="15"/>
      <c r="FCX43" s="15"/>
      <c r="FCY43" s="15"/>
      <c r="FCZ43" s="14"/>
      <c r="FDA43" s="10"/>
      <c r="FDB43" s="15"/>
      <c r="FDC43" s="15"/>
      <c r="FDD43" s="14"/>
      <c r="FDE43" s="15"/>
      <c r="FDF43" s="15"/>
      <c r="FDG43" s="15"/>
      <c r="FDH43" s="14"/>
      <c r="FDI43" s="15"/>
      <c r="FDJ43" s="15"/>
      <c r="FDK43" s="15"/>
      <c r="FDL43" s="14"/>
      <c r="FDM43" s="15"/>
      <c r="FDN43" s="15"/>
      <c r="FDO43" s="15"/>
      <c r="FDP43" s="14"/>
      <c r="FDQ43" s="10"/>
      <c r="FDR43" s="15"/>
      <c r="FDS43" s="15"/>
      <c r="FDT43" s="14"/>
      <c r="FDU43" s="15"/>
      <c r="FDV43" s="15"/>
      <c r="FDW43" s="15"/>
      <c r="FDX43" s="14"/>
      <c r="FDY43" s="15"/>
      <c r="FDZ43" s="15"/>
      <c r="FEA43" s="15"/>
      <c r="FEB43" s="14"/>
      <c r="FEC43" s="15"/>
      <c r="FED43" s="15"/>
      <c r="FEE43" s="15"/>
      <c r="FEF43" s="14"/>
      <c r="FEG43" s="10"/>
      <c r="FEH43" s="15"/>
      <c r="FEI43" s="15"/>
      <c r="FEJ43" s="14"/>
      <c r="FEK43" s="15"/>
      <c r="FEL43" s="15"/>
      <c r="FEM43" s="15"/>
      <c r="FEN43" s="14"/>
      <c r="FEO43" s="15"/>
      <c r="FEP43" s="15"/>
      <c r="FEQ43" s="15"/>
      <c r="FER43" s="14"/>
      <c r="FES43" s="15"/>
      <c r="FET43" s="15"/>
      <c r="FEU43" s="15"/>
      <c r="FEV43" s="14"/>
      <c r="FEW43" s="10"/>
      <c r="FEX43" s="15"/>
      <c r="FEY43" s="15"/>
      <c r="FEZ43" s="14"/>
      <c r="FFA43" s="15"/>
      <c r="FFB43" s="15"/>
      <c r="FFC43" s="15"/>
      <c r="FFD43" s="14"/>
      <c r="FFE43" s="15"/>
      <c r="FFF43" s="15"/>
      <c r="FFG43" s="15"/>
      <c r="FFH43" s="14"/>
      <c r="FFI43" s="15"/>
      <c r="FFJ43" s="15"/>
      <c r="FFK43" s="15"/>
      <c r="FFL43" s="14"/>
      <c r="FFM43" s="10"/>
      <c r="FFN43" s="15"/>
      <c r="FFO43" s="15"/>
      <c r="FFP43" s="14"/>
      <c r="FFQ43" s="15"/>
      <c r="FFR43" s="15"/>
      <c r="FFS43" s="15"/>
      <c r="FFT43" s="14"/>
      <c r="FFU43" s="15"/>
      <c r="FFV43" s="15"/>
      <c r="FFW43" s="15"/>
      <c r="FFX43" s="14"/>
      <c r="FFY43" s="15"/>
      <c r="FFZ43" s="15"/>
      <c r="FGA43" s="15"/>
      <c r="FGB43" s="14"/>
      <c r="FGC43" s="10"/>
      <c r="FGD43" s="15"/>
      <c r="FGE43" s="15"/>
      <c r="FGF43" s="14"/>
      <c r="FGG43" s="15"/>
      <c r="FGH43" s="15"/>
      <c r="FGI43" s="15"/>
      <c r="FGJ43" s="14"/>
      <c r="FGK43" s="15"/>
      <c r="FGL43" s="15"/>
      <c r="FGM43" s="15"/>
      <c r="FGN43" s="14"/>
      <c r="FGO43" s="15"/>
      <c r="FGP43" s="15"/>
      <c r="FGQ43" s="15"/>
      <c r="FGR43" s="14"/>
      <c r="FGS43" s="10"/>
      <c r="FGT43" s="15"/>
      <c r="FGU43" s="15"/>
      <c r="FGV43" s="14"/>
      <c r="FGW43" s="15"/>
      <c r="FGX43" s="15"/>
      <c r="FGY43" s="15"/>
      <c r="FGZ43" s="14"/>
      <c r="FHA43" s="15"/>
      <c r="FHB43" s="15"/>
      <c r="FHC43" s="15"/>
      <c r="FHD43" s="14"/>
      <c r="FHE43" s="15"/>
      <c r="FHF43" s="15"/>
      <c r="FHG43" s="15"/>
      <c r="FHH43" s="14"/>
      <c r="FHI43" s="10"/>
      <c r="FHJ43" s="15"/>
      <c r="FHK43" s="15"/>
      <c r="FHL43" s="14"/>
      <c r="FHM43" s="15"/>
      <c r="FHN43" s="15"/>
      <c r="FHO43" s="15"/>
      <c r="FHP43" s="14"/>
      <c r="FHQ43" s="15"/>
      <c r="FHR43" s="15"/>
      <c r="FHS43" s="15"/>
      <c r="FHT43" s="14"/>
      <c r="FHU43" s="15"/>
      <c r="FHV43" s="15"/>
      <c r="FHW43" s="15"/>
      <c r="FHX43" s="14"/>
      <c r="FHY43" s="10"/>
      <c r="FHZ43" s="15"/>
      <c r="FIA43" s="15"/>
      <c r="FIB43" s="14"/>
      <c r="FIC43" s="15"/>
      <c r="FID43" s="15"/>
      <c r="FIE43" s="15"/>
      <c r="FIF43" s="14"/>
      <c r="FIG43" s="15"/>
      <c r="FIH43" s="15"/>
      <c r="FII43" s="15"/>
      <c r="FIJ43" s="14"/>
      <c r="FIK43" s="15"/>
      <c r="FIL43" s="15"/>
      <c r="FIM43" s="15"/>
      <c r="FIN43" s="14"/>
      <c r="FIO43" s="10"/>
      <c r="FIP43" s="15"/>
      <c r="FIQ43" s="15"/>
      <c r="FIR43" s="14"/>
      <c r="FIS43" s="15"/>
      <c r="FIT43" s="15"/>
      <c r="FIU43" s="15"/>
      <c r="FIV43" s="14"/>
      <c r="FIW43" s="15"/>
      <c r="FIX43" s="15"/>
      <c r="FIY43" s="15"/>
      <c r="FIZ43" s="14"/>
      <c r="FJA43" s="15"/>
      <c r="FJB43" s="15"/>
      <c r="FJC43" s="15"/>
      <c r="FJD43" s="14"/>
      <c r="FJE43" s="10"/>
      <c r="FJF43" s="15"/>
      <c r="FJG43" s="15"/>
      <c r="FJH43" s="14"/>
      <c r="FJI43" s="15"/>
      <c r="FJJ43" s="15"/>
      <c r="FJK43" s="15"/>
      <c r="FJL43" s="14"/>
      <c r="FJM43" s="15"/>
      <c r="FJN43" s="15"/>
      <c r="FJO43" s="15"/>
      <c r="FJP43" s="14"/>
      <c r="FJQ43" s="15"/>
      <c r="FJR43" s="15"/>
      <c r="FJS43" s="15"/>
      <c r="FJT43" s="14"/>
      <c r="FJU43" s="10"/>
      <c r="FJV43" s="15"/>
      <c r="FJW43" s="15"/>
      <c r="FJX43" s="14"/>
      <c r="FJY43" s="15"/>
      <c r="FJZ43" s="15"/>
      <c r="FKA43" s="15"/>
      <c r="FKB43" s="14"/>
      <c r="FKC43" s="15"/>
      <c r="FKD43" s="15"/>
      <c r="FKE43" s="15"/>
      <c r="FKF43" s="14"/>
      <c r="FKG43" s="15"/>
      <c r="FKH43" s="15"/>
      <c r="FKI43" s="15"/>
      <c r="FKJ43" s="14"/>
      <c r="FKK43" s="10"/>
      <c r="FKL43" s="15"/>
      <c r="FKM43" s="15"/>
      <c r="FKN43" s="14"/>
      <c r="FKO43" s="15"/>
      <c r="FKP43" s="15"/>
      <c r="FKQ43" s="15"/>
      <c r="FKR43" s="14"/>
      <c r="FKS43" s="15"/>
      <c r="FKT43" s="15"/>
      <c r="FKU43" s="15"/>
      <c r="FKV43" s="14"/>
      <c r="FKW43" s="15"/>
      <c r="FKX43" s="15"/>
      <c r="FKY43" s="15"/>
      <c r="FKZ43" s="14"/>
      <c r="FLA43" s="10"/>
      <c r="FLB43" s="15"/>
      <c r="FLC43" s="15"/>
      <c r="FLD43" s="14"/>
      <c r="FLE43" s="15"/>
      <c r="FLF43" s="15"/>
      <c r="FLG43" s="15"/>
      <c r="FLH43" s="14"/>
      <c r="FLI43" s="15"/>
      <c r="FLJ43" s="15"/>
      <c r="FLK43" s="15"/>
      <c r="FLL43" s="14"/>
      <c r="FLM43" s="15"/>
      <c r="FLN43" s="15"/>
      <c r="FLO43" s="15"/>
      <c r="FLP43" s="14"/>
      <c r="FLQ43" s="10"/>
      <c r="FLR43" s="15"/>
      <c r="FLS43" s="15"/>
      <c r="FLT43" s="14"/>
      <c r="FLU43" s="15"/>
      <c r="FLV43" s="15"/>
      <c r="FLW43" s="15"/>
      <c r="FLX43" s="14"/>
      <c r="FLY43" s="15"/>
      <c r="FLZ43" s="15"/>
      <c r="FMA43" s="15"/>
      <c r="FMB43" s="14"/>
      <c r="FMC43" s="15"/>
      <c r="FMD43" s="15"/>
      <c r="FME43" s="15"/>
      <c r="FMF43" s="14"/>
      <c r="FMG43" s="10"/>
      <c r="FMH43" s="15"/>
      <c r="FMI43" s="15"/>
      <c r="FMJ43" s="14"/>
      <c r="FMK43" s="15"/>
      <c r="FML43" s="15"/>
      <c r="FMM43" s="15"/>
      <c r="FMN43" s="14"/>
      <c r="FMO43" s="15"/>
      <c r="FMP43" s="15"/>
      <c r="FMQ43" s="15"/>
      <c r="FMR43" s="14"/>
      <c r="FMS43" s="15"/>
      <c r="FMT43" s="15"/>
      <c r="FMU43" s="15"/>
      <c r="FMV43" s="14"/>
      <c r="FMW43" s="10"/>
      <c r="FMX43" s="15"/>
      <c r="FMY43" s="15"/>
      <c r="FMZ43" s="14"/>
      <c r="FNA43" s="15"/>
      <c r="FNB43" s="15"/>
      <c r="FNC43" s="15"/>
      <c r="FND43" s="14"/>
      <c r="FNE43" s="15"/>
      <c r="FNF43" s="15"/>
      <c r="FNG43" s="15"/>
      <c r="FNH43" s="14"/>
      <c r="FNI43" s="15"/>
      <c r="FNJ43" s="15"/>
      <c r="FNK43" s="15"/>
      <c r="FNL43" s="14"/>
      <c r="FNM43" s="10"/>
      <c r="FNN43" s="15"/>
      <c r="FNO43" s="15"/>
      <c r="FNP43" s="14"/>
      <c r="FNQ43" s="15"/>
      <c r="FNR43" s="15"/>
      <c r="FNS43" s="15"/>
      <c r="FNT43" s="14"/>
      <c r="FNU43" s="15"/>
      <c r="FNV43" s="15"/>
      <c r="FNW43" s="15"/>
      <c r="FNX43" s="14"/>
      <c r="FNY43" s="15"/>
      <c r="FNZ43" s="15"/>
      <c r="FOA43" s="15"/>
      <c r="FOB43" s="14"/>
      <c r="FOC43" s="10"/>
      <c r="FOD43" s="15"/>
      <c r="FOE43" s="15"/>
      <c r="FOF43" s="14"/>
      <c r="FOG43" s="15"/>
      <c r="FOH43" s="15"/>
      <c r="FOI43" s="15"/>
      <c r="FOJ43" s="14"/>
      <c r="FOK43" s="15"/>
      <c r="FOL43" s="15"/>
      <c r="FOM43" s="15"/>
      <c r="FON43" s="14"/>
      <c r="FOO43" s="15"/>
      <c r="FOP43" s="15"/>
      <c r="FOQ43" s="15"/>
      <c r="FOR43" s="14"/>
      <c r="FOS43" s="10"/>
      <c r="FOT43" s="15"/>
      <c r="FOU43" s="15"/>
      <c r="FOV43" s="14"/>
      <c r="FOW43" s="15"/>
      <c r="FOX43" s="15"/>
      <c r="FOY43" s="15"/>
      <c r="FOZ43" s="14"/>
      <c r="FPA43" s="15"/>
      <c r="FPB43" s="15"/>
      <c r="FPC43" s="15"/>
      <c r="FPD43" s="14"/>
      <c r="FPE43" s="15"/>
      <c r="FPF43" s="15"/>
      <c r="FPG43" s="15"/>
      <c r="FPH43" s="14"/>
      <c r="FPI43" s="10"/>
      <c r="FPJ43" s="15"/>
      <c r="FPK43" s="15"/>
      <c r="FPL43" s="14"/>
      <c r="FPM43" s="15"/>
      <c r="FPN43" s="15"/>
      <c r="FPO43" s="15"/>
      <c r="FPP43" s="14"/>
      <c r="FPQ43" s="15"/>
      <c r="FPR43" s="15"/>
      <c r="FPS43" s="15"/>
      <c r="FPT43" s="14"/>
      <c r="FPU43" s="15"/>
      <c r="FPV43" s="15"/>
      <c r="FPW43" s="15"/>
      <c r="FPX43" s="14"/>
      <c r="FPY43" s="10"/>
      <c r="FPZ43" s="15"/>
      <c r="FQA43" s="15"/>
      <c r="FQB43" s="14"/>
      <c r="FQC43" s="15"/>
      <c r="FQD43" s="15"/>
      <c r="FQE43" s="15"/>
      <c r="FQF43" s="14"/>
      <c r="FQG43" s="15"/>
      <c r="FQH43" s="15"/>
      <c r="FQI43" s="15"/>
      <c r="FQJ43" s="14"/>
      <c r="FQK43" s="15"/>
      <c r="FQL43" s="15"/>
      <c r="FQM43" s="15"/>
      <c r="FQN43" s="14"/>
      <c r="FQO43" s="10"/>
      <c r="FQP43" s="15"/>
      <c r="FQQ43" s="15"/>
      <c r="FQR43" s="14"/>
      <c r="FQS43" s="15"/>
      <c r="FQT43" s="15"/>
      <c r="FQU43" s="15"/>
      <c r="FQV43" s="14"/>
      <c r="FQW43" s="15"/>
      <c r="FQX43" s="15"/>
      <c r="FQY43" s="15"/>
      <c r="FQZ43" s="14"/>
      <c r="FRA43" s="15"/>
      <c r="FRB43" s="15"/>
      <c r="FRC43" s="15"/>
      <c r="FRD43" s="14"/>
      <c r="FRE43" s="10"/>
      <c r="FRF43" s="15"/>
      <c r="FRG43" s="15"/>
      <c r="FRH43" s="14"/>
      <c r="FRI43" s="15"/>
      <c r="FRJ43" s="15"/>
      <c r="FRK43" s="15"/>
      <c r="FRL43" s="14"/>
      <c r="FRM43" s="15"/>
      <c r="FRN43" s="15"/>
      <c r="FRO43" s="15"/>
      <c r="FRP43" s="14"/>
      <c r="FRQ43" s="15"/>
      <c r="FRR43" s="15"/>
      <c r="FRS43" s="15"/>
      <c r="FRT43" s="14"/>
      <c r="FRU43" s="10"/>
      <c r="FRV43" s="15"/>
      <c r="FRW43" s="15"/>
      <c r="FRX43" s="14"/>
      <c r="FRY43" s="15"/>
      <c r="FRZ43" s="15"/>
      <c r="FSA43" s="15"/>
      <c r="FSB43" s="14"/>
      <c r="FSC43" s="15"/>
      <c r="FSD43" s="15"/>
      <c r="FSE43" s="15"/>
      <c r="FSF43" s="14"/>
      <c r="FSG43" s="15"/>
      <c r="FSH43" s="15"/>
      <c r="FSI43" s="15"/>
      <c r="FSJ43" s="14"/>
      <c r="FSK43" s="10"/>
      <c r="FSL43" s="15"/>
      <c r="FSM43" s="15"/>
      <c r="FSN43" s="14"/>
      <c r="FSO43" s="15"/>
      <c r="FSP43" s="15"/>
      <c r="FSQ43" s="15"/>
      <c r="FSR43" s="14"/>
      <c r="FSS43" s="15"/>
      <c r="FST43" s="15"/>
      <c r="FSU43" s="15"/>
      <c r="FSV43" s="14"/>
      <c r="FSW43" s="15"/>
      <c r="FSX43" s="15"/>
      <c r="FSY43" s="15"/>
      <c r="FSZ43" s="14"/>
      <c r="FTA43" s="10"/>
      <c r="FTB43" s="15"/>
      <c r="FTC43" s="15"/>
      <c r="FTD43" s="14"/>
      <c r="FTE43" s="15"/>
      <c r="FTF43" s="15"/>
      <c r="FTG43" s="15"/>
      <c r="FTH43" s="14"/>
      <c r="FTI43" s="15"/>
      <c r="FTJ43" s="15"/>
      <c r="FTK43" s="15"/>
      <c r="FTL43" s="14"/>
      <c r="FTM43" s="15"/>
      <c r="FTN43" s="15"/>
      <c r="FTO43" s="15"/>
      <c r="FTP43" s="14"/>
      <c r="FTQ43" s="10"/>
      <c r="FTR43" s="15"/>
      <c r="FTS43" s="15"/>
      <c r="FTT43" s="14"/>
      <c r="FTU43" s="15"/>
      <c r="FTV43" s="15"/>
      <c r="FTW43" s="15"/>
      <c r="FTX43" s="14"/>
      <c r="FTY43" s="15"/>
      <c r="FTZ43" s="15"/>
      <c r="FUA43" s="15"/>
      <c r="FUB43" s="14"/>
      <c r="FUC43" s="15"/>
      <c r="FUD43" s="15"/>
      <c r="FUE43" s="15"/>
      <c r="FUF43" s="14"/>
      <c r="FUG43" s="10"/>
      <c r="FUH43" s="15"/>
      <c r="FUI43" s="15"/>
      <c r="FUJ43" s="14"/>
      <c r="FUK43" s="15"/>
      <c r="FUL43" s="15"/>
      <c r="FUM43" s="15"/>
      <c r="FUN43" s="14"/>
      <c r="FUO43" s="15"/>
      <c r="FUP43" s="15"/>
      <c r="FUQ43" s="15"/>
      <c r="FUR43" s="14"/>
      <c r="FUS43" s="15"/>
      <c r="FUT43" s="15"/>
      <c r="FUU43" s="15"/>
      <c r="FUV43" s="14"/>
      <c r="FUW43" s="10"/>
      <c r="FUX43" s="15"/>
      <c r="FUY43" s="15"/>
      <c r="FUZ43" s="14"/>
      <c r="FVA43" s="15"/>
      <c r="FVB43" s="15"/>
      <c r="FVC43" s="15"/>
      <c r="FVD43" s="14"/>
      <c r="FVE43" s="15"/>
      <c r="FVF43" s="15"/>
      <c r="FVG43" s="15"/>
      <c r="FVH43" s="14"/>
      <c r="FVI43" s="15"/>
      <c r="FVJ43" s="15"/>
      <c r="FVK43" s="15"/>
      <c r="FVL43" s="14"/>
      <c r="FVM43" s="10"/>
      <c r="FVN43" s="15"/>
      <c r="FVO43" s="15"/>
      <c r="FVP43" s="14"/>
      <c r="FVQ43" s="15"/>
      <c r="FVR43" s="15"/>
      <c r="FVS43" s="15"/>
      <c r="FVT43" s="14"/>
      <c r="FVU43" s="15"/>
      <c r="FVV43" s="15"/>
      <c r="FVW43" s="15"/>
      <c r="FVX43" s="14"/>
      <c r="FVY43" s="15"/>
      <c r="FVZ43" s="15"/>
      <c r="FWA43" s="15"/>
      <c r="FWB43" s="14"/>
      <c r="FWC43" s="10"/>
      <c r="FWD43" s="15"/>
      <c r="FWE43" s="15"/>
      <c r="FWF43" s="14"/>
      <c r="FWG43" s="15"/>
      <c r="FWH43" s="15"/>
      <c r="FWI43" s="15"/>
      <c r="FWJ43" s="14"/>
      <c r="FWK43" s="15"/>
      <c r="FWL43" s="15"/>
      <c r="FWM43" s="15"/>
      <c r="FWN43" s="14"/>
      <c r="FWO43" s="15"/>
      <c r="FWP43" s="15"/>
      <c r="FWQ43" s="15"/>
      <c r="FWR43" s="14"/>
      <c r="FWS43" s="10"/>
      <c r="FWT43" s="15"/>
      <c r="FWU43" s="15"/>
      <c r="FWV43" s="14"/>
      <c r="FWW43" s="15"/>
      <c r="FWX43" s="15"/>
      <c r="FWY43" s="15"/>
      <c r="FWZ43" s="14"/>
      <c r="FXA43" s="15"/>
      <c r="FXB43" s="15"/>
      <c r="FXC43" s="15"/>
      <c r="FXD43" s="14"/>
      <c r="FXE43" s="15"/>
      <c r="FXF43" s="15"/>
      <c r="FXG43" s="15"/>
      <c r="FXH43" s="14"/>
      <c r="FXI43" s="10"/>
      <c r="FXJ43" s="15"/>
      <c r="FXK43" s="15"/>
      <c r="FXL43" s="14"/>
      <c r="FXM43" s="15"/>
      <c r="FXN43" s="15"/>
      <c r="FXO43" s="15"/>
      <c r="FXP43" s="14"/>
      <c r="FXQ43" s="15"/>
      <c r="FXR43" s="15"/>
      <c r="FXS43" s="15"/>
      <c r="FXT43" s="14"/>
      <c r="FXU43" s="15"/>
      <c r="FXV43" s="15"/>
      <c r="FXW43" s="15"/>
      <c r="FXX43" s="14"/>
      <c r="FXY43" s="10"/>
      <c r="FXZ43" s="15"/>
      <c r="FYA43" s="15"/>
      <c r="FYB43" s="14"/>
      <c r="FYC43" s="15"/>
      <c r="FYD43" s="15"/>
      <c r="FYE43" s="15"/>
      <c r="FYF43" s="14"/>
      <c r="FYG43" s="15"/>
      <c r="FYH43" s="15"/>
      <c r="FYI43" s="15"/>
      <c r="FYJ43" s="14"/>
      <c r="FYK43" s="15"/>
      <c r="FYL43" s="15"/>
      <c r="FYM43" s="15"/>
      <c r="FYN43" s="14"/>
      <c r="FYO43" s="10"/>
      <c r="FYP43" s="15"/>
      <c r="FYQ43" s="15"/>
      <c r="FYR43" s="14"/>
      <c r="FYS43" s="15"/>
      <c r="FYT43" s="15"/>
      <c r="FYU43" s="15"/>
      <c r="FYV43" s="14"/>
      <c r="FYW43" s="15"/>
      <c r="FYX43" s="15"/>
      <c r="FYY43" s="15"/>
      <c r="FYZ43" s="14"/>
      <c r="FZA43" s="15"/>
      <c r="FZB43" s="15"/>
      <c r="FZC43" s="15"/>
      <c r="FZD43" s="14"/>
      <c r="FZE43" s="10"/>
      <c r="FZF43" s="15"/>
      <c r="FZG43" s="15"/>
      <c r="FZH43" s="14"/>
      <c r="FZI43" s="15"/>
      <c r="FZJ43" s="15"/>
      <c r="FZK43" s="15"/>
      <c r="FZL43" s="14"/>
      <c r="FZM43" s="15"/>
      <c r="FZN43" s="15"/>
      <c r="FZO43" s="15"/>
      <c r="FZP43" s="14"/>
      <c r="FZQ43" s="15"/>
      <c r="FZR43" s="15"/>
      <c r="FZS43" s="15"/>
      <c r="FZT43" s="14"/>
      <c r="FZU43" s="10"/>
      <c r="FZV43" s="15"/>
      <c r="FZW43" s="15"/>
      <c r="FZX43" s="14"/>
      <c r="FZY43" s="15"/>
      <c r="FZZ43" s="15"/>
      <c r="GAA43" s="15"/>
      <c r="GAB43" s="14"/>
      <c r="GAC43" s="15"/>
      <c r="GAD43" s="15"/>
      <c r="GAE43" s="15"/>
      <c r="GAF43" s="14"/>
      <c r="GAG43" s="15"/>
      <c r="GAH43" s="15"/>
      <c r="GAI43" s="15"/>
      <c r="GAJ43" s="14"/>
      <c r="GAK43" s="10"/>
      <c r="GAL43" s="15"/>
      <c r="GAM43" s="15"/>
      <c r="GAN43" s="14"/>
      <c r="GAO43" s="15"/>
      <c r="GAP43" s="15"/>
      <c r="GAQ43" s="15"/>
      <c r="GAR43" s="14"/>
      <c r="GAS43" s="15"/>
      <c r="GAT43" s="15"/>
      <c r="GAU43" s="15"/>
      <c r="GAV43" s="14"/>
      <c r="GAW43" s="15"/>
      <c r="GAX43" s="15"/>
      <c r="GAY43" s="15"/>
      <c r="GAZ43" s="14"/>
      <c r="GBA43" s="10"/>
      <c r="GBB43" s="15"/>
      <c r="GBC43" s="15"/>
      <c r="GBD43" s="14"/>
      <c r="GBE43" s="15"/>
      <c r="GBF43" s="15"/>
      <c r="GBG43" s="15"/>
      <c r="GBH43" s="14"/>
      <c r="GBI43" s="15"/>
      <c r="GBJ43" s="15"/>
      <c r="GBK43" s="15"/>
      <c r="GBL43" s="14"/>
      <c r="GBM43" s="15"/>
      <c r="GBN43" s="15"/>
      <c r="GBO43" s="15"/>
      <c r="GBP43" s="14"/>
      <c r="GBQ43" s="10"/>
      <c r="GBR43" s="15"/>
      <c r="GBS43" s="15"/>
      <c r="GBT43" s="14"/>
      <c r="GBU43" s="15"/>
      <c r="GBV43" s="15"/>
      <c r="GBW43" s="15"/>
      <c r="GBX43" s="14"/>
      <c r="GBY43" s="15"/>
      <c r="GBZ43" s="15"/>
      <c r="GCA43" s="15"/>
      <c r="GCB43" s="14"/>
      <c r="GCC43" s="15"/>
      <c r="GCD43" s="15"/>
      <c r="GCE43" s="15"/>
      <c r="GCF43" s="14"/>
      <c r="GCG43" s="10"/>
      <c r="GCH43" s="15"/>
      <c r="GCI43" s="15"/>
      <c r="GCJ43" s="14"/>
      <c r="GCK43" s="15"/>
      <c r="GCL43" s="15"/>
      <c r="GCM43" s="15"/>
      <c r="GCN43" s="14"/>
      <c r="GCO43" s="15"/>
      <c r="GCP43" s="15"/>
      <c r="GCQ43" s="15"/>
      <c r="GCR43" s="14"/>
      <c r="GCS43" s="15"/>
      <c r="GCT43" s="15"/>
      <c r="GCU43" s="15"/>
      <c r="GCV43" s="14"/>
      <c r="GCW43" s="10"/>
      <c r="GCX43" s="15"/>
      <c r="GCY43" s="15"/>
      <c r="GCZ43" s="14"/>
      <c r="GDA43" s="15"/>
      <c r="GDB43" s="15"/>
      <c r="GDC43" s="15"/>
      <c r="GDD43" s="14"/>
      <c r="GDE43" s="15"/>
      <c r="GDF43" s="15"/>
      <c r="GDG43" s="15"/>
      <c r="GDH43" s="14"/>
      <c r="GDI43" s="15"/>
      <c r="GDJ43" s="15"/>
      <c r="GDK43" s="15"/>
      <c r="GDL43" s="14"/>
      <c r="GDM43" s="10"/>
      <c r="GDN43" s="15"/>
      <c r="GDO43" s="15"/>
      <c r="GDP43" s="14"/>
      <c r="GDQ43" s="15"/>
      <c r="GDR43" s="15"/>
      <c r="GDS43" s="15"/>
      <c r="GDT43" s="14"/>
      <c r="GDU43" s="15"/>
      <c r="GDV43" s="15"/>
      <c r="GDW43" s="15"/>
      <c r="GDX43" s="14"/>
      <c r="GDY43" s="15"/>
      <c r="GDZ43" s="15"/>
      <c r="GEA43" s="15"/>
      <c r="GEB43" s="14"/>
      <c r="GEC43" s="10"/>
      <c r="GED43" s="15"/>
      <c r="GEE43" s="15"/>
      <c r="GEF43" s="14"/>
      <c r="GEG43" s="15"/>
      <c r="GEH43" s="15"/>
      <c r="GEI43" s="15"/>
      <c r="GEJ43" s="14"/>
      <c r="GEK43" s="15"/>
      <c r="GEL43" s="15"/>
      <c r="GEM43" s="15"/>
      <c r="GEN43" s="14"/>
      <c r="GEO43" s="15"/>
      <c r="GEP43" s="15"/>
      <c r="GEQ43" s="15"/>
      <c r="GER43" s="14"/>
      <c r="GES43" s="10"/>
      <c r="GET43" s="15"/>
      <c r="GEU43" s="15"/>
      <c r="GEV43" s="14"/>
      <c r="GEW43" s="15"/>
      <c r="GEX43" s="15"/>
      <c r="GEY43" s="15"/>
      <c r="GEZ43" s="14"/>
      <c r="GFA43" s="15"/>
      <c r="GFB43" s="15"/>
      <c r="GFC43" s="15"/>
      <c r="GFD43" s="14"/>
      <c r="GFE43" s="15"/>
      <c r="GFF43" s="15"/>
      <c r="GFG43" s="15"/>
      <c r="GFH43" s="14"/>
      <c r="GFI43" s="10"/>
      <c r="GFJ43" s="15"/>
      <c r="GFK43" s="15"/>
      <c r="GFL43" s="14"/>
      <c r="GFM43" s="15"/>
      <c r="GFN43" s="15"/>
      <c r="GFO43" s="15"/>
      <c r="GFP43" s="14"/>
      <c r="GFQ43" s="15"/>
      <c r="GFR43" s="15"/>
      <c r="GFS43" s="15"/>
      <c r="GFT43" s="14"/>
      <c r="GFU43" s="15"/>
      <c r="GFV43" s="15"/>
      <c r="GFW43" s="15"/>
      <c r="GFX43" s="14"/>
      <c r="GFY43" s="10"/>
      <c r="GFZ43" s="15"/>
      <c r="GGA43" s="15"/>
      <c r="GGB43" s="14"/>
      <c r="GGC43" s="15"/>
      <c r="GGD43" s="15"/>
      <c r="GGE43" s="15"/>
      <c r="GGF43" s="14"/>
      <c r="GGG43" s="15"/>
      <c r="GGH43" s="15"/>
      <c r="GGI43" s="15"/>
      <c r="GGJ43" s="14"/>
      <c r="GGK43" s="15"/>
      <c r="GGL43" s="15"/>
      <c r="GGM43" s="15"/>
      <c r="GGN43" s="14"/>
      <c r="GGO43" s="10"/>
      <c r="GGP43" s="15"/>
      <c r="GGQ43" s="15"/>
      <c r="GGR43" s="14"/>
      <c r="GGS43" s="15"/>
      <c r="GGT43" s="15"/>
      <c r="GGU43" s="15"/>
      <c r="GGV43" s="14"/>
      <c r="GGW43" s="15"/>
      <c r="GGX43" s="15"/>
      <c r="GGY43" s="15"/>
      <c r="GGZ43" s="14"/>
      <c r="GHA43" s="15"/>
      <c r="GHB43" s="15"/>
      <c r="GHC43" s="15"/>
      <c r="GHD43" s="14"/>
      <c r="GHE43" s="10"/>
      <c r="GHF43" s="15"/>
      <c r="GHG43" s="15"/>
      <c r="GHH43" s="14"/>
      <c r="GHI43" s="15"/>
      <c r="GHJ43" s="15"/>
      <c r="GHK43" s="15"/>
      <c r="GHL43" s="14"/>
      <c r="GHM43" s="15"/>
      <c r="GHN43" s="15"/>
      <c r="GHO43" s="15"/>
      <c r="GHP43" s="14"/>
      <c r="GHQ43" s="15"/>
      <c r="GHR43" s="15"/>
      <c r="GHS43" s="15"/>
      <c r="GHT43" s="14"/>
      <c r="GHU43" s="10"/>
      <c r="GHV43" s="15"/>
      <c r="GHW43" s="15"/>
      <c r="GHX43" s="14"/>
      <c r="GHY43" s="15"/>
      <c r="GHZ43" s="15"/>
      <c r="GIA43" s="15"/>
      <c r="GIB43" s="14"/>
      <c r="GIC43" s="15"/>
      <c r="GID43" s="15"/>
      <c r="GIE43" s="15"/>
      <c r="GIF43" s="14"/>
      <c r="GIG43" s="15"/>
      <c r="GIH43" s="15"/>
      <c r="GII43" s="15"/>
      <c r="GIJ43" s="14"/>
      <c r="GIK43" s="10"/>
      <c r="GIL43" s="15"/>
      <c r="GIM43" s="15"/>
      <c r="GIN43" s="14"/>
      <c r="GIO43" s="15"/>
      <c r="GIP43" s="15"/>
      <c r="GIQ43" s="15"/>
      <c r="GIR43" s="14"/>
      <c r="GIS43" s="15"/>
      <c r="GIT43" s="15"/>
      <c r="GIU43" s="15"/>
      <c r="GIV43" s="14"/>
      <c r="GIW43" s="15"/>
      <c r="GIX43" s="15"/>
      <c r="GIY43" s="15"/>
      <c r="GIZ43" s="14"/>
      <c r="GJA43" s="10"/>
      <c r="GJB43" s="15"/>
      <c r="GJC43" s="15"/>
      <c r="GJD43" s="14"/>
      <c r="GJE43" s="15"/>
      <c r="GJF43" s="15"/>
      <c r="GJG43" s="15"/>
      <c r="GJH43" s="14"/>
      <c r="GJI43" s="15"/>
      <c r="GJJ43" s="15"/>
      <c r="GJK43" s="15"/>
      <c r="GJL43" s="14"/>
      <c r="GJM43" s="15"/>
      <c r="GJN43" s="15"/>
      <c r="GJO43" s="15"/>
      <c r="GJP43" s="14"/>
      <c r="GJQ43" s="10"/>
      <c r="GJR43" s="15"/>
      <c r="GJS43" s="15"/>
      <c r="GJT43" s="14"/>
      <c r="GJU43" s="15"/>
      <c r="GJV43" s="15"/>
      <c r="GJW43" s="15"/>
      <c r="GJX43" s="14"/>
      <c r="GJY43" s="15"/>
      <c r="GJZ43" s="15"/>
      <c r="GKA43" s="15"/>
      <c r="GKB43" s="14"/>
      <c r="GKC43" s="15"/>
      <c r="GKD43" s="15"/>
      <c r="GKE43" s="15"/>
      <c r="GKF43" s="14"/>
      <c r="GKG43" s="10"/>
      <c r="GKH43" s="15"/>
      <c r="GKI43" s="15"/>
      <c r="GKJ43" s="14"/>
      <c r="GKK43" s="15"/>
      <c r="GKL43" s="15"/>
      <c r="GKM43" s="15"/>
      <c r="GKN43" s="14"/>
      <c r="GKO43" s="15"/>
      <c r="GKP43" s="15"/>
      <c r="GKQ43" s="15"/>
      <c r="GKR43" s="14"/>
      <c r="GKS43" s="15"/>
      <c r="GKT43" s="15"/>
      <c r="GKU43" s="15"/>
      <c r="GKV43" s="14"/>
      <c r="GKW43" s="10"/>
      <c r="GKX43" s="15"/>
      <c r="GKY43" s="15"/>
      <c r="GKZ43" s="14"/>
      <c r="GLA43" s="15"/>
      <c r="GLB43" s="15"/>
      <c r="GLC43" s="15"/>
      <c r="GLD43" s="14"/>
      <c r="GLE43" s="15"/>
      <c r="GLF43" s="15"/>
      <c r="GLG43" s="15"/>
      <c r="GLH43" s="14"/>
      <c r="GLI43" s="15"/>
      <c r="GLJ43" s="15"/>
      <c r="GLK43" s="15"/>
      <c r="GLL43" s="14"/>
      <c r="GLM43" s="10"/>
      <c r="GLN43" s="15"/>
      <c r="GLO43" s="15"/>
      <c r="GLP43" s="14"/>
      <c r="GLQ43" s="15"/>
      <c r="GLR43" s="15"/>
      <c r="GLS43" s="15"/>
      <c r="GLT43" s="14"/>
      <c r="GLU43" s="15"/>
      <c r="GLV43" s="15"/>
      <c r="GLW43" s="15"/>
      <c r="GLX43" s="14"/>
      <c r="GLY43" s="15"/>
      <c r="GLZ43" s="15"/>
      <c r="GMA43" s="15"/>
      <c r="GMB43" s="14"/>
      <c r="GMC43" s="10"/>
      <c r="GMD43" s="15"/>
      <c r="GME43" s="15"/>
      <c r="GMF43" s="14"/>
      <c r="GMG43" s="15"/>
      <c r="GMH43" s="15"/>
      <c r="GMI43" s="15"/>
      <c r="GMJ43" s="14"/>
      <c r="GMK43" s="15"/>
      <c r="GML43" s="15"/>
      <c r="GMM43" s="15"/>
      <c r="GMN43" s="14"/>
      <c r="GMO43" s="15"/>
      <c r="GMP43" s="15"/>
      <c r="GMQ43" s="15"/>
      <c r="GMR43" s="14"/>
      <c r="GMS43" s="10"/>
      <c r="GMT43" s="15"/>
      <c r="GMU43" s="15"/>
      <c r="GMV43" s="14"/>
      <c r="GMW43" s="15"/>
      <c r="GMX43" s="15"/>
      <c r="GMY43" s="15"/>
      <c r="GMZ43" s="14"/>
      <c r="GNA43" s="15"/>
      <c r="GNB43" s="15"/>
      <c r="GNC43" s="15"/>
      <c r="GND43" s="14"/>
      <c r="GNE43" s="15"/>
      <c r="GNF43" s="15"/>
      <c r="GNG43" s="15"/>
      <c r="GNH43" s="14"/>
      <c r="GNI43" s="10"/>
      <c r="GNJ43" s="15"/>
      <c r="GNK43" s="15"/>
      <c r="GNL43" s="14"/>
      <c r="GNM43" s="15"/>
      <c r="GNN43" s="15"/>
      <c r="GNO43" s="15"/>
      <c r="GNP43" s="14"/>
      <c r="GNQ43" s="15"/>
      <c r="GNR43" s="15"/>
      <c r="GNS43" s="15"/>
      <c r="GNT43" s="14"/>
      <c r="GNU43" s="15"/>
      <c r="GNV43" s="15"/>
      <c r="GNW43" s="15"/>
      <c r="GNX43" s="14"/>
      <c r="GNY43" s="10"/>
      <c r="GNZ43" s="15"/>
      <c r="GOA43" s="15"/>
      <c r="GOB43" s="14"/>
      <c r="GOC43" s="15"/>
      <c r="GOD43" s="15"/>
      <c r="GOE43" s="15"/>
      <c r="GOF43" s="14"/>
      <c r="GOG43" s="15"/>
      <c r="GOH43" s="15"/>
      <c r="GOI43" s="15"/>
      <c r="GOJ43" s="14"/>
      <c r="GOK43" s="15"/>
      <c r="GOL43" s="15"/>
      <c r="GOM43" s="15"/>
      <c r="GON43" s="14"/>
      <c r="GOO43" s="10"/>
      <c r="GOP43" s="15"/>
      <c r="GOQ43" s="15"/>
      <c r="GOR43" s="14"/>
      <c r="GOS43" s="15"/>
      <c r="GOT43" s="15"/>
      <c r="GOU43" s="15"/>
      <c r="GOV43" s="14"/>
      <c r="GOW43" s="15"/>
      <c r="GOX43" s="15"/>
      <c r="GOY43" s="15"/>
      <c r="GOZ43" s="14"/>
      <c r="GPA43" s="15"/>
      <c r="GPB43" s="15"/>
      <c r="GPC43" s="15"/>
      <c r="GPD43" s="14"/>
      <c r="GPE43" s="10"/>
      <c r="GPF43" s="15"/>
      <c r="GPG43" s="15"/>
      <c r="GPH43" s="14"/>
      <c r="GPI43" s="15"/>
      <c r="GPJ43" s="15"/>
      <c r="GPK43" s="15"/>
      <c r="GPL43" s="14"/>
      <c r="GPM43" s="15"/>
      <c r="GPN43" s="15"/>
      <c r="GPO43" s="15"/>
      <c r="GPP43" s="14"/>
      <c r="GPQ43" s="15"/>
      <c r="GPR43" s="15"/>
      <c r="GPS43" s="15"/>
      <c r="GPT43" s="14"/>
      <c r="GPU43" s="10"/>
      <c r="GPV43" s="15"/>
      <c r="GPW43" s="15"/>
      <c r="GPX43" s="14"/>
      <c r="GPY43" s="15"/>
      <c r="GPZ43" s="15"/>
      <c r="GQA43" s="15"/>
      <c r="GQB43" s="14"/>
      <c r="GQC43" s="15"/>
      <c r="GQD43" s="15"/>
      <c r="GQE43" s="15"/>
      <c r="GQF43" s="14"/>
      <c r="GQG43" s="15"/>
      <c r="GQH43" s="15"/>
      <c r="GQI43" s="15"/>
      <c r="GQJ43" s="14"/>
      <c r="GQK43" s="10"/>
      <c r="GQL43" s="15"/>
      <c r="GQM43" s="15"/>
      <c r="GQN43" s="14"/>
      <c r="GQO43" s="15"/>
      <c r="GQP43" s="15"/>
      <c r="GQQ43" s="15"/>
      <c r="GQR43" s="14"/>
      <c r="GQS43" s="15"/>
      <c r="GQT43" s="15"/>
      <c r="GQU43" s="15"/>
      <c r="GQV43" s="14"/>
      <c r="GQW43" s="15"/>
      <c r="GQX43" s="15"/>
      <c r="GQY43" s="15"/>
      <c r="GQZ43" s="14"/>
      <c r="GRA43" s="10"/>
      <c r="GRB43" s="15"/>
      <c r="GRC43" s="15"/>
      <c r="GRD43" s="14"/>
      <c r="GRE43" s="15"/>
      <c r="GRF43" s="15"/>
      <c r="GRG43" s="15"/>
      <c r="GRH43" s="14"/>
      <c r="GRI43" s="15"/>
      <c r="GRJ43" s="15"/>
      <c r="GRK43" s="15"/>
      <c r="GRL43" s="14"/>
      <c r="GRM43" s="15"/>
      <c r="GRN43" s="15"/>
      <c r="GRO43" s="15"/>
      <c r="GRP43" s="14"/>
      <c r="GRQ43" s="10"/>
      <c r="GRR43" s="15"/>
      <c r="GRS43" s="15"/>
      <c r="GRT43" s="14"/>
      <c r="GRU43" s="15"/>
      <c r="GRV43" s="15"/>
      <c r="GRW43" s="15"/>
      <c r="GRX43" s="14"/>
      <c r="GRY43" s="15"/>
      <c r="GRZ43" s="15"/>
      <c r="GSA43" s="15"/>
      <c r="GSB43" s="14"/>
      <c r="GSC43" s="15"/>
      <c r="GSD43" s="15"/>
      <c r="GSE43" s="15"/>
      <c r="GSF43" s="14"/>
      <c r="GSG43" s="10"/>
      <c r="GSH43" s="15"/>
      <c r="GSI43" s="15"/>
      <c r="GSJ43" s="14"/>
      <c r="GSK43" s="15"/>
      <c r="GSL43" s="15"/>
      <c r="GSM43" s="15"/>
      <c r="GSN43" s="14"/>
      <c r="GSO43" s="15"/>
      <c r="GSP43" s="15"/>
      <c r="GSQ43" s="15"/>
      <c r="GSR43" s="14"/>
      <c r="GSS43" s="15"/>
      <c r="GST43" s="15"/>
      <c r="GSU43" s="15"/>
      <c r="GSV43" s="14"/>
      <c r="GSW43" s="10"/>
      <c r="GSX43" s="15"/>
      <c r="GSY43" s="15"/>
      <c r="GSZ43" s="14"/>
      <c r="GTA43" s="15"/>
      <c r="GTB43" s="15"/>
      <c r="GTC43" s="15"/>
      <c r="GTD43" s="14"/>
      <c r="GTE43" s="15"/>
      <c r="GTF43" s="15"/>
      <c r="GTG43" s="15"/>
      <c r="GTH43" s="14"/>
      <c r="GTI43" s="15"/>
      <c r="GTJ43" s="15"/>
      <c r="GTK43" s="15"/>
      <c r="GTL43" s="14"/>
      <c r="GTM43" s="10"/>
      <c r="GTN43" s="15"/>
      <c r="GTO43" s="15"/>
      <c r="GTP43" s="14"/>
      <c r="GTQ43" s="15"/>
      <c r="GTR43" s="15"/>
      <c r="GTS43" s="15"/>
      <c r="GTT43" s="14"/>
      <c r="GTU43" s="15"/>
      <c r="GTV43" s="15"/>
      <c r="GTW43" s="15"/>
      <c r="GTX43" s="14"/>
      <c r="GTY43" s="15"/>
      <c r="GTZ43" s="15"/>
      <c r="GUA43" s="15"/>
      <c r="GUB43" s="14"/>
      <c r="GUC43" s="10"/>
      <c r="GUD43" s="15"/>
      <c r="GUE43" s="15"/>
      <c r="GUF43" s="14"/>
      <c r="GUG43" s="15"/>
      <c r="GUH43" s="15"/>
      <c r="GUI43" s="15"/>
      <c r="GUJ43" s="14"/>
      <c r="GUK43" s="15"/>
      <c r="GUL43" s="15"/>
      <c r="GUM43" s="15"/>
      <c r="GUN43" s="14"/>
      <c r="GUO43" s="15"/>
      <c r="GUP43" s="15"/>
      <c r="GUQ43" s="15"/>
      <c r="GUR43" s="14"/>
      <c r="GUS43" s="10"/>
      <c r="GUT43" s="15"/>
      <c r="GUU43" s="15"/>
      <c r="GUV43" s="14"/>
      <c r="GUW43" s="15"/>
      <c r="GUX43" s="15"/>
      <c r="GUY43" s="15"/>
      <c r="GUZ43" s="14"/>
      <c r="GVA43" s="15"/>
      <c r="GVB43" s="15"/>
      <c r="GVC43" s="15"/>
      <c r="GVD43" s="14"/>
      <c r="GVE43" s="15"/>
      <c r="GVF43" s="15"/>
      <c r="GVG43" s="15"/>
      <c r="GVH43" s="14"/>
      <c r="GVI43" s="10"/>
      <c r="GVJ43" s="15"/>
      <c r="GVK43" s="15"/>
      <c r="GVL43" s="14"/>
      <c r="GVM43" s="15"/>
      <c r="GVN43" s="15"/>
      <c r="GVO43" s="15"/>
      <c r="GVP43" s="14"/>
      <c r="GVQ43" s="15"/>
      <c r="GVR43" s="15"/>
      <c r="GVS43" s="15"/>
      <c r="GVT43" s="14"/>
      <c r="GVU43" s="15"/>
      <c r="GVV43" s="15"/>
      <c r="GVW43" s="15"/>
      <c r="GVX43" s="14"/>
      <c r="GVY43" s="10"/>
      <c r="GVZ43" s="15"/>
      <c r="GWA43" s="15"/>
      <c r="GWB43" s="14"/>
      <c r="GWC43" s="15"/>
      <c r="GWD43" s="15"/>
      <c r="GWE43" s="15"/>
      <c r="GWF43" s="14"/>
      <c r="GWG43" s="15"/>
      <c r="GWH43" s="15"/>
      <c r="GWI43" s="15"/>
      <c r="GWJ43" s="14"/>
      <c r="GWK43" s="15"/>
      <c r="GWL43" s="15"/>
      <c r="GWM43" s="15"/>
      <c r="GWN43" s="14"/>
      <c r="GWO43" s="10"/>
      <c r="GWP43" s="15"/>
      <c r="GWQ43" s="15"/>
      <c r="GWR43" s="14"/>
      <c r="GWS43" s="15"/>
      <c r="GWT43" s="15"/>
      <c r="GWU43" s="15"/>
      <c r="GWV43" s="14"/>
      <c r="GWW43" s="15"/>
      <c r="GWX43" s="15"/>
      <c r="GWY43" s="15"/>
      <c r="GWZ43" s="14"/>
      <c r="GXA43" s="15"/>
      <c r="GXB43" s="15"/>
      <c r="GXC43" s="15"/>
      <c r="GXD43" s="14"/>
      <c r="GXE43" s="10"/>
      <c r="GXF43" s="15"/>
      <c r="GXG43" s="15"/>
      <c r="GXH43" s="14"/>
      <c r="GXI43" s="15"/>
      <c r="GXJ43" s="15"/>
      <c r="GXK43" s="15"/>
      <c r="GXL43" s="14"/>
      <c r="GXM43" s="15"/>
      <c r="GXN43" s="15"/>
      <c r="GXO43" s="15"/>
      <c r="GXP43" s="14"/>
      <c r="GXQ43" s="15"/>
      <c r="GXR43" s="15"/>
      <c r="GXS43" s="15"/>
      <c r="GXT43" s="14"/>
      <c r="GXU43" s="10"/>
      <c r="GXV43" s="15"/>
      <c r="GXW43" s="15"/>
      <c r="GXX43" s="14"/>
      <c r="GXY43" s="15"/>
      <c r="GXZ43" s="15"/>
      <c r="GYA43" s="15"/>
      <c r="GYB43" s="14"/>
      <c r="GYC43" s="15"/>
      <c r="GYD43" s="15"/>
      <c r="GYE43" s="15"/>
      <c r="GYF43" s="14"/>
      <c r="GYG43" s="15"/>
      <c r="GYH43" s="15"/>
      <c r="GYI43" s="15"/>
      <c r="GYJ43" s="14"/>
      <c r="GYK43" s="10"/>
      <c r="GYL43" s="15"/>
      <c r="GYM43" s="15"/>
      <c r="GYN43" s="14"/>
      <c r="GYO43" s="15"/>
      <c r="GYP43" s="15"/>
      <c r="GYQ43" s="15"/>
      <c r="GYR43" s="14"/>
      <c r="GYS43" s="15"/>
      <c r="GYT43" s="15"/>
      <c r="GYU43" s="15"/>
      <c r="GYV43" s="14"/>
      <c r="GYW43" s="15"/>
      <c r="GYX43" s="15"/>
      <c r="GYY43" s="15"/>
      <c r="GYZ43" s="14"/>
      <c r="GZA43" s="10"/>
      <c r="GZB43" s="15"/>
      <c r="GZC43" s="15"/>
      <c r="GZD43" s="14"/>
      <c r="GZE43" s="15"/>
      <c r="GZF43" s="15"/>
      <c r="GZG43" s="15"/>
      <c r="GZH43" s="14"/>
      <c r="GZI43" s="15"/>
      <c r="GZJ43" s="15"/>
      <c r="GZK43" s="15"/>
      <c r="GZL43" s="14"/>
      <c r="GZM43" s="15"/>
      <c r="GZN43" s="15"/>
      <c r="GZO43" s="15"/>
      <c r="GZP43" s="14"/>
      <c r="GZQ43" s="10"/>
      <c r="GZR43" s="15"/>
      <c r="GZS43" s="15"/>
      <c r="GZT43" s="14"/>
      <c r="GZU43" s="15"/>
      <c r="GZV43" s="15"/>
      <c r="GZW43" s="15"/>
      <c r="GZX43" s="14"/>
      <c r="GZY43" s="15"/>
      <c r="GZZ43" s="15"/>
      <c r="HAA43" s="15"/>
      <c r="HAB43" s="14"/>
      <c r="HAC43" s="15"/>
      <c r="HAD43" s="15"/>
      <c r="HAE43" s="15"/>
      <c r="HAF43" s="14"/>
      <c r="HAG43" s="10"/>
      <c r="HAH43" s="15"/>
      <c r="HAI43" s="15"/>
      <c r="HAJ43" s="14"/>
      <c r="HAK43" s="15"/>
      <c r="HAL43" s="15"/>
      <c r="HAM43" s="15"/>
      <c r="HAN43" s="14"/>
      <c r="HAO43" s="15"/>
      <c r="HAP43" s="15"/>
      <c r="HAQ43" s="15"/>
      <c r="HAR43" s="14"/>
      <c r="HAS43" s="15"/>
      <c r="HAT43" s="15"/>
      <c r="HAU43" s="15"/>
      <c r="HAV43" s="14"/>
      <c r="HAW43" s="10"/>
      <c r="HAX43" s="15"/>
      <c r="HAY43" s="15"/>
      <c r="HAZ43" s="14"/>
      <c r="HBA43" s="15"/>
      <c r="HBB43" s="15"/>
      <c r="HBC43" s="15"/>
      <c r="HBD43" s="14"/>
      <c r="HBE43" s="15"/>
      <c r="HBF43" s="15"/>
      <c r="HBG43" s="15"/>
      <c r="HBH43" s="14"/>
      <c r="HBI43" s="15"/>
      <c r="HBJ43" s="15"/>
      <c r="HBK43" s="15"/>
      <c r="HBL43" s="14"/>
      <c r="HBM43" s="10"/>
      <c r="HBN43" s="15"/>
      <c r="HBO43" s="15"/>
      <c r="HBP43" s="14"/>
      <c r="HBQ43" s="15"/>
      <c r="HBR43" s="15"/>
      <c r="HBS43" s="15"/>
      <c r="HBT43" s="14"/>
      <c r="HBU43" s="15"/>
      <c r="HBV43" s="15"/>
      <c r="HBW43" s="15"/>
      <c r="HBX43" s="14"/>
      <c r="HBY43" s="15"/>
      <c r="HBZ43" s="15"/>
      <c r="HCA43" s="15"/>
      <c r="HCB43" s="14"/>
      <c r="HCC43" s="10"/>
      <c r="HCD43" s="15"/>
      <c r="HCE43" s="15"/>
      <c r="HCF43" s="14"/>
      <c r="HCG43" s="15"/>
      <c r="HCH43" s="15"/>
      <c r="HCI43" s="15"/>
      <c r="HCJ43" s="14"/>
      <c r="HCK43" s="15"/>
      <c r="HCL43" s="15"/>
      <c r="HCM43" s="15"/>
      <c r="HCN43" s="14"/>
      <c r="HCO43" s="15"/>
      <c r="HCP43" s="15"/>
      <c r="HCQ43" s="15"/>
      <c r="HCR43" s="14"/>
      <c r="HCS43" s="10"/>
      <c r="HCT43" s="15"/>
      <c r="HCU43" s="15"/>
      <c r="HCV43" s="14"/>
      <c r="HCW43" s="15"/>
      <c r="HCX43" s="15"/>
      <c r="HCY43" s="15"/>
      <c r="HCZ43" s="14"/>
      <c r="HDA43" s="15"/>
      <c r="HDB43" s="15"/>
      <c r="HDC43" s="15"/>
      <c r="HDD43" s="14"/>
      <c r="HDE43" s="15"/>
      <c r="HDF43" s="15"/>
      <c r="HDG43" s="15"/>
      <c r="HDH43" s="14"/>
      <c r="HDI43" s="10"/>
      <c r="HDJ43" s="15"/>
      <c r="HDK43" s="15"/>
      <c r="HDL43" s="14"/>
      <c r="HDM43" s="15"/>
      <c r="HDN43" s="15"/>
      <c r="HDO43" s="15"/>
      <c r="HDP43" s="14"/>
      <c r="HDQ43" s="15"/>
      <c r="HDR43" s="15"/>
      <c r="HDS43" s="15"/>
      <c r="HDT43" s="14"/>
      <c r="HDU43" s="15"/>
      <c r="HDV43" s="15"/>
      <c r="HDW43" s="15"/>
      <c r="HDX43" s="14"/>
      <c r="HDY43" s="10"/>
      <c r="HDZ43" s="15"/>
      <c r="HEA43" s="15"/>
      <c r="HEB43" s="14"/>
      <c r="HEC43" s="15"/>
      <c r="HED43" s="15"/>
      <c r="HEE43" s="15"/>
      <c r="HEF43" s="14"/>
      <c r="HEG43" s="15"/>
      <c r="HEH43" s="15"/>
      <c r="HEI43" s="15"/>
      <c r="HEJ43" s="14"/>
      <c r="HEK43" s="15"/>
      <c r="HEL43" s="15"/>
      <c r="HEM43" s="15"/>
      <c r="HEN43" s="14"/>
      <c r="HEO43" s="10"/>
      <c r="HEP43" s="15"/>
      <c r="HEQ43" s="15"/>
      <c r="HER43" s="14"/>
      <c r="HES43" s="15"/>
      <c r="HET43" s="15"/>
      <c r="HEU43" s="15"/>
      <c r="HEV43" s="14"/>
      <c r="HEW43" s="15"/>
      <c r="HEX43" s="15"/>
      <c r="HEY43" s="15"/>
      <c r="HEZ43" s="14"/>
      <c r="HFA43" s="15"/>
      <c r="HFB43" s="15"/>
      <c r="HFC43" s="15"/>
      <c r="HFD43" s="14"/>
      <c r="HFE43" s="10"/>
      <c r="HFF43" s="15"/>
      <c r="HFG43" s="15"/>
      <c r="HFH43" s="14"/>
      <c r="HFI43" s="15"/>
      <c r="HFJ43" s="15"/>
      <c r="HFK43" s="15"/>
      <c r="HFL43" s="14"/>
      <c r="HFM43" s="15"/>
      <c r="HFN43" s="15"/>
      <c r="HFO43" s="15"/>
      <c r="HFP43" s="14"/>
      <c r="HFQ43" s="15"/>
      <c r="HFR43" s="15"/>
      <c r="HFS43" s="15"/>
      <c r="HFT43" s="14"/>
      <c r="HFU43" s="10"/>
      <c r="HFV43" s="15"/>
      <c r="HFW43" s="15"/>
      <c r="HFX43" s="14"/>
      <c r="HFY43" s="15"/>
      <c r="HFZ43" s="15"/>
      <c r="HGA43" s="15"/>
      <c r="HGB43" s="14"/>
      <c r="HGC43" s="15"/>
      <c r="HGD43" s="15"/>
      <c r="HGE43" s="15"/>
      <c r="HGF43" s="14"/>
      <c r="HGG43" s="15"/>
      <c r="HGH43" s="15"/>
      <c r="HGI43" s="15"/>
      <c r="HGJ43" s="14"/>
      <c r="HGK43" s="10"/>
      <c r="HGL43" s="15"/>
      <c r="HGM43" s="15"/>
      <c r="HGN43" s="14"/>
      <c r="HGO43" s="15"/>
      <c r="HGP43" s="15"/>
      <c r="HGQ43" s="15"/>
      <c r="HGR43" s="14"/>
      <c r="HGS43" s="15"/>
      <c r="HGT43" s="15"/>
      <c r="HGU43" s="15"/>
      <c r="HGV43" s="14"/>
      <c r="HGW43" s="15"/>
      <c r="HGX43" s="15"/>
      <c r="HGY43" s="15"/>
      <c r="HGZ43" s="14"/>
      <c r="HHA43" s="10"/>
      <c r="HHB43" s="15"/>
      <c r="HHC43" s="15"/>
      <c r="HHD43" s="14"/>
      <c r="HHE43" s="15"/>
      <c r="HHF43" s="15"/>
      <c r="HHG43" s="15"/>
      <c r="HHH43" s="14"/>
      <c r="HHI43" s="15"/>
      <c r="HHJ43" s="15"/>
      <c r="HHK43" s="15"/>
      <c r="HHL43" s="14"/>
      <c r="HHM43" s="15"/>
      <c r="HHN43" s="15"/>
      <c r="HHO43" s="15"/>
      <c r="HHP43" s="14"/>
      <c r="HHQ43" s="10"/>
      <c r="HHR43" s="15"/>
      <c r="HHS43" s="15"/>
      <c r="HHT43" s="14"/>
      <c r="HHU43" s="15"/>
      <c r="HHV43" s="15"/>
      <c r="HHW43" s="15"/>
      <c r="HHX43" s="14"/>
      <c r="HHY43" s="15"/>
      <c r="HHZ43" s="15"/>
      <c r="HIA43" s="15"/>
      <c r="HIB43" s="14"/>
      <c r="HIC43" s="15"/>
      <c r="HID43" s="15"/>
      <c r="HIE43" s="15"/>
      <c r="HIF43" s="14"/>
      <c r="HIG43" s="10"/>
      <c r="HIH43" s="15"/>
      <c r="HII43" s="15"/>
      <c r="HIJ43" s="14"/>
      <c r="HIK43" s="15"/>
      <c r="HIL43" s="15"/>
      <c r="HIM43" s="15"/>
      <c r="HIN43" s="14"/>
      <c r="HIO43" s="15"/>
      <c r="HIP43" s="15"/>
      <c r="HIQ43" s="15"/>
      <c r="HIR43" s="14"/>
      <c r="HIS43" s="15"/>
      <c r="HIT43" s="15"/>
      <c r="HIU43" s="15"/>
      <c r="HIV43" s="14"/>
      <c r="HIW43" s="10"/>
      <c r="HIX43" s="15"/>
      <c r="HIY43" s="15"/>
      <c r="HIZ43" s="14"/>
      <c r="HJA43" s="15"/>
      <c r="HJB43" s="15"/>
      <c r="HJC43" s="15"/>
      <c r="HJD43" s="14"/>
      <c r="HJE43" s="15"/>
      <c r="HJF43" s="15"/>
      <c r="HJG43" s="15"/>
      <c r="HJH43" s="14"/>
      <c r="HJI43" s="15"/>
      <c r="HJJ43" s="15"/>
      <c r="HJK43" s="15"/>
      <c r="HJL43" s="14"/>
      <c r="HJM43" s="10"/>
      <c r="HJN43" s="15"/>
      <c r="HJO43" s="15"/>
      <c r="HJP43" s="14"/>
      <c r="HJQ43" s="15"/>
      <c r="HJR43" s="15"/>
      <c r="HJS43" s="15"/>
      <c r="HJT43" s="14"/>
      <c r="HJU43" s="15"/>
      <c r="HJV43" s="15"/>
      <c r="HJW43" s="15"/>
      <c r="HJX43" s="14"/>
      <c r="HJY43" s="15"/>
      <c r="HJZ43" s="15"/>
      <c r="HKA43" s="15"/>
      <c r="HKB43" s="14"/>
      <c r="HKC43" s="10"/>
      <c r="HKD43" s="15"/>
      <c r="HKE43" s="15"/>
      <c r="HKF43" s="14"/>
      <c r="HKG43" s="15"/>
      <c r="HKH43" s="15"/>
      <c r="HKI43" s="15"/>
      <c r="HKJ43" s="14"/>
      <c r="HKK43" s="15"/>
      <c r="HKL43" s="15"/>
      <c r="HKM43" s="15"/>
      <c r="HKN43" s="14"/>
      <c r="HKO43" s="15"/>
      <c r="HKP43" s="15"/>
      <c r="HKQ43" s="15"/>
      <c r="HKR43" s="14"/>
      <c r="HKS43" s="10"/>
      <c r="HKT43" s="15"/>
      <c r="HKU43" s="15"/>
      <c r="HKV43" s="14"/>
      <c r="HKW43" s="15"/>
      <c r="HKX43" s="15"/>
      <c r="HKY43" s="15"/>
      <c r="HKZ43" s="14"/>
      <c r="HLA43" s="15"/>
      <c r="HLB43" s="15"/>
      <c r="HLC43" s="15"/>
      <c r="HLD43" s="14"/>
      <c r="HLE43" s="15"/>
      <c r="HLF43" s="15"/>
      <c r="HLG43" s="15"/>
      <c r="HLH43" s="14"/>
      <c r="HLI43" s="10"/>
      <c r="HLJ43" s="15"/>
      <c r="HLK43" s="15"/>
      <c r="HLL43" s="14"/>
      <c r="HLM43" s="15"/>
      <c r="HLN43" s="15"/>
      <c r="HLO43" s="15"/>
      <c r="HLP43" s="14"/>
      <c r="HLQ43" s="15"/>
      <c r="HLR43" s="15"/>
      <c r="HLS43" s="15"/>
      <c r="HLT43" s="14"/>
      <c r="HLU43" s="15"/>
      <c r="HLV43" s="15"/>
      <c r="HLW43" s="15"/>
      <c r="HLX43" s="14"/>
      <c r="HLY43" s="10"/>
      <c r="HLZ43" s="15"/>
      <c r="HMA43" s="15"/>
      <c r="HMB43" s="14"/>
      <c r="HMC43" s="15"/>
      <c r="HMD43" s="15"/>
      <c r="HME43" s="15"/>
      <c r="HMF43" s="14"/>
      <c r="HMG43" s="15"/>
      <c r="HMH43" s="15"/>
      <c r="HMI43" s="15"/>
      <c r="HMJ43" s="14"/>
      <c r="HMK43" s="15"/>
      <c r="HML43" s="15"/>
      <c r="HMM43" s="15"/>
      <c r="HMN43" s="14"/>
      <c r="HMO43" s="10"/>
      <c r="HMP43" s="15"/>
      <c r="HMQ43" s="15"/>
      <c r="HMR43" s="14"/>
      <c r="HMS43" s="15"/>
      <c r="HMT43" s="15"/>
      <c r="HMU43" s="15"/>
      <c r="HMV43" s="14"/>
      <c r="HMW43" s="15"/>
      <c r="HMX43" s="15"/>
      <c r="HMY43" s="15"/>
      <c r="HMZ43" s="14"/>
      <c r="HNA43" s="15"/>
      <c r="HNB43" s="15"/>
      <c r="HNC43" s="15"/>
      <c r="HND43" s="14"/>
      <c r="HNE43" s="10"/>
      <c r="HNF43" s="15"/>
      <c r="HNG43" s="15"/>
      <c r="HNH43" s="14"/>
      <c r="HNI43" s="15"/>
      <c r="HNJ43" s="15"/>
      <c r="HNK43" s="15"/>
      <c r="HNL43" s="14"/>
      <c r="HNM43" s="15"/>
      <c r="HNN43" s="15"/>
      <c r="HNO43" s="15"/>
      <c r="HNP43" s="14"/>
      <c r="HNQ43" s="15"/>
      <c r="HNR43" s="15"/>
      <c r="HNS43" s="15"/>
      <c r="HNT43" s="14"/>
      <c r="HNU43" s="10"/>
      <c r="HNV43" s="15"/>
      <c r="HNW43" s="15"/>
      <c r="HNX43" s="14"/>
      <c r="HNY43" s="15"/>
      <c r="HNZ43" s="15"/>
      <c r="HOA43" s="15"/>
      <c r="HOB43" s="14"/>
      <c r="HOC43" s="15"/>
      <c r="HOD43" s="15"/>
      <c r="HOE43" s="15"/>
      <c r="HOF43" s="14"/>
      <c r="HOG43" s="15"/>
      <c r="HOH43" s="15"/>
      <c r="HOI43" s="15"/>
      <c r="HOJ43" s="14"/>
      <c r="HOK43" s="10"/>
      <c r="HOL43" s="15"/>
      <c r="HOM43" s="15"/>
      <c r="HON43" s="14"/>
      <c r="HOO43" s="15"/>
      <c r="HOP43" s="15"/>
      <c r="HOQ43" s="15"/>
      <c r="HOR43" s="14"/>
      <c r="HOS43" s="15"/>
      <c r="HOT43" s="15"/>
      <c r="HOU43" s="15"/>
      <c r="HOV43" s="14"/>
      <c r="HOW43" s="15"/>
      <c r="HOX43" s="15"/>
      <c r="HOY43" s="15"/>
      <c r="HOZ43" s="14"/>
      <c r="HPA43" s="10"/>
      <c r="HPB43" s="15"/>
      <c r="HPC43" s="15"/>
      <c r="HPD43" s="14"/>
      <c r="HPE43" s="15"/>
      <c r="HPF43" s="15"/>
      <c r="HPG43" s="15"/>
      <c r="HPH43" s="14"/>
      <c r="HPI43" s="15"/>
      <c r="HPJ43" s="15"/>
      <c r="HPK43" s="15"/>
      <c r="HPL43" s="14"/>
      <c r="HPM43" s="15"/>
      <c r="HPN43" s="15"/>
      <c r="HPO43" s="15"/>
      <c r="HPP43" s="14"/>
      <c r="HPQ43" s="10"/>
      <c r="HPR43" s="15"/>
      <c r="HPS43" s="15"/>
      <c r="HPT43" s="14"/>
      <c r="HPU43" s="15"/>
      <c r="HPV43" s="15"/>
      <c r="HPW43" s="15"/>
      <c r="HPX43" s="14"/>
      <c r="HPY43" s="15"/>
      <c r="HPZ43" s="15"/>
      <c r="HQA43" s="15"/>
      <c r="HQB43" s="14"/>
      <c r="HQC43" s="15"/>
      <c r="HQD43" s="15"/>
      <c r="HQE43" s="15"/>
      <c r="HQF43" s="14"/>
      <c r="HQG43" s="10"/>
      <c r="HQH43" s="15"/>
      <c r="HQI43" s="15"/>
      <c r="HQJ43" s="14"/>
      <c r="HQK43" s="15"/>
      <c r="HQL43" s="15"/>
      <c r="HQM43" s="15"/>
      <c r="HQN43" s="14"/>
      <c r="HQO43" s="15"/>
      <c r="HQP43" s="15"/>
      <c r="HQQ43" s="15"/>
      <c r="HQR43" s="14"/>
      <c r="HQS43" s="15"/>
      <c r="HQT43" s="15"/>
      <c r="HQU43" s="15"/>
      <c r="HQV43" s="14"/>
      <c r="HQW43" s="10"/>
      <c r="HQX43" s="15"/>
      <c r="HQY43" s="15"/>
      <c r="HQZ43" s="14"/>
      <c r="HRA43" s="15"/>
      <c r="HRB43" s="15"/>
      <c r="HRC43" s="15"/>
      <c r="HRD43" s="14"/>
      <c r="HRE43" s="15"/>
      <c r="HRF43" s="15"/>
      <c r="HRG43" s="15"/>
      <c r="HRH43" s="14"/>
      <c r="HRI43" s="15"/>
      <c r="HRJ43" s="15"/>
      <c r="HRK43" s="15"/>
      <c r="HRL43" s="14"/>
      <c r="HRM43" s="10"/>
      <c r="HRN43" s="15"/>
      <c r="HRO43" s="15"/>
      <c r="HRP43" s="14"/>
      <c r="HRQ43" s="15"/>
      <c r="HRR43" s="15"/>
      <c r="HRS43" s="15"/>
      <c r="HRT43" s="14"/>
      <c r="HRU43" s="15"/>
      <c r="HRV43" s="15"/>
      <c r="HRW43" s="15"/>
      <c r="HRX43" s="14"/>
      <c r="HRY43" s="15"/>
      <c r="HRZ43" s="15"/>
      <c r="HSA43" s="15"/>
      <c r="HSB43" s="14"/>
      <c r="HSC43" s="10"/>
      <c r="HSD43" s="15"/>
      <c r="HSE43" s="15"/>
      <c r="HSF43" s="14"/>
      <c r="HSG43" s="15"/>
      <c r="HSH43" s="15"/>
      <c r="HSI43" s="15"/>
      <c r="HSJ43" s="14"/>
      <c r="HSK43" s="15"/>
      <c r="HSL43" s="15"/>
      <c r="HSM43" s="15"/>
      <c r="HSN43" s="14"/>
      <c r="HSO43" s="15"/>
      <c r="HSP43" s="15"/>
      <c r="HSQ43" s="15"/>
      <c r="HSR43" s="14"/>
      <c r="HSS43" s="10"/>
      <c r="HST43" s="15"/>
      <c r="HSU43" s="15"/>
      <c r="HSV43" s="14"/>
      <c r="HSW43" s="15"/>
      <c r="HSX43" s="15"/>
      <c r="HSY43" s="15"/>
      <c r="HSZ43" s="14"/>
      <c r="HTA43" s="15"/>
      <c r="HTB43" s="15"/>
      <c r="HTC43" s="15"/>
      <c r="HTD43" s="14"/>
      <c r="HTE43" s="15"/>
      <c r="HTF43" s="15"/>
      <c r="HTG43" s="15"/>
      <c r="HTH43" s="14"/>
      <c r="HTI43" s="10"/>
      <c r="HTJ43" s="15"/>
      <c r="HTK43" s="15"/>
      <c r="HTL43" s="14"/>
      <c r="HTM43" s="15"/>
      <c r="HTN43" s="15"/>
      <c r="HTO43" s="15"/>
      <c r="HTP43" s="14"/>
      <c r="HTQ43" s="15"/>
      <c r="HTR43" s="15"/>
      <c r="HTS43" s="15"/>
      <c r="HTT43" s="14"/>
      <c r="HTU43" s="15"/>
      <c r="HTV43" s="15"/>
      <c r="HTW43" s="15"/>
      <c r="HTX43" s="14"/>
      <c r="HTY43" s="10"/>
      <c r="HTZ43" s="15"/>
      <c r="HUA43" s="15"/>
      <c r="HUB43" s="14"/>
      <c r="HUC43" s="15"/>
      <c r="HUD43" s="15"/>
      <c r="HUE43" s="15"/>
      <c r="HUF43" s="14"/>
      <c r="HUG43" s="15"/>
      <c r="HUH43" s="15"/>
      <c r="HUI43" s="15"/>
      <c r="HUJ43" s="14"/>
      <c r="HUK43" s="15"/>
      <c r="HUL43" s="15"/>
      <c r="HUM43" s="15"/>
      <c r="HUN43" s="14"/>
      <c r="HUO43" s="10"/>
      <c r="HUP43" s="15"/>
      <c r="HUQ43" s="15"/>
      <c r="HUR43" s="14"/>
      <c r="HUS43" s="15"/>
      <c r="HUT43" s="15"/>
      <c r="HUU43" s="15"/>
      <c r="HUV43" s="14"/>
      <c r="HUW43" s="15"/>
      <c r="HUX43" s="15"/>
      <c r="HUY43" s="15"/>
      <c r="HUZ43" s="14"/>
      <c r="HVA43" s="15"/>
      <c r="HVB43" s="15"/>
      <c r="HVC43" s="15"/>
      <c r="HVD43" s="14"/>
      <c r="HVE43" s="10"/>
      <c r="HVF43" s="15"/>
      <c r="HVG43" s="15"/>
      <c r="HVH43" s="14"/>
      <c r="HVI43" s="15"/>
      <c r="HVJ43" s="15"/>
      <c r="HVK43" s="15"/>
      <c r="HVL43" s="14"/>
      <c r="HVM43" s="15"/>
      <c r="HVN43" s="15"/>
      <c r="HVO43" s="15"/>
      <c r="HVP43" s="14"/>
      <c r="HVQ43" s="15"/>
      <c r="HVR43" s="15"/>
      <c r="HVS43" s="15"/>
      <c r="HVT43" s="14"/>
      <c r="HVU43" s="10"/>
      <c r="HVV43" s="15"/>
      <c r="HVW43" s="15"/>
      <c r="HVX43" s="14"/>
      <c r="HVY43" s="15"/>
      <c r="HVZ43" s="15"/>
      <c r="HWA43" s="15"/>
      <c r="HWB43" s="14"/>
      <c r="HWC43" s="15"/>
      <c r="HWD43" s="15"/>
      <c r="HWE43" s="15"/>
      <c r="HWF43" s="14"/>
      <c r="HWG43" s="15"/>
      <c r="HWH43" s="15"/>
      <c r="HWI43" s="15"/>
      <c r="HWJ43" s="14"/>
      <c r="HWK43" s="10"/>
      <c r="HWL43" s="15"/>
      <c r="HWM43" s="15"/>
      <c r="HWN43" s="14"/>
      <c r="HWO43" s="15"/>
      <c r="HWP43" s="15"/>
      <c r="HWQ43" s="15"/>
      <c r="HWR43" s="14"/>
      <c r="HWS43" s="15"/>
      <c r="HWT43" s="15"/>
      <c r="HWU43" s="15"/>
      <c r="HWV43" s="14"/>
      <c r="HWW43" s="15"/>
      <c r="HWX43" s="15"/>
      <c r="HWY43" s="15"/>
      <c r="HWZ43" s="14"/>
      <c r="HXA43" s="10"/>
      <c r="HXB43" s="15"/>
      <c r="HXC43" s="15"/>
      <c r="HXD43" s="14"/>
      <c r="HXE43" s="15"/>
      <c r="HXF43" s="15"/>
      <c r="HXG43" s="15"/>
      <c r="HXH43" s="14"/>
      <c r="HXI43" s="15"/>
      <c r="HXJ43" s="15"/>
      <c r="HXK43" s="15"/>
      <c r="HXL43" s="14"/>
      <c r="HXM43" s="15"/>
      <c r="HXN43" s="15"/>
      <c r="HXO43" s="15"/>
      <c r="HXP43" s="14"/>
      <c r="HXQ43" s="10"/>
      <c r="HXR43" s="15"/>
      <c r="HXS43" s="15"/>
      <c r="HXT43" s="14"/>
      <c r="HXU43" s="15"/>
      <c r="HXV43" s="15"/>
      <c r="HXW43" s="15"/>
      <c r="HXX43" s="14"/>
      <c r="HXY43" s="15"/>
      <c r="HXZ43" s="15"/>
      <c r="HYA43" s="15"/>
      <c r="HYB43" s="14"/>
      <c r="HYC43" s="15"/>
      <c r="HYD43" s="15"/>
      <c r="HYE43" s="15"/>
      <c r="HYF43" s="14"/>
      <c r="HYG43" s="10"/>
      <c r="HYH43" s="15"/>
      <c r="HYI43" s="15"/>
      <c r="HYJ43" s="14"/>
      <c r="HYK43" s="15"/>
      <c r="HYL43" s="15"/>
      <c r="HYM43" s="15"/>
      <c r="HYN43" s="14"/>
      <c r="HYO43" s="15"/>
      <c r="HYP43" s="15"/>
      <c r="HYQ43" s="15"/>
      <c r="HYR43" s="14"/>
      <c r="HYS43" s="15"/>
      <c r="HYT43" s="15"/>
      <c r="HYU43" s="15"/>
      <c r="HYV43" s="14"/>
      <c r="HYW43" s="10"/>
      <c r="HYX43" s="15"/>
      <c r="HYY43" s="15"/>
      <c r="HYZ43" s="14"/>
      <c r="HZA43" s="15"/>
      <c r="HZB43" s="15"/>
      <c r="HZC43" s="15"/>
      <c r="HZD43" s="14"/>
      <c r="HZE43" s="15"/>
      <c r="HZF43" s="15"/>
      <c r="HZG43" s="15"/>
      <c r="HZH43" s="14"/>
      <c r="HZI43" s="15"/>
      <c r="HZJ43" s="15"/>
      <c r="HZK43" s="15"/>
      <c r="HZL43" s="14"/>
      <c r="HZM43" s="10"/>
      <c r="HZN43" s="15"/>
      <c r="HZO43" s="15"/>
      <c r="HZP43" s="14"/>
      <c r="HZQ43" s="15"/>
      <c r="HZR43" s="15"/>
      <c r="HZS43" s="15"/>
      <c r="HZT43" s="14"/>
      <c r="HZU43" s="15"/>
      <c r="HZV43" s="15"/>
      <c r="HZW43" s="15"/>
      <c r="HZX43" s="14"/>
      <c r="HZY43" s="15"/>
      <c r="HZZ43" s="15"/>
      <c r="IAA43" s="15"/>
      <c r="IAB43" s="14"/>
      <c r="IAC43" s="10"/>
      <c r="IAD43" s="15"/>
      <c r="IAE43" s="15"/>
      <c r="IAF43" s="14"/>
      <c r="IAG43" s="15"/>
      <c r="IAH43" s="15"/>
      <c r="IAI43" s="15"/>
      <c r="IAJ43" s="14"/>
      <c r="IAK43" s="15"/>
      <c r="IAL43" s="15"/>
      <c r="IAM43" s="15"/>
      <c r="IAN43" s="14"/>
      <c r="IAO43" s="15"/>
      <c r="IAP43" s="15"/>
      <c r="IAQ43" s="15"/>
      <c r="IAR43" s="14"/>
      <c r="IAS43" s="10"/>
      <c r="IAT43" s="15"/>
      <c r="IAU43" s="15"/>
      <c r="IAV43" s="14"/>
      <c r="IAW43" s="15"/>
      <c r="IAX43" s="15"/>
      <c r="IAY43" s="15"/>
      <c r="IAZ43" s="14"/>
      <c r="IBA43" s="15"/>
      <c r="IBB43" s="15"/>
      <c r="IBC43" s="15"/>
      <c r="IBD43" s="14"/>
      <c r="IBE43" s="15"/>
      <c r="IBF43" s="15"/>
      <c r="IBG43" s="15"/>
      <c r="IBH43" s="14"/>
      <c r="IBI43" s="10"/>
      <c r="IBJ43" s="15"/>
      <c r="IBK43" s="15"/>
      <c r="IBL43" s="14"/>
      <c r="IBM43" s="15"/>
      <c r="IBN43" s="15"/>
      <c r="IBO43" s="15"/>
      <c r="IBP43" s="14"/>
      <c r="IBQ43" s="15"/>
      <c r="IBR43" s="15"/>
      <c r="IBS43" s="15"/>
      <c r="IBT43" s="14"/>
      <c r="IBU43" s="15"/>
      <c r="IBV43" s="15"/>
      <c r="IBW43" s="15"/>
      <c r="IBX43" s="14"/>
      <c r="IBY43" s="10"/>
      <c r="IBZ43" s="15"/>
      <c r="ICA43" s="15"/>
      <c r="ICB43" s="14"/>
      <c r="ICC43" s="15"/>
      <c r="ICD43" s="15"/>
      <c r="ICE43" s="15"/>
      <c r="ICF43" s="14"/>
      <c r="ICG43" s="15"/>
      <c r="ICH43" s="15"/>
      <c r="ICI43" s="15"/>
      <c r="ICJ43" s="14"/>
      <c r="ICK43" s="15"/>
      <c r="ICL43" s="15"/>
      <c r="ICM43" s="15"/>
      <c r="ICN43" s="14"/>
      <c r="ICO43" s="10"/>
      <c r="ICP43" s="15"/>
      <c r="ICQ43" s="15"/>
      <c r="ICR43" s="14"/>
      <c r="ICS43" s="15"/>
      <c r="ICT43" s="15"/>
      <c r="ICU43" s="15"/>
      <c r="ICV43" s="14"/>
      <c r="ICW43" s="15"/>
      <c r="ICX43" s="15"/>
      <c r="ICY43" s="15"/>
      <c r="ICZ43" s="14"/>
      <c r="IDA43" s="15"/>
      <c r="IDB43" s="15"/>
      <c r="IDC43" s="15"/>
      <c r="IDD43" s="14"/>
      <c r="IDE43" s="10"/>
      <c r="IDF43" s="15"/>
      <c r="IDG43" s="15"/>
      <c r="IDH43" s="14"/>
      <c r="IDI43" s="15"/>
      <c r="IDJ43" s="15"/>
      <c r="IDK43" s="15"/>
      <c r="IDL43" s="14"/>
      <c r="IDM43" s="15"/>
      <c r="IDN43" s="15"/>
      <c r="IDO43" s="15"/>
      <c r="IDP43" s="14"/>
      <c r="IDQ43" s="15"/>
      <c r="IDR43" s="15"/>
      <c r="IDS43" s="15"/>
      <c r="IDT43" s="14"/>
      <c r="IDU43" s="10"/>
      <c r="IDV43" s="15"/>
      <c r="IDW43" s="15"/>
      <c r="IDX43" s="14"/>
      <c r="IDY43" s="15"/>
      <c r="IDZ43" s="15"/>
      <c r="IEA43" s="15"/>
      <c r="IEB43" s="14"/>
      <c r="IEC43" s="15"/>
      <c r="IED43" s="15"/>
      <c r="IEE43" s="15"/>
      <c r="IEF43" s="14"/>
      <c r="IEG43" s="15"/>
      <c r="IEH43" s="15"/>
      <c r="IEI43" s="15"/>
      <c r="IEJ43" s="14"/>
      <c r="IEK43" s="10"/>
      <c r="IEL43" s="15"/>
      <c r="IEM43" s="15"/>
      <c r="IEN43" s="14"/>
      <c r="IEO43" s="15"/>
      <c r="IEP43" s="15"/>
      <c r="IEQ43" s="15"/>
      <c r="IER43" s="14"/>
      <c r="IES43" s="15"/>
      <c r="IET43" s="15"/>
      <c r="IEU43" s="15"/>
      <c r="IEV43" s="14"/>
      <c r="IEW43" s="15"/>
      <c r="IEX43" s="15"/>
      <c r="IEY43" s="15"/>
      <c r="IEZ43" s="14"/>
      <c r="IFA43" s="10"/>
      <c r="IFB43" s="15"/>
      <c r="IFC43" s="15"/>
      <c r="IFD43" s="14"/>
      <c r="IFE43" s="15"/>
      <c r="IFF43" s="15"/>
      <c r="IFG43" s="15"/>
      <c r="IFH43" s="14"/>
      <c r="IFI43" s="15"/>
      <c r="IFJ43" s="15"/>
      <c r="IFK43" s="15"/>
      <c r="IFL43" s="14"/>
      <c r="IFM43" s="15"/>
      <c r="IFN43" s="15"/>
      <c r="IFO43" s="15"/>
      <c r="IFP43" s="14"/>
      <c r="IFQ43" s="10"/>
      <c r="IFR43" s="15"/>
      <c r="IFS43" s="15"/>
      <c r="IFT43" s="14"/>
      <c r="IFU43" s="15"/>
      <c r="IFV43" s="15"/>
      <c r="IFW43" s="15"/>
      <c r="IFX43" s="14"/>
      <c r="IFY43" s="15"/>
      <c r="IFZ43" s="15"/>
      <c r="IGA43" s="15"/>
      <c r="IGB43" s="14"/>
      <c r="IGC43" s="15"/>
      <c r="IGD43" s="15"/>
      <c r="IGE43" s="15"/>
      <c r="IGF43" s="14"/>
      <c r="IGG43" s="10"/>
      <c r="IGH43" s="15"/>
      <c r="IGI43" s="15"/>
      <c r="IGJ43" s="14"/>
      <c r="IGK43" s="15"/>
      <c r="IGL43" s="15"/>
      <c r="IGM43" s="15"/>
      <c r="IGN43" s="14"/>
      <c r="IGO43" s="15"/>
      <c r="IGP43" s="15"/>
      <c r="IGQ43" s="15"/>
      <c r="IGR43" s="14"/>
      <c r="IGS43" s="15"/>
      <c r="IGT43" s="15"/>
      <c r="IGU43" s="15"/>
      <c r="IGV43" s="14"/>
      <c r="IGW43" s="10"/>
      <c r="IGX43" s="15"/>
      <c r="IGY43" s="15"/>
      <c r="IGZ43" s="14"/>
      <c r="IHA43" s="15"/>
      <c r="IHB43" s="15"/>
      <c r="IHC43" s="15"/>
      <c r="IHD43" s="14"/>
      <c r="IHE43" s="15"/>
      <c r="IHF43" s="15"/>
      <c r="IHG43" s="15"/>
      <c r="IHH43" s="14"/>
      <c r="IHI43" s="15"/>
      <c r="IHJ43" s="15"/>
      <c r="IHK43" s="15"/>
      <c r="IHL43" s="14"/>
      <c r="IHM43" s="10"/>
      <c r="IHN43" s="15"/>
      <c r="IHO43" s="15"/>
      <c r="IHP43" s="14"/>
      <c r="IHQ43" s="15"/>
      <c r="IHR43" s="15"/>
      <c r="IHS43" s="15"/>
      <c r="IHT43" s="14"/>
      <c r="IHU43" s="15"/>
      <c r="IHV43" s="15"/>
      <c r="IHW43" s="15"/>
      <c r="IHX43" s="14"/>
      <c r="IHY43" s="15"/>
      <c r="IHZ43" s="15"/>
      <c r="IIA43" s="15"/>
      <c r="IIB43" s="14"/>
      <c r="IIC43" s="10"/>
      <c r="IID43" s="15"/>
      <c r="IIE43" s="15"/>
      <c r="IIF43" s="14"/>
      <c r="IIG43" s="15"/>
      <c r="IIH43" s="15"/>
      <c r="III43" s="15"/>
      <c r="IIJ43" s="14"/>
      <c r="IIK43" s="15"/>
      <c r="IIL43" s="15"/>
      <c r="IIM43" s="15"/>
      <c r="IIN43" s="14"/>
      <c r="IIO43" s="15"/>
      <c r="IIP43" s="15"/>
      <c r="IIQ43" s="15"/>
      <c r="IIR43" s="14"/>
      <c r="IIS43" s="10"/>
      <c r="IIT43" s="15"/>
      <c r="IIU43" s="15"/>
      <c r="IIV43" s="14"/>
      <c r="IIW43" s="15"/>
      <c r="IIX43" s="15"/>
      <c r="IIY43" s="15"/>
      <c r="IIZ43" s="14"/>
      <c r="IJA43" s="15"/>
      <c r="IJB43" s="15"/>
      <c r="IJC43" s="15"/>
      <c r="IJD43" s="14"/>
      <c r="IJE43" s="15"/>
      <c r="IJF43" s="15"/>
      <c r="IJG43" s="15"/>
      <c r="IJH43" s="14"/>
      <c r="IJI43" s="10"/>
      <c r="IJJ43" s="15"/>
      <c r="IJK43" s="15"/>
      <c r="IJL43" s="14"/>
      <c r="IJM43" s="15"/>
      <c r="IJN43" s="15"/>
      <c r="IJO43" s="15"/>
      <c r="IJP43" s="14"/>
      <c r="IJQ43" s="15"/>
      <c r="IJR43" s="15"/>
      <c r="IJS43" s="15"/>
      <c r="IJT43" s="14"/>
      <c r="IJU43" s="15"/>
      <c r="IJV43" s="15"/>
      <c r="IJW43" s="15"/>
      <c r="IJX43" s="14"/>
      <c r="IJY43" s="10"/>
      <c r="IJZ43" s="15"/>
      <c r="IKA43" s="15"/>
      <c r="IKB43" s="14"/>
      <c r="IKC43" s="15"/>
      <c r="IKD43" s="15"/>
      <c r="IKE43" s="15"/>
      <c r="IKF43" s="14"/>
      <c r="IKG43" s="15"/>
      <c r="IKH43" s="15"/>
      <c r="IKI43" s="15"/>
      <c r="IKJ43" s="14"/>
      <c r="IKK43" s="15"/>
      <c r="IKL43" s="15"/>
      <c r="IKM43" s="15"/>
      <c r="IKN43" s="14"/>
      <c r="IKO43" s="10"/>
      <c r="IKP43" s="15"/>
      <c r="IKQ43" s="15"/>
      <c r="IKR43" s="14"/>
      <c r="IKS43" s="15"/>
      <c r="IKT43" s="15"/>
      <c r="IKU43" s="15"/>
      <c r="IKV43" s="14"/>
      <c r="IKW43" s="15"/>
      <c r="IKX43" s="15"/>
      <c r="IKY43" s="15"/>
      <c r="IKZ43" s="14"/>
      <c r="ILA43" s="15"/>
      <c r="ILB43" s="15"/>
      <c r="ILC43" s="15"/>
      <c r="ILD43" s="14"/>
      <c r="ILE43" s="10"/>
      <c r="ILF43" s="15"/>
      <c r="ILG43" s="15"/>
      <c r="ILH43" s="14"/>
      <c r="ILI43" s="15"/>
      <c r="ILJ43" s="15"/>
      <c r="ILK43" s="15"/>
      <c r="ILL43" s="14"/>
      <c r="ILM43" s="15"/>
      <c r="ILN43" s="15"/>
      <c r="ILO43" s="15"/>
      <c r="ILP43" s="14"/>
      <c r="ILQ43" s="15"/>
      <c r="ILR43" s="15"/>
      <c r="ILS43" s="15"/>
      <c r="ILT43" s="14"/>
      <c r="ILU43" s="10"/>
      <c r="ILV43" s="15"/>
      <c r="ILW43" s="15"/>
      <c r="ILX43" s="14"/>
      <c r="ILY43" s="15"/>
      <c r="ILZ43" s="15"/>
      <c r="IMA43" s="15"/>
      <c r="IMB43" s="14"/>
      <c r="IMC43" s="15"/>
      <c r="IMD43" s="15"/>
      <c r="IME43" s="15"/>
      <c r="IMF43" s="14"/>
      <c r="IMG43" s="15"/>
      <c r="IMH43" s="15"/>
      <c r="IMI43" s="15"/>
      <c r="IMJ43" s="14"/>
      <c r="IMK43" s="10"/>
      <c r="IML43" s="15"/>
      <c r="IMM43" s="15"/>
      <c r="IMN43" s="14"/>
      <c r="IMO43" s="15"/>
      <c r="IMP43" s="15"/>
      <c r="IMQ43" s="15"/>
      <c r="IMR43" s="14"/>
      <c r="IMS43" s="15"/>
      <c r="IMT43" s="15"/>
      <c r="IMU43" s="15"/>
      <c r="IMV43" s="14"/>
      <c r="IMW43" s="15"/>
      <c r="IMX43" s="15"/>
      <c r="IMY43" s="15"/>
      <c r="IMZ43" s="14"/>
      <c r="INA43" s="10"/>
      <c r="INB43" s="15"/>
      <c r="INC43" s="15"/>
      <c r="IND43" s="14"/>
      <c r="INE43" s="15"/>
      <c r="INF43" s="15"/>
      <c r="ING43" s="15"/>
      <c r="INH43" s="14"/>
      <c r="INI43" s="15"/>
      <c r="INJ43" s="15"/>
      <c r="INK43" s="15"/>
      <c r="INL43" s="14"/>
      <c r="INM43" s="15"/>
      <c r="INN43" s="15"/>
      <c r="INO43" s="15"/>
      <c r="INP43" s="14"/>
      <c r="INQ43" s="10"/>
      <c r="INR43" s="15"/>
      <c r="INS43" s="15"/>
      <c r="INT43" s="14"/>
      <c r="INU43" s="15"/>
      <c r="INV43" s="15"/>
      <c r="INW43" s="15"/>
      <c r="INX43" s="14"/>
      <c r="INY43" s="15"/>
      <c r="INZ43" s="15"/>
      <c r="IOA43" s="15"/>
      <c r="IOB43" s="14"/>
      <c r="IOC43" s="15"/>
      <c r="IOD43" s="15"/>
      <c r="IOE43" s="15"/>
      <c r="IOF43" s="14"/>
      <c r="IOG43" s="10"/>
      <c r="IOH43" s="15"/>
      <c r="IOI43" s="15"/>
      <c r="IOJ43" s="14"/>
      <c r="IOK43" s="15"/>
      <c r="IOL43" s="15"/>
      <c r="IOM43" s="15"/>
      <c r="ION43" s="14"/>
      <c r="IOO43" s="15"/>
      <c r="IOP43" s="15"/>
      <c r="IOQ43" s="15"/>
      <c r="IOR43" s="14"/>
      <c r="IOS43" s="15"/>
      <c r="IOT43" s="15"/>
      <c r="IOU43" s="15"/>
      <c r="IOV43" s="14"/>
      <c r="IOW43" s="10"/>
      <c r="IOX43" s="15"/>
      <c r="IOY43" s="15"/>
      <c r="IOZ43" s="14"/>
      <c r="IPA43" s="15"/>
      <c r="IPB43" s="15"/>
      <c r="IPC43" s="15"/>
      <c r="IPD43" s="14"/>
      <c r="IPE43" s="15"/>
      <c r="IPF43" s="15"/>
      <c r="IPG43" s="15"/>
      <c r="IPH43" s="14"/>
      <c r="IPI43" s="15"/>
      <c r="IPJ43" s="15"/>
      <c r="IPK43" s="15"/>
      <c r="IPL43" s="14"/>
      <c r="IPM43" s="10"/>
      <c r="IPN43" s="15"/>
      <c r="IPO43" s="15"/>
      <c r="IPP43" s="14"/>
      <c r="IPQ43" s="15"/>
      <c r="IPR43" s="15"/>
      <c r="IPS43" s="15"/>
      <c r="IPT43" s="14"/>
      <c r="IPU43" s="15"/>
      <c r="IPV43" s="15"/>
      <c r="IPW43" s="15"/>
      <c r="IPX43" s="14"/>
      <c r="IPY43" s="15"/>
      <c r="IPZ43" s="15"/>
      <c r="IQA43" s="15"/>
      <c r="IQB43" s="14"/>
      <c r="IQC43" s="10"/>
      <c r="IQD43" s="15"/>
      <c r="IQE43" s="15"/>
      <c r="IQF43" s="14"/>
      <c r="IQG43" s="15"/>
      <c r="IQH43" s="15"/>
      <c r="IQI43" s="15"/>
      <c r="IQJ43" s="14"/>
      <c r="IQK43" s="15"/>
      <c r="IQL43" s="15"/>
      <c r="IQM43" s="15"/>
      <c r="IQN43" s="14"/>
      <c r="IQO43" s="15"/>
      <c r="IQP43" s="15"/>
      <c r="IQQ43" s="15"/>
      <c r="IQR43" s="14"/>
      <c r="IQS43" s="10"/>
      <c r="IQT43" s="15"/>
      <c r="IQU43" s="15"/>
      <c r="IQV43" s="14"/>
      <c r="IQW43" s="15"/>
      <c r="IQX43" s="15"/>
      <c r="IQY43" s="15"/>
      <c r="IQZ43" s="14"/>
      <c r="IRA43" s="15"/>
      <c r="IRB43" s="15"/>
      <c r="IRC43" s="15"/>
      <c r="IRD43" s="14"/>
      <c r="IRE43" s="15"/>
      <c r="IRF43" s="15"/>
      <c r="IRG43" s="15"/>
      <c r="IRH43" s="14"/>
      <c r="IRI43" s="10"/>
      <c r="IRJ43" s="15"/>
      <c r="IRK43" s="15"/>
      <c r="IRL43" s="14"/>
      <c r="IRM43" s="15"/>
      <c r="IRN43" s="15"/>
      <c r="IRO43" s="15"/>
      <c r="IRP43" s="14"/>
      <c r="IRQ43" s="15"/>
      <c r="IRR43" s="15"/>
      <c r="IRS43" s="15"/>
      <c r="IRT43" s="14"/>
      <c r="IRU43" s="15"/>
      <c r="IRV43" s="15"/>
      <c r="IRW43" s="15"/>
      <c r="IRX43" s="14"/>
      <c r="IRY43" s="10"/>
      <c r="IRZ43" s="15"/>
      <c r="ISA43" s="15"/>
      <c r="ISB43" s="14"/>
      <c r="ISC43" s="15"/>
      <c r="ISD43" s="15"/>
      <c r="ISE43" s="15"/>
      <c r="ISF43" s="14"/>
      <c r="ISG43" s="15"/>
      <c r="ISH43" s="15"/>
      <c r="ISI43" s="15"/>
      <c r="ISJ43" s="14"/>
      <c r="ISK43" s="15"/>
      <c r="ISL43" s="15"/>
      <c r="ISM43" s="15"/>
      <c r="ISN43" s="14"/>
      <c r="ISO43" s="10"/>
      <c r="ISP43" s="15"/>
      <c r="ISQ43" s="15"/>
      <c r="ISR43" s="14"/>
      <c r="ISS43" s="15"/>
      <c r="IST43" s="15"/>
      <c r="ISU43" s="15"/>
      <c r="ISV43" s="14"/>
      <c r="ISW43" s="15"/>
      <c r="ISX43" s="15"/>
      <c r="ISY43" s="15"/>
      <c r="ISZ43" s="14"/>
      <c r="ITA43" s="15"/>
      <c r="ITB43" s="15"/>
      <c r="ITC43" s="15"/>
      <c r="ITD43" s="14"/>
      <c r="ITE43" s="10"/>
      <c r="ITF43" s="15"/>
      <c r="ITG43" s="15"/>
      <c r="ITH43" s="14"/>
      <c r="ITI43" s="15"/>
      <c r="ITJ43" s="15"/>
      <c r="ITK43" s="15"/>
      <c r="ITL43" s="14"/>
      <c r="ITM43" s="15"/>
      <c r="ITN43" s="15"/>
      <c r="ITO43" s="15"/>
      <c r="ITP43" s="14"/>
      <c r="ITQ43" s="15"/>
      <c r="ITR43" s="15"/>
      <c r="ITS43" s="15"/>
      <c r="ITT43" s="14"/>
      <c r="ITU43" s="10"/>
      <c r="ITV43" s="15"/>
      <c r="ITW43" s="15"/>
      <c r="ITX43" s="14"/>
      <c r="ITY43" s="15"/>
      <c r="ITZ43" s="15"/>
      <c r="IUA43" s="15"/>
      <c r="IUB43" s="14"/>
      <c r="IUC43" s="15"/>
      <c r="IUD43" s="15"/>
      <c r="IUE43" s="15"/>
      <c r="IUF43" s="14"/>
      <c r="IUG43" s="15"/>
      <c r="IUH43" s="15"/>
      <c r="IUI43" s="15"/>
      <c r="IUJ43" s="14"/>
      <c r="IUK43" s="10"/>
      <c r="IUL43" s="15"/>
      <c r="IUM43" s="15"/>
      <c r="IUN43" s="14"/>
      <c r="IUO43" s="15"/>
      <c r="IUP43" s="15"/>
      <c r="IUQ43" s="15"/>
      <c r="IUR43" s="14"/>
      <c r="IUS43" s="15"/>
      <c r="IUT43" s="15"/>
      <c r="IUU43" s="15"/>
      <c r="IUV43" s="14"/>
      <c r="IUW43" s="15"/>
      <c r="IUX43" s="15"/>
      <c r="IUY43" s="15"/>
      <c r="IUZ43" s="14"/>
      <c r="IVA43" s="10"/>
      <c r="IVB43" s="15"/>
      <c r="IVC43" s="15"/>
      <c r="IVD43" s="14"/>
      <c r="IVE43" s="15"/>
      <c r="IVF43" s="15"/>
      <c r="IVG43" s="15"/>
      <c r="IVH43" s="14"/>
      <c r="IVI43" s="15"/>
      <c r="IVJ43" s="15"/>
      <c r="IVK43" s="15"/>
      <c r="IVL43" s="14"/>
      <c r="IVM43" s="15"/>
      <c r="IVN43" s="15"/>
      <c r="IVO43" s="15"/>
      <c r="IVP43" s="14"/>
      <c r="IVQ43" s="10"/>
      <c r="IVR43" s="15"/>
      <c r="IVS43" s="15"/>
      <c r="IVT43" s="14"/>
      <c r="IVU43" s="15"/>
      <c r="IVV43" s="15"/>
      <c r="IVW43" s="15"/>
      <c r="IVX43" s="14"/>
      <c r="IVY43" s="15"/>
      <c r="IVZ43" s="15"/>
      <c r="IWA43" s="15"/>
      <c r="IWB43" s="14"/>
      <c r="IWC43" s="15"/>
      <c r="IWD43" s="15"/>
      <c r="IWE43" s="15"/>
      <c r="IWF43" s="14"/>
      <c r="IWG43" s="10"/>
      <c r="IWH43" s="15"/>
      <c r="IWI43" s="15"/>
      <c r="IWJ43" s="14"/>
      <c r="IWK43" s="15"/>
      <c r="IWL43" s="15"/>
      <c r="IWM43" s="15"/>
      <c r="IWN43" s="14"/>
      <c r="IWO43" s="15"/>
      <c r="IWP43" s="15"/>
      <c r="IWQ43" s="15"/>
      <c r="IWR43" s="14"/>
      <c r="IWS43" s="15"/>
      <c r="IWT43" s="15"/>
      <c r="IWU43" s="15"/>
      <c r="IWV43" s="14"/>
      <c r="IWW43" s="10"/>
      <c r="IWX43" s="15"/>
      <c r="IWY43" s="15"/>
      <c r="IWZ43" s="14"/>
      <c r="IXA43" s="15"/>
      <c r="IXB43" s="15"/>
      <c r="IXC43" s="15"/>
      <c r="IXD43" s="14"/>
      <c r="IXE43" s="15"/>
      <c r="IXF43" s="15"/>
      <c r="IXG43" s="15"/>
      <c r="IXH43" s="14"/>
      <c r="IXI43" s="15"/>
      <c r="IXJ43" s="15"/>
      <c r="IXK43" s="15"/>
      <c r="IXL43" s="14"/>
      <c r="IXM43" s="10"/>
      <c r="IXN43" s="15"/>
      <c r="IXO43" s="15"/>
      <c r="IXP43" s="14"/>
      <c r="IXQ43" s="15"/>
      <c r="IXR43" s="15"/>
      <c r="IXS43" s="15"/>
      <c r="IXT43" s="14"/>
      <c r="IXU43" s="15"/>
      <c r="IXV43" s="15"/>
      <c r="IXW43" s="15"/>
      <c r="IXX43" s="14"/>
      <c r="IXY43" s="15"/>
      <c r="IXZ43" s="15"/>
      <c r="IYA43" s="15"/>
      <c r="IYB43" s="14"/>
      <c r="IYC43" s="10"/>
      <c r="IYD43" s="15"/>
      <c r="IYE43" s="15"/>
      <c r="IYF43" s="14"/>
      <c r="IYG43" s="15"/>
      <c r="IYH43" s="15"/>
      <c r="IYI43" s="15"/>
      <c r="IYJ43" s="14"/>
      <c r="IYK43" s="15"/>
      <c r="IYL43" s="15"/>
      <c r="IYM43" s="15"/>
      <c r="IYN43" s="14"/>
      <c r="IYO43" s="15"/>
      <c r="IYP43" s="15"/>
      <c r="IYQ43" s="15"/>
      <c r="IYR43" s="14"/>
      <c r="IYS43" s="10"/>
      <c r="IYT43" s="15"/>
      <c r="IYU43" s="15"/>
      <c r="IYV43" s="14"/>
      <c r="IYW43" s="15"/>
      <c r="IYX43" s="15"/>
      <c r="IYY43" s="15"/>
      <c r="IYZ43" s="14"/>
      <c r="IZA43" s="15"/>
      <c r="IZB43" s="15"/>
      <c r="IZC43" s="15"/>
      <c r="IZD43" s="14"/>
      <c r="IZE43" s="15"/>
      <c r="IZF43" s="15"/>
      <c r="IZG43" s="15"/>
      <c r="IZH43" s="14"/>
      <c r="IZI43" s="10"/>
      <c r="IZJ43" s="15"/>
      <c r="IZK43" s="15"/>
      <c r="IZL43" s="14"/>
      <c r="IZM43" s="15"/>
      <c r="IZN43" s="15"/>
      <c r="IZO43" s="15"/>
      <c r="IZP43" s="14"/>
      <c r="IZQ43" s="15"/>
      <c r="IZR43" s="15"/>
      <c r="IZS43" s="15"/>
      <c r="IZT43" s="14"/>
      <c r="IZU43" s="15"/>
      <c r="IZV43" s="15"/>
      <c r="IZW43" s="15"/>
      <c r="IZX43" s="14"/>
      <c r="IZY43" s="10"/>
      <c r="IZZ43" s="15"/>
      <c r="JAA43" s="15"/>
      <c r="JAB43" s="14"/>
      <c r="JAC43" s="15"/>
      <c r="JAD43" s="15"/>
      <c r="JAE43" s="15"/>
      <c r="JAF43" s="14"/>
      <c r="JAG43" s="15"/>
      <c r="JAH43" s="15"/>
      <c r="JAI43" s="15"/>
      <c r="JAJ43" s="14"/>
      <c r="JAK43" s="15"/>
      <c r="JAL43" s="15"/>
      <c r="JAM43" s="15"/>
      <c r="JAN43" s="14"/>
      <c r="JAO43" s="10"/>
      <c r="JAP43" s="15"/>
      <c r="JAQ43" s="15"/>
      <c r="JAR43" s="14"/>
      <c r="JAS43" s="15"/>
      <c r="JAT43" s="15"/>
      <c r="JAU43" s="15"/>
      <c r="JAV43" s="14"/>
      <c r="JAW43" s="15"/>
      <c r="JAX43" s="15"/>
      <c r="JAY43" s="15"/>
      <c r="JAZ43" s="14"/>
      <c r="JBA43" s="15"/>
      <c r="JBB43" s="15"/>
      <c r="JBC43" s="15"/>
      <c r="JBD43" s="14"/>
      <c r="JBE43" s="10"/>
      <c r="JBF43" s="15"/>
      <c r="JBG43" s="15"/>
      <c r="JBH43" s="14"/>
      <c r="JBI43" s="15"/>
      <c r="JBJ43" s="15"/>
      <c r="JBK43" s="15"/>
      <c r="JBL43" s="14"/>
      <c r="JBM43" s="15"/>
      <c r="JBN43" s="15"/>
      <c r="JBO43" s="15"/>
      <c r="JBP43" s="14"/>
      <c r="JBQ43" s="15"/>
      <c r="JBR43" s="15"/>
      <c r="JBS43" s="15"/>
      <c r="JBT43" s="14"/>
      <c r="JBU43" s="10"/>
      <c r="JBV43" s="15"/>
      <c r="JBW43" s="15"/>
      <c r="JBX43" s="14"/>
      <c r="JBY43" s="15"/>
      <c r="JBZ43" s="15"/>
      <c r="JCA43" s="15"/>
      <c r="JCB43" s="14"/>
      <c r="JCC43" s="15"/>
      <c r="JCD43" s="15"/>
      <c r="JCE43" s="15"/>
      <c r="JCF43" s="14"/>
      <c r="JCG43" s="15"/>
      <c r="JCH43" s="15"/>
      <c r="JCI43" s="15"/>
      <c r="JCJ43" s="14"/>
      <c r="JCK43" s="10"/>
      <c r="JCL43" s="15"/>
      <c r="JCM43" s="15"/>
      <c r="JCN43" s="14"/>
      <c r="JCO43" s="15"/>
      <c r="JCP43" s="15"/>
      <c r="JCQ43" s="15"/>
      <c r="JCR43" s="14"/>
      <c r="JCS43" s="15"/>
      <c r="JCT43" s="15"/>
      <c r="JCU43" s="15"/>
      <c r="JCV43" s="14"/>
      <c r="JCW43" s="15"/>
      <c r="JCX43" s="15"/>
      <c r="JCY43" s="15"/>
      <c r="JCZ43" s="14"/>
      <c r="JDA43" s="10"/>
      <c r="JDB43" s="15"/>
      <c r="JDC43" s="15"/>
      <c r="JDD43" s="14"/>
      <c r="JDE43" s="15"/>
      <c r="JDF43" s="15"/>
      <c r="JDG43" s="15"/>
      <c r="JDH43" s="14"/>
      <c r="JDI43" s="15"/>
      <c r="JDJ43" s="15"/>
      <c r="JDK43" s="15"/>
      <c r="JDL43" s="14"/>
      <c r="JDM43" s="15"/>
      <c r="JDN43" s="15"/>
      <c r="JDO43" s="15"/>
      <c r="JDP43" s="14"/>
      <c r="JDQ43" s="10"/>
      <c r="JDR43" s="15"/>
      <c r="JDS43" s="15"/>
      <c r="JDT43" s="14"/>
      <c r="JDU43" s="15"/>
      <c r="JDV43" s="15"/>
      <c r="JDW43" s="15"/>
      <c r="JDX43" s="14"/>
      <c r="JDY43" s="15"/>
      <c r="JDZ43" s="15"/>
      <c r="JEA43" s="15"/>
      <c r="JEB43" s="14"/>
      <c r="JEC43" s="15"/>
      <c r="JED43" s="15"/>
      <c r="JEE43" s="15"/>
      <c r="JEF43" s="14"/>
      <c r="JEG43" s="10"/>
      <c r="JEH43" s="15"/>
      <c r="JEI43" s="15"/>
      <c r="JEJ43" s="14"/>
      <c r="JEK43" s="15"/>
      <c r="JEL43" s="15"/>
      <c r="JEM43" s="15"/>
      <c r="JEN43" s="14"/>
      <c r="JEO43" s="15"/>
      <c r="JEP43" s="15"/>
      <c r="JEQ43" s="15"/>
      <c r="JER43" s="14"/>
      <c r="JES43" s="15"/>
      <c r="JET43" s="15"/>
      <c r="JEU43" s="15"/>
      <c r="JEV43" s="14"/>
      <c r="JEW43" s="10"/>
      <c r="JEX43" s="15"/>
      <c r="JEY43" s="15"/>
      <c r="JEZ43" s="14"/>
      <c r="JFA43" s="15"/>
      <c r="JFB43" s="15"/>
      <c r="JFC43" s="15"/>
      <c r="JFD43" s="14"/>
      <c r="JFE43" s="15"/>
      <c r="JFF43" s="15"/>
      <c r="JFG43" s="15"/>
      <c r="JFH43" s="14"/>
      <c r="JFI43" s="15"/>
      <c r="JFJ43" s="15"/>
      <c r="JFK43" s="15"/>
      <c r="JFL43" s="14"/>
      <c r="JFM43" s="10"/>
      <c r="JFN43" s="15"/>
      <c r="JFO43" s="15"/>
      <c r="JFP43" s="14"/>
      <c r="JFQ43" s="15"/>
      <c r="JFR43" s="15"/>
      <c r="JFS43" s="15"/>
      <c r="JFT43" s="14"/>
      <c r="JFU43" s="15"/>
      <c r="JFV43" s="15"/>
      <c r="JFW43" s="15"/>
      <c r="JFX43" s="14"/>
      <c r="JFY43" s="15"/>
      <c r="JFZ43" s="15"/>
      <c r="JGA43" s="15"/>
      <c r="JGB43" s="14"/>
      <c r="JGC43" s="10"/>
      <c r="JGD43" s="15"/>
      <c r="JGE43" s="15"/>
      <c r="JGF43" s="14"/>
      <c r="JGG43" s="15"/>
      <c r="JGH43" s="15"/>
      <c r="JGI43" s="15"/>
      <c r="JGJ43" s="14"/>
      <c r="JGK43" s="15"/>
      <c r="JGL43" s="15"/>
      <c r="JGM43" s="15"/>
      <c r="JGN43" s="14"/>
      <c r="JGO43" s="15"/>
      <c r="JGP43" s="15"/>
      <c r="JGQ43" s="15"/>
      <c r="JGR43" s="14"/>
      <c r="JGS43" s="10"/>
      <c r="JGT43" s="15"/>
      <c r="JGU43" s="15"/>
      <c r="JGV43" s="14"/>
      <c r="JGW43" s="15"/>
      <c r="JGX43" s="15"/>
      <c r="JGY43" s="15"/>
      <c r="JGZ43" s="14"/>
      <c r="JHA43" s="15"/>
      <c r="JHB43" s="15"/>
      <c r="JHC43" s="15"/>
      <c r="JHD43" s="14"/>
      <c r="JHE43" s="15"/>
      <c r="JHF43" s="15"/>
      <c r="JHG43" s="15"/>
      <c r="JHH43" s="14"/>
      <c r="JHI43" s="10"/>
      <c r="JHJ43" s="15"/>
      <c r="JHK43" s="15"/>
      <c r="JHL43" s="14"/>
      <c r="JHM43" s="15"/>
      <c r="JHN43" s="15"/>
      <c r="JHO43" s="15"/>
      <c r="JHP43" s="14"/>
      <c r="JHQ43" s="15"/>
      <c r="JHR43" s="15"/>
      <c r="JHS43" s="15"/>
      <c r="JHT43" s="14"/>
      <c r="JHU43" s="15"/>
      <c r="JHV43" s="15"/>
      <c r="JHW43" s="15"/>
      <c r="JHX43" s="14"/>
      <c r="JHY43" s="10"/>
      <c r="JHZ43" s="15"/>
      <c r="JIA43" s="15"/>
      <c r="JIB43" s="14"/>
      <c r="JIC43" s="15"/>
      <c r="JID43" s="15"/>
      <c r="JIE43" s="15"/>
      <c r="JIF43" s="14"/>
      <c r="JIG43" s="15"/>
      <c r="JIH43" s="15"/>
      <c r="JII43" s="15"/>
      <c r="JIJ43" s="14"/>
      <c r="JIK43" s="15"/>
      <c r="JIL43" s="15"/>
      <c r="JIM43" s="15"/>
      <c r="JIN43" s="14"/>
      <c r="JIO43" s="10"/>
      <c r="JIP43" s="15"/>
      <c r="JIQ43" s="15"/>
      <c r="JIR43" s="14"/>
      <c r="JIS43" s="15"/>
      <c r="JIT43" s="15"/>
      <c r="JIU43" s="15"/>
      <c r="JIV43" s="14"/>
      <c r="JIW43" s="15"/>
      <c r="JIX43" s="15"/>
      <c r="JIY43" s="15"/>
      <c r="JIZ43" s="14"/>
      <c r="JJA43" s="15"/>
      <c r="JJB43" s="15"/>
      <c r="JJC43" s="15"/>
      <c r="JJD43" s="14"/>
      <c r="JJE43" s="10"/>
      <c r="JJF43" s="15"/>
      <c r="JJG43" s="15"/>
      <c r="JJH43" s="14"/>
      <c r="JJI43" s="15"/>
      <c r="JJJ43" s="15"/>
      <c r="JJK43" s="15"/>
      <c r="JJL43" s="14"/>
      <c r="JJM43" s="15"/>
      <c r="JJN43" s="15"/>
      <c r="JJO43" s="15"/>
      <c r="JJP43" s="14"/>
      <c r="JJQ43" s="15"/>
      <c r="JJR43" s="15"/>
      <c r="JJS43" s="15"/>
      <c r="JJT43" s="14"/>
      <c r="JJU43" s="10"/>
      <c r="JJV43" s="15"/>
      <c r="JJW43" s="15"/>
      <c r="JJX43" s="14"/>
      <c r="JJY43" s="15"/>
      <c r="JJZ43" s="15"/>
      <c r="JKA43" s="15"/>
      <c r="JKB43" s="14"/>
      <c r="JKC43" s="15"/>
      <c r="JKD43" s="15"/>
      <c r="JKE43" s="15"/>
      <c r="JKF43" s="14"/>
      <c r="JKG43" s="15"/>
      <c r="JKH43" s="15"/>
      <c r="JKI43" s="15"/>
      <c r="JKJ43" s="14"/>
      <c r="JKK43" s="10"/>
      <c r="JKL43" s="15"/>
      <c r="JKM43" s="15"/>
      <c r="JKN43" s="14"/>
      <c r="JKO43" s="15"/>
      <c r="JKP43" s="15"/>
      <c r="JKQ43" s="15"/>
      <c r="JKR43" s="14"/>
      <c r="JKS43" s="15"/>
      <c r="JKT43" s="15"/>
      <c r="JKU43" s="15"/>
      <c r="JKV43" s="14"/>
      <c r="JKW43" s="15"/>
      <c r="JKX43" s="15"/>
      <c r="JKY43" s="15"/>
      <c r="JKZ43" s="14"/>
      <c r="JLA43" s="10"/>
      <c r="JLB43" s="15"/>
      <c r="JLC43" s="15"/>
      <c r="JLD43" s="14"/>
      <c r="JLE43" s="15"/>
      <c r="JLF43" s="15"/>
      <c r="JLG43" s="15"/>
      <c r="JLH43" s="14"/>
      <c r="JLI43" s="15"/>
      <c r="JLJ43" s="15"/>
      <c r="JLK43" s="15"/>
      <c r="JLL43" s="14"/>
      <c r="JLM43" s="15"/>
      <c r="JLN43" s="15"/>
      <c r="JLO43" s="15"/>
      <c r="JLP43" s="14"/>
      <c r="JLQ43" s="10"/>
      <c r="JLR43" s="15"/>
      <c r="JLS43" s="15"/>
      <c r="JLT43" s="14"/>
      <c r="JLU43" s="15"/>
      <c r="JLV43" s="15"/>
      <c r="JLW43" s="15"/>
      <c r="JLX43" s="14"/>
      <c r="JLY43" s="15"/>
      <c r="JLZ43" s="15"/>
      <c r="JMA43" s="15"/>
      <c r="JMB43" s="14"/>
      <c r="JMC43" s="15"/>
      <c r="JMD43" s="15"/>
      <c r="JME43" s="15"/>
      <c r="JMF43" s="14"/>
      <c r="JMG43" s="10"/>
      <c r="JMH43" s="15"/>
      <c r="JMI43" s="15"/>
      <c r="JMJ43" s="14"/>
      <c r="JMK43" s="15"/>
      <c r="JML43" s="15"/>
      <c r="JMM43" s="15"/>
      <c r="JMN43" s="14"/>
      <c r="JMO43" s="15"/>
      <c r="JMP43" s="15"/>
      <c r="JMQ43" s="15"/>
      <c r="JMR43" s="14"/>
      <c r="JMS43" s="15"/>
      <c r="JMT43" s="15"/>
      <c r="JMU43" s="15"/>
      <c r="JMV43" s="14"/>
      <c r="JMW43" s="10"/>
      <c r="JMX43" s="15"/>
      <c r="JMY43" s="15"/>
      <c r="JMZ43" s="14"/>
      <c r="JNA43" s="15"/>
      <c r="JNB43" s="15"/>
      <c r="JNC43" s="15"/>
      <c r="JND43" s="14"/>
      <c r="JNE43" s="15"/>
      <c r="JNF43" s="15"/>
      <c r="JNG43" s="15"/>
      <c r="JNH43" s="14"/>
      <c r="JNI43" s="15"/>
      <c r="JNJ43" s="15"/>
      <c r="JNK43" s="15"/>
      <c r="JNL43" s="14"/>
      <c r="JNM43" s="10"/>
      <c r="JNN43" s="15"/>
      <c r="JNO43" s="15"/>
      <c r="JNP43" s="14"/>
      <c r="JNQ43" s="15"/>
      <c r="JNR43" s="15"/>
      <c r="JNS43" s="15"/>
      <c r="JNT43" s="14"/>
      <c r="JNU43" s="15"/>
      <c r="JNV43" s="15"/>
      <c r="JNW43" s="15"/>
      <c r="JNX43" s="14"/>
      <c r="JNY43" s="15"/>
      <c r="JNZ43" s="15"/>
      <c r="JOA43" s="15"/>
      <c r="JOB43" s="14"/>
      <c r="JOC43" s="10"/>
      <c r="JOD43" s="15"/>
      <c r="JOE43" s="15"/>
      <c r="JOF43" s="14"/>
      <c r="JOG43" s="15"/>
      <c r="JOH43" s="15"/>
      <c r="JOI43" s="15"/>
      <c r="JOJ43" s="14"/>
      <c r="JOK43" s="15"/>
      <c r="JOL43" s="15"/>
      <c r="JOM43" s="15"/>
      <c r="JON43" s="14"/>
      <c r="JOO43" s="15"/>
      <c r="JOP43" s="15"/>
      <c r="JOQ43" s="15"/>
      <c r="JOR43" s="14"/>
      <c r="JOS43" s="10"/>
      <c r="JOT43" s="15"/>
      <c r="JOU43" s="15"/>
      <c r="JOV43" s="14"/>
      <c r="JOW43" s="15"/>
      <c r="JOX43" s="15"/>
      <c r="JOY43" s="15"/>
      <c r="JOZ43" s="14"/>
      <c r="JPA43" s="15"/>
      <c r="JPB43" s="15"/>
      <c r="JPC43" s="15"/>
      <c r="JPD43" s="14"/>
      <c r="JPE43" s="15"/>
      <c r="JPF43" s="15"/>
      <c r="JPG43" s="15"/>
      <c r="JPH43" s="14"/>
      <c r="JPI43" s="10"/>
      <c r="JPJ43" s="15"/>
      <c r="JPK43" s="15"/>
      <c r="JPL43" s="14"/>
      <c r="JPM43" s="15"/>
      <c r="JPN43" s="15"/>
      <c r="JPO43" s="15"/>
      <c r="JPP43" s="14"/>
      <c r="JPQ43" s="15"/>
      <c r="JPR43" s="15"/>
      <c r="JPS43" s="15"/>
      <c r="JPT43" s="14"/>
      <c r="JPU43" s="15"/>
      <c r="JPV43" s="15"/>
      <c r="JPW43" s="15"/>
      <c r="JPX43" s="14"/>
      <c r="JPY43" s="10"/>
      <c r="JPZ43" s="15"/>
      <c r="JQA43" s="15"/>
      <c r="JQB43" s="14"/>
      <c r="JQC43" s="15"/>
      <c r="JQD43" s="15"/>
      <c r="JQE43" s="15"/>
      <c r="JQF43" s="14"/>
      <c r="JQG43" s="15"/>
      <c r="JQH43" s="15"/>
      <c r="JQI43" s="15"/>
      <c r="JQJ43" s="14"/>
      <c r="JQK43" s="15"/>
      <c r="JQL43" s="15"/>
      <c r="JQM43" s="15"/>
      <c r="JQN43" s="14"/>
      <c r="JQO43" s="10"/>
      <c r="JQP43" s="15"/>
      <c r="JQQ43" s="15"/>
      <c r="JQR43" s="14"/>
      <c r="JQS43" s="15"/>
      <c r="JQT43" s="15"/>
      <c r="JQU43" s="15"/>
      <c r="JQV43" s="14"/>
      <c r="JQW43" s="15"/>
      <c r="JQX43" s="15"/>
      <c r="JQY43" s="15"/>
      <c r="JQZ43" s="14"/>
      <c r="JRA43" s="15"/>
      <c r="JRB43" s="15"/>
      <c r="JRC43" s="15"/>
      <c r="JRD43" s="14"/>
      <c r="JRE43" s="10"/>
      <c r="JRF43" s="15"/>
      <c r="JRG43" s="15"/>
      <c r="JRH43" s="14"/>
      <c r="JRI43" s="15"/>
      <c r="JRJ43" s="15"/>
      <c r="JRK43" s="15"/>
      <c r="JRL43" s="14"/>
      <c r="JRM43" s="15"/>
      <c r="JRN43" s="15"/>
      <c r="JRO43" s="15"/>
      <c r="JRP43" s="14"/>
      <c r="JRQ43" s="15"/>
      <c r="JRR43" s="15"/>
      <c r="JRS43" s="15"/>
      <c r="JRT43" s="14"/>
      <c r="JRU43" s="10"/>
      <c r="JRV43" s="15"/>
      <c r="JRW43" s="15"/>
      <c r="JRX43" s="14"/>
      <c r="JRY43" s="15"/>
      <c r="JRZ43" s="15"/>
      <c r="JSA43" s="15"/>
      <c r="JSB43" s="14"/>
      <c r="JSC43" s="15"/>
      <c r="JSD43" s="15"/>
      <c r="JSE43" s="15"/>
      <c r="JSF43" s="14"/>
      <c r="JSG43" s="15"/>
      <c r="JSH43" s="15"/>
      <c r="JSI43" s="15"/>
      <c r="JSJ43" s="14"/>
      <c r="JSK43" s="10"/>
      <c r="JSL43" s="15"/>
      <c r="JSM43" s="15"/>
      <c r="JSN43" s="14"/>
      <c r="JSO43" s="15"/>
      <c r="JSP43" s="15"/>
      <c r="JSQ43" s="15"/>
      <c r="JSR43" s="14"/>
      <c r="JSS43" s="15"/>
      <c r="JST43" s="15"/>
      <c r="JSU43" s="15"/>
      <c r="JSV43" s="14"/>
      <c r="JSW43" s="15"/>
      <c r="JSX43" s="15"/>
      <c r="JSY43" s="15"/>
      <c r="JSZ43" s="14"/>
      <c r="JTA43" s="10"/>
      <c r="JTB43" s="15"/>
      <c r="JTC43" s="15"/>
      <c r="JTD43" s="14"/>
      <c r="JTE43" s="15"/>
      <c r="JTF43" s="15"/>
      <c r="JTG43" s="15"/>
      <c r="JTH43" s="14"/>
      <c r="JTI43" s="15"/>
      <c r="JTJ43" s="15"/>
      <c r="JTK43" s="15"/>
      <c r="JTL43" s="14"/>
      <c r="JTM43" s="15"/>
      <c r="JTN43" s="15"/>
      <c r="JTO43" s="15"/>
      <c r="JTP43" s="14"/>
      <c r="JTQ43" s="10"/>
      <c r="JTR43" s="15"/>
      <c r="JTS43" s="15"/>
      <c r="JTT43" s="14"/>
      <c r="JTU43" s="15"/>
      <c r="JTV43" s="15"/>
      <c r="JTW43" s="15"/>
      <c r="JTX43" s="14"/>
      <c r="JTY43" s="15"/>
      <c r="JTZ43" s="15"/>
      <c r="JUA43" s="15"/>
      <c r="JUB43" s="14"/>
      <c r="JUC43" s="15"/>
      <c r="JUD43" s="15"/>
      <c r="JUE43" s="15"/>
      <c r="JUF43" s="14"/>
      <c r="JUG43" s="10"/>
      <c r="JUH43" s="15"/>
      <c r="JUI43" s="15"/>
      <c r="JUJ43" s="14"/>
      <c r="JUK43" s="15"/>
      <c r="JUL43" s="15"/>
      <c r="JUM43" s="15"/>
      <c r="JUN43" s="14"/>
      <c r="JUO43" s="15"/>
      <c r="JUP43" s="15"/>
      <c r="JUQ43" s="15"/>
      <c r="JUR43" s="14"/>
      <c r="JUS43" s="15"/>
      <c r="JUT43" s="15"/>
      <c r="JUU43" s="15"/>
      <c r="JUV43" s="14"/>
      <c r="JUW43" s="10"/>
      <c r="JUX43" s="15"/>
      <c r="JUY43" s="15"/>
      <c r="JUZ43" s="14"/>
      <c r="JVA43" s="15"/>
      <c r="JVB43" s="15"/>
      <c r="JVC43" s="15"/>
      <c r="JVD43" s="14"/>
      <c r="JVE43" s="15"/>
      <c r="JVF43" s="15"/>
      <c r="JVG43" s="15"/>
      <c r="JVH43" s="14"/>
      <c r="JVI43" s="15"/>
      <c r="JVJ43" s="15"/>
      <c r="JVK43" s="15"/>
      <c r="JVL43" s="14"/>
      <c r="JVM43" s="10"/>
      <c r="JVN43" s="15"/>
      <c r="JVO43" s="15"/>
      <c r="JVP43" s="14"/>
      <c r="JVQ43" s="15"/>
      <c r="JVR43" s="15"/>
      <c r="JVS43" s="15"/>
      <c r="JVT43" s="14"/>
      <c r="JVU43" s="15"/>
      <c r="JVV43" s="15"/>
      <c r="JVW43" s="15"/>
      <c r="JVX43" s="14"/>
      <c r="JVY43" s="15"/>
      <c r="JVZ43" s="15"/>
      <c r="JWA43" s="15"/>
      <c r="JWB43" s="14"/>
      <c r="JWC43" s="10"/>
      <c r="JWD43" s="15"/>
      <c r="JWE43" s="15"/>
      <c r="JWF43" s="14"/>
      <c r="JWG43" s="15"/>
      <c r="JWH43" s="15"/>
      <c r="JWI43" s="15"/>
      <c r="JWJ43" s="14"/>
      <c r="JWK43" s="15"/>
      <c r="JWL43" s="15"/>
      <c r="JWM43" s="15"/>
      <c r="JWN43" s="14"/>
      <c r="JWO43" s="15"/>
      <c r="JWP43" s="15"/>
      <c r="JWQ43" s="15"/>
      <c r="JWR43" s="14"/>
      <c r="JWS43" s="10"/>
      <c r="JWT43" s="15"/>
      <c r="JWU43" s="15"/>
      <c r="JWV43" s="14"/>
      <c r="JWW43" s="15"/>
      <c r="JWX43" s="15"/>
      <c r="JWY43" s="15"/>
      <c r="JWZ43" s="14"/>
      <c r="JXA43" s="15"/>
      <c r="JXB43" s="15"/>
      <c r="JXC43" s="15"/>
      <c r="JXD43" s="14"/>
      <c r="JXE43" s="15"/>
      <c r="JXF43" s="15"/>
      <c r="JXG43" s="15"/>
      <c r="JXH43" s="14"/>
      <c r="JXI43" s="10"/>
      <c r="JXJ43" s="15"/>
      <c r="JXK43" s="15"/>
      <c r="JXL43" s="14"/>
      <c r="JXM43" s="15"/>
      <c r="JXN43" s="15"/>
      <c r="JXO43" s="15"/>
      <c r="JXP43" s="14"/>
      <c r="JXQ43" s="15"/>
      <c r="JXR43" s="15"/>
      <c r="JXS43" s="15"/>
      <c r="JXT43" s="14"/>
      <c r="JXU43" s="15"/>
      <c r="JXV43" s="15"/>
      <c r="JXW43" s="15"/>
      <c r="JXX43" s="14"/>
      <c r="JXY43" s="10"/>
      <c r="JXZ43" s="15"/>
      <c r="JYA43" s="15"/>
      <c r="JYB43" s="14"/>
      <c r="JYC43" s="15"/>
      <c r="JYD43" s="15"/>
      <c r="JYE43" s="15"/>
      <c r="JYF43" s="14"/>
      <c r="JYG43" s="15"/>
      <c r="JYH43" s="15"/>
      <c r="JYI43" s="15"/>
      <c r="JYJ43" s="14"/>
      <c r="JYK43" s="15"/>
      <c r="JYL43" s="15"/>
      <c r="JYM43" s="15"/>
      <c r="JYN43" s="14"/>
      <c r="JYO43" s="10"/>
      <c r="JYP43" s="15"/>
      <c r="JYQ43" s="15"/>
      <c r="JYR43" s="14"/>
      <c r="JYS43" s="15"/>
      <c r="JYT43" s="15"/>
      <c r="JYU43" s="15"/>
      <c r="JYV43" s="14"/>
      <c r="JYW43" s="15"/>
      <c r="JYX43" s="15"/>
      <c r="JYY43" s="15"/>
      <c r="JYZ43" s="14"/>
      <c r="JZA43" s="15"/>
      <c r="JZB43" s="15"/>
      <c r="JZC43" s="15"/>
      <c r="JZD43" s="14"/>
      <c r="JZE43" s="10"/>
      <c r="JZF43" s="15"/>
      <c r="JZG43" s="15"/>
      <c r="JZH43" s="14"/>
      <c r="JZI43" s="15"/>
      <c r="JZJ43" s="15"/>
      <c r="JZK43" s="15"/>
      <c r="JZL43" s="14"/>
      <c r="JZM43" s="15"/>
      <c r="JZN43" s="15"/>
      <c r="JZO43" s="15"/>
      <c r="JZP43" s="14"/>
      <c r="JZQ43" s="15"/>
      <c r="JZR43" s="15"/>
      <c r="JZS43" s="15"/>
      <c r="JZT43" s="14"/>
      <c r="JZU43" s="10"/>
      <c r="JZV43" s="15"/>
      <c r="JZW43" s="15"/>
      <c r="JZX43" s="14"/>
      <c r="JZY43" s="15"/>
      <c r="JZZ43" s="15"/>
      <c r="KAA43" s="15"/>
      <c r="KAB43" s="14"/>
      <c r="KAC43" s="15"/>
      <c r="KAD43" s="15"/>
      <c r="KAE43" s="15"/>
      <c r="KAF43" s="14"/>
      <c r="KAG43" s="15"/>
      <c r="KAH43" s="15"/>
      <c r="KAI43" s="15"/>
      <c r="KAJ43" s="14"/>
      <c r="KAK43" s="10"/>
      <c r="KAL43" s="15"/>
      <c r="KAM43" s="15"/>
      <c r="KAN43" s="14"/>
      <c r="KAO43" s="15"/>
      <c r="KAP43" s="15"/>
      <c r="KAQ43" s="15"/>
      <c r="KAR43" s="14"/>
      <c r="KAS43" s="15"/>
      <c r="KAT43" s="15"/>
      <c r="KAU43" s="15"/>
      <c r="KAV43" s="14"/>
      <c r="KAW43" s="15"/>
      <c r="KAX43" s="15"/>
      <c r="KAY43" s="15"/>
      <c r="KAZ43" s="14"/>
      <c r="KBA43" s="10"/>
      <c r="KBB43" s="15"/>
      <c r="KBC43" s="15"/>
      <c r="KBD43" s="14"/>
      <c r="KBE43" s="15"/>
      <c r="KBF43" s="15"/>
      <c r="KBG43" s="15"/>
      <c r="KBH43" s="14"/>
      <c r="KBI43" s="15"/>
      <c r="KBJ43" s="15"/>
      <c r="KBK43" s="15"/>
      <c r="KBL43" s="14"/>
      <c r="KBM43" s="15"/>
      <c r="KBN43" s="15"/>
      <c r="KBO43" s="15"/>
      <c r="KBP43" s="14"/>
      <c r="KBQ43" s="10"/>
      <c r="KBR43" s="15"/>
      <c r="KBS43" s="15"/>
      <c r="KBT43" s="14"/>
      <c r="KBU43" s="15"/>
      <c r="KBV43" s="15"/>
      <c r="KBW43" s="15"/>
      <c r="KBX43" s="14"/>
      <c r="KBY43" s="15"/>
      <c r="KBZ43" s="15"/>
      <c r="KCA43" s="15"/>
      <c r="KCB43" s="14"/>
      <c r="KCC43" s="15"/>
      <c r="KCD43" s="15"/>
      <c r="KCE43" s="15"/>
      <c r="KCF43" s="14"/>
      <c r="KCG43" s="10"/>
      <c r="KCH43" s="15"/>
      <c r="KCI43" s="15"/>
      <c r="KCJ43" s="14"/>
      <c r="KCK43" s="15"/>
      <c r="KCL43" s="15"/>
      <c r="KCM43" s="15"/>
      <c r="KCN43" s="14"/>
      <c r="KCO43" s="15"/>
      <c r="KCP43" s="15"/>
      <c r="KCQ43" s="15"/>
      <c r="KCR43" s="14"/>
      <c r="KCS43" s="15"/>
      <c r="KCT43" s="15"/>
      <c r="KCU43" s="15"/>
      <c r="KCV43" s="14"/>
      <c r="KCW43" s="10"/>
      <c r="KCX43" s="15"/>
      <c r="KCY43" s="15"/>
      <c r="KCZ43" s="14"/>
      <c r="KDA43" s="15"/>
      <c r="KDB43" s="15"/>
      <c r="KDC43" s="15"/>
      <c r="KDD43" s="14"/>
      <c r="KDE43" s="15"/>
      <c r="KDF43" s="15"/>
      <c r="KDG43" s="15"/>
      <c r="KDH43" s="14"/>
      <c r="KDI43" s="15"/>
      <c r="KDJ43" s="15"/>
      <c r="KDK43" s="15"/>
      <c r="KDL43" s="14"/>
      <c r="KDM43" s="10"/>
      <c r="KDN43" s="15"/>
      <c r="KDO43" s="15"/>
      <c r="KDP43" s="14"/>
      <c r="KDQ43" s="15"/>
      <c r="KDR43" s="15"/>
      <c r="KDS43" s="15"/>
      <c r="KDT43" s="14"/>
      <c r="KDU43" s="15"/>
      <c r="KDV43" s="15"/>
      <c r="KDW43" s="15"/>
      <c r="KDX43" s="14"/>
      <c r="KDY43" s="15"/>
      <c r="KDZ43" s="15"/>
      <c r="KEA43" s="15"/>
      <c r="KEB43" s="14"/>
      <c r="KEC43" s="10"/>
      <c r="KED43" s="15"/>
      <c r="KEE43" s="15"/>
      <c r="KEF43" s="14"/>
      <c r="KEG43" s="15"/>
      <c r="KEH43" s="15"/>
      <c r="KEI43" s="15"/>
      <c r="KEJ43" s="14"/>
      <c r="KEK43" s="15"/>
      <c r="KEL43" s="15"/>
      <c r="KEM43" s="15"/>
      <c r="KEN43" s="14"/>
      <c r="KEO43" s="15"/>
      <c r="KEP43" s="15"/>
      <c r="KEQ43" s="15"/>
      <c r="KER43" s="14"/>
      <c r="KES43" s="10"/>
      <c r="KET43" s="15"/>
      <c r="KEU43" s="15"/>
      <c r="KEV43" s="14"/>
      <c r="KEW43" s="15"/>
      <c r="KEX43" s="15"/>
      <c r="KEY43" s="15"/>
      <c r="KEZ43" s="14"/>
      <c r="KFA43" s="15"/>
      <c r="KFB43" s="15"/>
      <c r="KFC43" s="15"/>
      <c r="KFD43" s="14"/>
      <c r="KFE43" s="15"/>
      <c r="KFF43" s="15"/>
      <c r="KFG43" s="15"/>
      <c r="KFH43" s="14"/>
      <c r="KFI43" s="10"/>
      <c r="KFJ43" s="15"/>
      <c r="KFK43" s="15"/>
      <c r="KFL43" s="14"/>
      <c r="KFM43" s="15"/>
      <c r="KFN43" s="15"/>
      <c r="KFO43" s="15"/>
      <c r="KFP43" s="14"/>
      <c r="KFQ43" s="15"/>
      <c r="KFR43" s="15"/>
      <c r="KFS43" s="15"/>
      <c r="KFT43" s="14"/>
      <c r="KFU43" s="15"/>
      <c r="KFV43" s="15"/>
      <c r="KFW43" s="15"/>
      <c r="KFX43" s="14"/>
      <c r="KFY43" s="10"/>
      <c r="KFZ43" s="15"/>
      <c r="KGA43" s="15"/>
      <c r="KGB43" s="14"/>
      <c r="KGC43" s="15"/>
      <c r="KGD43" s="15"/>
      <c r="KGE43" s="15"/>
      <c r="KGF43" s="14"/>
      <c r="KGG43" s="15"/>
      <c r="KGH43" s="15"/>
      <c r="KGI43" s="15"/>
      <c r="KGJ43" s="14"/>
      <c r="KGK43" s="15"/>
      <c r="KGL43" s="15"/>
      <c r="KGM43" s="15"/>
      <c r="KGN43" s="14"/>
      <c r="KGO43" s="10"/>
      <c r="KGP43" s="15"/>
      <c r="KGQ43" s="15"/>
      <c r="KGR43" s="14"/>
      <c r="KGS43" s="15"/>
      <c r="KGT43" s="15"/>
      <c r="KGU43" s="15"/>
      <c r="KGV43" s="14"/>
      <c r="KGW43" s="15"/>
      <c r="KGX43" s="15"/>
      <c r="KGY43" s="15"/>
      <c r="KGZ43" s="14"/>
      <c r="KHA43" s="15"/>
      <c r="KHB43" s="15"/>
      <c r="KHC43" s="15"/>
      <c r="KHD43" s="14"/>
      <c r="KHE43" s="10"/>
      <c r="KHF43" s="15"/>
      <c r="KHG43" s="15"/>
      <c r="KHH43" s="14"/>
      <c r="KHI43" s="15"/>
      <c r="KHJ43" s="15"/>
      <c r="KHK43" s="15"/>
      <c r="KHL43" s="14"/>
      <c r="KHM43" s="15"/>
      <c r="KHN43" s="15"/>
      <c r="KHO43" s="15"/>
      <c r="KHP43" s="14"/>
      <c r="KHQ43" s="15"/>
      <c r="KHR43" s="15"/>
      <c r="KHS43" s="15"/>
      <c r="KHT43" s="14"/>
      <c r="KHU43" s="10"/>
      <c r="KHV43" s="15"/>
      <c r="KHW43" s="15"/>
      <c r="KHX43" s="14"/>
      <c r="KHY43" s="15"/>
      <c r="KHZ43" s="15"/>
      <c r="KIA43" s="15"/>
      <c r="KIB43" s="14"/>
      <c r="KIC43" s="15"/>
      <c r="KID43" s="15"/>
      <c r="KIE43" s="15"/>
      <c r="KIF43" s="14"/>
      <c r="KIG43" s="15"/>
      <c r="KIH43" s="15"/>
      <c r="KII43" s="15"/>
      <c r="KIJ43" s="14"/>
      <c r="KIK43" s="10"/>
      <c r="KIL43" s="15"/>
      <c r="KIM43" s="15"/>
      <c r="KIN43" s="14"/>
      <c r="KIO43" s="15"/>
      <c r="KIP43" s="15"/>
      <c r="KIQ43" s="15"/>
      <c r="KIR43" s="14"/>
      <c r="KIS43" s="15"/>
      <c r="KIT43" s="15"/>
      <c r="KIU43" s="15"/>
      <c r="KIV43" s="14"/>
      <c r="KIW43" s="15"/>
      <c r="KIX43" s="15"/>
      <c r="KIY43" s="15"/>
      <c r="KIZ43" s="14"/>
      <c r="KJA43" s="10"/>
      <c r="KJB43" s="15"/>
      <c r="KJC43" s="15"/>
      <c r="KJD43" s="14"/>
      <c r="KJE43" s="15"/>
      <c r="KJF43" s="15"/>
      <c r="KJG43" s="15"/>
      <c r="KJH43" s="14"/>
      <c r="KJI43" s="15"/>
      <c r="KJJ43" s="15"/>
      <c r="KJK43" s="15"/>
      <c r="KJL43" s="14"/>
      <c r="KJM43" s="15"/>
      <c r="KJN43" s="15"/>
      <c r="KJO43" s="15"/>
      <c r="KJP43" s="14"/>
      <c r="KJQ43" s="10"/>
      <c r="KJR43" s="15"/>
      <c r="KJS43" s="15"/>
      <c r="KJT43" s="14"/>
      <c r="KJU43" s="15"/>
      <c r="KJV43" s="15"/>
      <c r="KJW43" s="15"/>
      <c r="KJX43" s="14"/>
      <c r="KJY43" s="15"/>
      <c r="KJZ43" s="15"/>
      <c r="KKA43" s="15"/>
      <c r="KKB43" s="14"/>
      <c r="KKC43" s="15"/>
      <c r="KKD43" s="15"/>
      <c r="KKE43" s="15"/>
      <c r="KKF43" s="14"/>
      <c r="KKG43" s="10"/>
      <c r="KKH43" s="15"/>
      <c r="KKI43" s="15"/>
      <c r="KKJ43" s="14"/>
      <c r="KKK43" s="15"/>
      <c r="KKL43" s="15"/>
      <c r="KKM43" s="15"/>
      <c r="KKN43" s="14"/>
      <c r="KKO43" s="15"/>
      <c r="KKP43" s="15"/>
      <c r="KKQ43" s="15"/>
      <c r="KKR43" s="14"/>
      <c r="KKS43" s="15"/>
      <c r="KKT43" s="15"/>
      <c r="KKU43" s="15"/>
      <c r="KKV43" s="14"/>
      <c r="KKW43" s="10"/>
      <c r="KKX43" s="15"/>
      <c r="KKY43" s="15"/>
      <c r="KKZ43" s="14"/>
      <c r="KLA43" s="15"/>
      <c r="KLB43" s="15"/>
      <c r="KLC43" s="15"/>
      <c r="KLD43" s="14"/>
      <c r="KLE43" s="15"/>
      <c r="KLF43" s="15"/>
      <c r="KLG43" s="15"/>
      <c r="KLH43" s="14"/>
      <c r="KLI43" s="15"/>
      <c r="KLJ43" s="15"/>
      <c r="KLK43" s="15"/>
      <c r="KLL43" s="14"/>
      <c r="KLM43" s="10"/>
      <c r="KLN43" s="15"/>
      <c r="KLO43" s="15"/>
      <c r="KLP43" s="14"/>
      <c r="KLQ43" s="15"/>
      <c r="KLR43" s="15"/>
      <c r="KLS43" s="15"/>
      <c r="KLT43" s="14"/>
      <c r="KLU43" s="15"/>
      <c r="KLV43" s="15"/>
      <c r="KLW43" s="15"/>
      <c r="KLX43" s="14"/>
      <c r="KLY43" s="15"/>
      <c r="KLZ43" s="15"/>
      <c r="KMA43" s="15"/>
      <c r="KMB43" s="14"/>
      <c r="KMC43" s="10"/>
      <c r="KMD43" s="15"/>
      <c r="KME43" s="15"/>
      <c r="KMF43" s="14"/>
      <c r="KMG43" s="15"/>
      <c r="KMH43" s="15"/>
      <c r="KMI43" s="15"/>
      <c r="KMJ43" s="14"/>
      <c r="KMK43" s="15"/>
      <c r="KML43" s="15"/>
      <c r="KMM43" s="15"/>
      <c r="KMN43" s="14"/>
      <c r="KMO43" s="15"/>
      <c r="KMP43" s="15"/>
      <c r="KMQ43" s="15"/>
      <c r="KMR43" s="14"/>
      <c r="KMS43" s="10"/>
      <c r="KMT43" s="15"/>
      <c r="KMU43" s="15"/>
      <c r="KMV43" s="14"/>
      <c r="KMW43" s="15"/>
      <c r="KMX43" s="15"/>
      <c r="KMY43" s="15"/>
      <c r="KMZ43" s="14"/>
      <c r="KNA43" s="15"/>
      <c r="KNB43" s="15"/>
      <c r="KNC43" s="15"/>
      <c r="KND43" s="14"/>
      <c r="KNE43" s="15"/>
      <c r="KNF43" s="15"/>
      <c r="KNG43" s="15"/>
      <c r="KNH43" s="14"/>
      <c r="KNI43" s="10"/>
      <c r="KNJ43" s="15"/>
      <c r="KNK43" s="15"/>
      <c r="KNL43" s="14"/>
      <c r="KNM43" s="15"/>
      <c r="KNN43" s="15"/>
      <c r="KNO43" s="15"/>
      <c r="KNP43" s="14"/>
      <c r="KNQ43" s="15"/>
      <c r="KNR43" s="15"/>
      <c r="KNS43" s="15"/>
      <c r="KNT43" s="14"/>
      <c r="KNU43" s="15"/>
      <c r="KNV43" s="15"/>
      <c r="KNW43" s="15"/>
      <c r="KNX43" s="14"/>
      <c r="KNY43" s="10"/>
      <c r="KNZ43" s="15"/>
      <c r="KOA43" s="15"/>
      <c r="KOB43" s="14"/>
      <c r="KOC43" s="15"/>
      <c r="KOD43" s="15"/>
      <c r="KOE43" s="15"/>
      <c r="KOF43" s="14"/>
      <c r="KOG43" s="15"/>
      <c r="KOH43" s="15"/>
      <c r="KOI43" s="15"/>
      <c r="KOJ43" s="14"/>
      <c r="KOK43" s="15"/>
      <c r="KOL43" s="15"/>
      <c r="KOM43" s="15"/>
      <c r="KON43" s="14"/>
      <c r="KOO43" s="10"/>
      <c r="KOP43" s="15"/>
      <c r="KOQ43" s="15"/>
      <c r="KOR43" s="14"/>
      <c r="KOS43" s="15"/>
      <c r="KOT43" s="15"/>
      <c r="KOU43" s="15"/>
      <c r="KOV43" s="14"/>
      <c r="KOW43" s="15"/>
      <c r="KOX43" s="15"/>
      <c r="KOY43" s="15"/>
      <c r="KOZ43" s="14"/>
      <c r="KPA43" s="15"/>
      <c r="KPB43" s="15"/>
      <c r="KPC43" s="15"/>
      <c r="KPD43" s="14"/>
      <c r="KPE43" s="10"/>
      <c r="KPF43" s="15"/>
      <c r="KPG43" s="15"/>
      <c r="KPH43" s="14"/>
      <c r="KPI43" s="15"/>
      <c r="KPJ43" s="15"/>
      <c r="KPK43" s="15"/>
      <c r="KPL43" s="14"/>
      <c r="KPM43" s="15"/>
      <c r="KPN43" s="15"/>
      <c r="KPO43" s="15"/>
      <c r="KPP43" s="14"/>
      <c r="KPQ43" s="15"/>
      <c r="KPR43" s="15"/>
      <c r="KPS43" s="15"/>
      <c r="KPT43" s="14"/>
      <c r="KPU43" s="10"/>
      <c r="KPV43" s="15"/>
      <c r="KPW43" s="15"/>
      <c r="KPX43" s="14"/>
      <c r="KPY43" s="15"/>
      <c r="KPZ43" s="15"/>
      <c r="KQA43" s="15"/>
      <c r="KQB43" s="14"/>
      <c r="KQC43" s="15"/>
      <c r="KQD43" s="15"/>
      <c r="KQE43" s="15"/>
      <c r="KQF43" s="14"/>
      <c r="KQG43" s="15"/>
      <c r="KQH43" s="15"/>
      <c r="KQI43" s="15"/>
      <c r="KQJ43" s="14"/>
      <c r="KQK43" s="10"/>
      <c r="KQL43" s="15"/>
      <c r="KQM43" s="15"/>
      <c r="KQN43" s="14"/>
      <c r="KQO43" s="15"/>
      <c r="KQP43" s="15"/>
      <c r="KQQ43" s="15"/>
      <c r="KQR43" s="14"/>
      <c r="KQS43" s="15"/>
      <c r="KQT43" s="15"/>
      <c r="KQU43" s="15"/>
      <c r="KQV43" s="14"/>
      <c r="KQW43" s="15"/>
      <c r="KQX43" s="15"/>
      <c r="KQY43" s="15"/>
      <c r="KQZ43" s="14"/>
      <c r="KRA43" s="10"/>
      <c r="KRB43" s="15"/>
      <c r="KRC43" s="15"/>
      <c r="KRD43" s="14"/>
      <c r="KRE43" s="15"/>
      <c r="KRF43" s="15"/>
      <c r="KRG43" s="15"/>
      <c r="KRH43" s="14"/>
      <c r="KRI43" s="15"/>
      <c r="KRJ43" s="15"/>
      <c r="KRK43" s="15"/>
      <c r="KRL43" s="14"/>
      <c r="KRM43" s="15"/>
      <c r="KRN43" s="15"/>
      <c r="KRO43" s="15"/>
      <c r="KRP43" s="14"/>
      <c r="KRQ43" s="10"/>
      <c r="KRR43" s="15"/>
      <c r="KRS43" s="15"/>
      <c r="KRT43" s="14"/>
      <c r="KRU43" s="15"/>
      <c r="KRV43" s="15"/>
      <c r="KRW43" s="15"/>
      <c r="KRX43" s="14"/>
      <c r="KRY43" s="15"/>
      <c r="KRZ43" s="15"/>
      <c r="KSA43" s="15"/>
      <c r="KSB43" s="14"/>
      <c r="KSC43" s="15"/>
      <c r="KSD43" s="15"/>
      <c r="KSE43" s="15"/>
      <c r="KSF43" s="14"/>
      <c r="KSG43" s="10"/>
      <c r="KSH43" s="15"/>
      <c r="KSI43" s="15"/>
      <c r="KSJ43" s="14"/>
      <c r="KSK43" s="15"/>
      <c r="KSL43" s="15"/>
      <c r="KSM43" s="15"/>
      <c r="KSN43" s="14"/>
      <c r="KSO43" s="15"/>
      <c r="KSP43" s="15"/>
      <c r="KSQ43" s="15"/>
      <c r="KSR43" s="14"/>
      <c r="KSS43" s="15"/>
      <c r="KST43" s="15"/>
      <c r="KSU43" s="15"/>
      <c r="KSV43" s="14"/>
      <c r="KSW43" s="10"/>
      <c r="KSX43" s="15"/>
      <c r="KSY43" s="15"/>
      <c r="KSZ43" s="14"/>
      <c r="KTA43" s="15"/>
      <c r="KTB43" s="15"/>
      <c r="KTC43" s="15"/>
      <c r="KTD43" s="14"/>
      <c r="KTE43" s="15"/>
      <c r="KTF43" s="15"/>
      <c r="KTG43" s="15"/>
      <c r="KTH43" s="14"/>
      <c r="KTI43" s="15"/>
      <c r="KTJ43" s="15"/>
      <c r="KTK43" s="15"/>
      <c r="KTL43" s="14"/>
      <c r="KTM43" s="10"/>
      <c r="KTN43" s="15"/>
      <c r="KTO43" s="15"/>
      <c r="KTP43" s="14"/>
      <c r="KTQ43" s="15"/>
      <c r="KTR43" s="15"/>
      <c r="KTS43" s="15"/>
      <c r="KTT43" s="14"/>
      <c r="KTU43" s="15"/>
      <c r="KTV43" s="15"/>
      <c r="KTW43" s="15"/>
      <c r="KTX43" s="14"/>
      <c r="KTY43" s="15"/>
      <c r="KTZ43" s="15"/>
      <c r="KUA43" s="15"/>
      <c r="KUB43" s="14"/>
      <c r="KUC43" s="10"/>
      <c r="KUD43" s="15"/>
      <c r="KUE43" s="15"/>
      <c r="KUF43" s="14"/>
      <c r="KUG43" s="15"/>
      <c r="KUH43" s="15"/>
      <c r="KUI43" s="15"/>
      <c r="KUJ43" s="14"/>
      <c r="KUK43" s="15"/>
      <c r="KUL43" s="15"/>
      <c r="KUM43" s="15"/>
      <c r="KUN43" s="14"/>
      <c r="KUO43" s="15"/>
      <c r="KUP43" s="15"/>
      <c r="KUQ43" s="15"/>
      <c r="KUR43" s="14"/>
      <c r="KUS43" s="10"/>
      <c r="KUT43" s="15"/>
      <c r="KUU43" s="15"/>
      <c r="KUV43" s="14"/>
      <c r="KUW43" s="15"/>
      <c r="KUX43" s="15"/>
      <c r="KUY43" s="15"/>
      <c r="KUZ43" s="14"/>
      <c r="KVA43" s="15"/>
      <c r="KVB43" s="15"/>
      <c r="KVC43" s="15"/>
      <c r="KVD43" s="14"/>
      <c r="KVE43" s="15"/>
      <c r="KVF43" s="15"/>
      <c r="KVG43" s="15"/>
      <c r="KVH43" s="14"/>
      <c r="KVI43" s="10"/>
      <c r="KVJ43" s="15"/>
      <c r="KVK43" s="15"/>
      <c r="KVL43" s="14"/>
      <c r="KVM43" s="15"/>
      <c r="KVN43" s="15"/>
      <c r="KVO43" s="15"/>
      <c r="KVP43" s="14"/>
      <c r="KVQ43" s="15"/>
      <c r="KVR43" s="15"/>
      <c r="KVS43" s="15"/>
      <c r="KVT43" s="14"/>
      <c r="KVU43" s="15"/>
      <c r="KVV43" s="15"/>
      <c r="KVW43" s="15"/>
      <c r="KVX43" s="14"/>
      <c r="KVY43" s="10"/>
      <c r="KVZ43" s="15"/>
      <c r="KWA43" s="15"/>
      <c r="KWB43" s="14"/>
      <c r="KWC43" s="15"/>
      <c r="KWD43" s="15"/>
      <c r="KWE43" s="15"/>
      <c r="KWF43" s="14"/>
      <c r="KWG43" s="15"/>
      <c r="KWH43" s="15"/>
      <c r="KWI43" s="15"/>
      <c r="KWJ43" s="14"/>
      <c r="KWK43" s="15"/>
      <c r="KWL43" s="15"/>
      <c r="KWM43" s="15"/>
      <c r="KWN43" s="14"/>
      <c r="KWO43" s="10"/>
      <c r="KWP43" s="15"/>
      <c r="KWQ43" s="15"/>
      <c r="KWR43" s="14"/>
      <c r="KWS43" s="15"/>
      <c r="KWT43" s="15"/>
      <c r="KWU43" s="15"/>
      <c r="KWV43" s="14"/>
      <c r="KWW43" s="15"/>
      <c r="KWX43" s="15"/>
      <c r="KWY43" s="15"/>
      <c r="KWZ43" s="14"/>
      <c r="KXA43" s="15"/>
      <c r="KXB43" s="15"/>
      <c r="KXC43" s="15"/>
      <c r="KXD43" s="14"/>
      <c r="KXE43" s="10"/>
      <c r="KXF43" s="15"/>
      <c r="KXG43" s="15"/>
      <c r="KXH43" s="14"/>
      <c r="KXI43" s="15"/>
      <c r="KXJ43" s="15"/>
      <c r="KXK43" s="15"/>
      <c r="KXL43" s="14"/>
      <c r="KXM43" s="15"/>
      <c r="KXN43" s="15"/>
      <c r="KXO43" s="15"/>
      <c r="KXP43" s="14"/>
      <c r="KXQ43" s="15"/>
      <c r="KXR43" s="15"/>
      <c r="KXS43" s="15"/>
      <c r="KXT43" s="14"/>
      <c r="KXU43" s="10"/>
      <c r="KXV43" s="15"/>
      <c r="KXW43" s="15"/>
      <c r="KXX43" s="14"/>
      <c r="KXY43" s="15"/>
      <c r="KXZ43" s="15"/>
      <c r="KYA43" s="15"/>
      <c r="KYB43" s="14"/>
      <c r="KYC43" s="15"/>
      <c r="KYD43" s="15"/>
      <c r="KYE43" s="15"/>
      <c r="KYF43" s="14"/>
      <c r="KYG43" s="15"/>
      <c r="KYH43" s="15"/>
      <c r="KYI43" s="15"/>
      <c r="KYJ43" s="14"/>
      <c r="KYK43" s="10"/>
      <c r="KYL43" s="15"/>
      <c r="KYM43" s="15"/>
      <c r="KYN43" s="14"/>
      <c r="KYO43" s="15"/>
      <c r="KYP43" s="15"/>
      <c r="KYQ43" s="15"/>
      <c r="KYR43" s="14"/>
      <c r="KYS43" s="15"/>
      <c r="KYT43" s="15"/>
      <c r="KYU43" s="15"/>
      <c r="KYV43" s="14"/>
      <c r="KYW43" s="15"/>
      <c r="KYX43" s="15"/>
      <c r="KYY43" s="15"/>
      <c r="KYZ43" s="14"/>
      <c r="KZA43" s="10"/>
      <c r="KZB43" s="15"/>
      <c r="KZC43" s="15"/>
      <c r="KZD43" s="14"/>
      <c r="KZE43" s="15"/>
      <c r="KZF43" s="15"/>
      <c r="KZG43" s="15"/>
      <c r="KZH43" s="14"/>
      <c r="KZI43" s="15"/>
      <c r="KZJ43" s="15"/>
      <c r="KZK43" s="15"/>
      <c r="KZL43" s="14"/>
      <c r="KZM43" s="15"/>
      <c r="KZN43" s="15"/>
      <c r="KZO43" s="15"/>
      <c r="KZP43" s="14"/>
      <c r="KZQ43" s="10"/>
      <c r="KZR43" s="15"/>
      <c r="KZS43" s="15"/>
      <c r="KZT43" s="14"/>
      <c r="KZU43" s="15"/>
      <c r="KZV43" s="15"/>
      <c r="KZW43" s="15"/>
      <c r="KZX43" s="14"/>
      <c r="KZY43" s="15"/>
      <c r="KZZ43" s="15"/>
      <c r="LAA43" s="15"/>
      <c r="LAB43" s="14"/>
      <c r="LAC43" s="15"/>
      <c r="LAD43" s="15"/>
      <c r="LAE43" s="15"/>
      <c r="LAF43" s="14"/>
      <c r="LAG43" s="10"/>
      <c r="LAH43" s="15"/>
      <c r="LAI43" s="15"/>
      <c r="LAJ43" s="14"/>
      <c r="LAK43" s="15"/>
      <c r="LAL43" s="15"/>
      <c r="LAM43" s="15"/>
      <c r="LAN43" s="14"/>
      <c r="LAO43" s="15"/>
      <c r="LAP43" s="15"/>
      <c r="LAQ43" s="15"/>
      <c r="LAR43" s="14"/>
      <c r="LAS43" s="15"/>
      <c r="LAT43" s="15"/>
      <c r="LAU43" s="15"/>
      <c r="LAV43" s="14"/>
      <c r="LAW43" s="10"/>
      <c r="LAX43" s="15"/>
      <c r="LAY43" s="15"/>
      <c r="LAZ43" s="14"/>
      <c r="LBA43" s="15"/>
      <c r="LBB43" s="15"/>
      <c r="LBC43" s="15"/>
      <c r="LBD43" s="14"/>
      <c r="LBE43" s="15"/>
      <c r="LBF43" s="15"/>
      <c r="LBG43" s="15"/>
      <c r="LBH43" s="14"/>
      <c r="LBI43" s="15"/>
      <c r="LBJ43" s="15"/>
      <c r="LBK43" s="15"/>
      <c r="LBL43" s="14"/>
      <c r="LBM43" s="10"/>
      <c r="LBN43" s="15"/>
      <c r="LBO43" s="15"/>
      <c r="LBP43" s="14"/>
      <c r="LBQ43" s="15"/>
      <c r="LBR43" s="15"/>
      <c r="LBS43" s="15"/>
      <c r="LBT43" s="14"/>
      <c r="LBU43" s="15"/>
      <c r="LBV43" s="15"/>
      <c r="LBW43" s="15"/>
      <c r="LBX43" s="14"/>
      <c r="LBY43" s="15"/>
      <c r="LBZ43" s="15"/>
      <c r="LCA43" s="15"/>
      <c r="LCB43" s="14"/>
      <c r="LCC43" s="10"/>
      <c r="LCD43" s="15"/>
      <c r="LCE43" s="15"/>
      <c r="LCF43" s="14"/>
      <c r="LCG43" s="15"/>
      <c r="LCH43" s="15"/>
      <c r="LCI43" s="15"/>
      <c r="LCJ43" s="14"/>
      <c r="LCK43" s="15"/>
      <c r="LCL43" s="15"/>
      <c r="LCM43" s="15"/>
      <c r="LCN43" s="14"/>
      <c r="LCO43" s="15"/>
      <c r="LCP43" s="15"/>
      <c r="LCQ43" s="15"/>
      <c r="LCR43" s="14"/>
      <c r="LCS43" s="10"/>
      <c r="LCT43" s="15"/>
      <c r="LCU43" s="15"/>
      <c r="LCV43" s="14"/>
      <c r="LCW43" s="15"/>
      <c r="LCX43" s="15"/>
      <c r="LCY43" s="15"/>
      <c r="LCZ43" s="14"/>
      <c r="LDA43" s="15"/>
      <c r="LDB43" s="15"/>
      <c r="LDC43" s="15"/>
      <c r="LDD43" s="14"/>
      <c r="LDE43" s="15"/>
      <c r="LDF43" s="15"/>
      <c r="LDG43" s="15"/>
      <c r="LDH43" s="14"/>
      <c r="LDI43" s="10"/>
      <c r="LDJ43" s="15"/>
      <c r="LDK43" s="15"/>
      <c r="LDL43" s="14"/>
      <c r="LDM43" s="15"/>
      <c r="LDN43" s="15"/>
      <c r="LDO43" s="15"/>
      <c r="LDP43" s="14"/>
      <c r="LDQ43" s="15"/>
      <c r="LDR43" s="15"/>
      <c r="LDS43" s="15"/>
      <c r="LDT43" s="14"/>
      <c r="LDU43" s="15"/>
      <c r="LDV43" s="15"/>
      <c r="LDW43" s="15"/>
      <c r="LDX43" s="14"/>
      <c r="LDY43" s="10"/>
      <c r="LDZ43" s="15"/>
      <c r="LEA43" s="15"/>
      <c r="LEB43" s="14"/>
      <c r="LEC43" s="15"/>
      <c r="LED43" s="15"/>
      <c r="LEE43" s="15"/>
      <c r="LEF43" s="14"/>
      <c r="LEG43" s="15"/>
      <c r="LEH43" s="15"/>
      <c r="LEI43" s="15"/>
      <c r="LEJ43" s="14"/>
      <c r="LEK43" s="15"/>
      <c r="LEL43" s="15"/>
      <c r="LEM43" s="15"/>
      <c r="LEN43" s="14"/>
      <c r="LEO43" s="10"/>
      <c r="LEP43" s="15"/>
      <c r="LEQ43" s="15"/>
      <c r="LER43" s="14"/>
      <c r="LES43" s="15"/>
      <c r="LET43" s="15"/>
      <c r="LEU43" s="15"/>
      <c r="LEV43" s="14"/>
      <c r="LEW43" s="15"/>
      <c r="LEX43" s="15"/>
      <c r="LEY43" s="15"/>
      <c r="LEZ43" s="14"/>
      <c r="LFA43" s="15"/>
      <c r="LFB43" s="15"/>
      <c r="LFC43" s="15"/>
      <c r="LFD43" s="14"/>
      <c r="LFE43" s="10"/>
      <c r="LFF43" s="15"/>
      <c r="LFG43" s="15"/>
      <c r="LFH43" s="14"/>
      <c r="LFI43" s="15"/>
      <c r="LFJ43" s="15"/>
      <c r="LFK43" s="15"/>
      <c r="LFL43" s="14"/>
      <c r="LFM43" s="15"/>
      <c r="LFN43" s="15"/>
      <c r="LFO43" s="15"/>
      <c r="LFP43" s="14"/>
      <c r="LFQ43" s="15"/>
      <c r="LFR43" s="15"/>
      <c r="LFS43" s="15"/>
      <c r="LFT43" s="14"/>
      <c r="LFU43" s="10"/>
      <c r="LFV43" s="15"/>
      <c r="LFW43" s="15"/>
      <c r="LFX43" s="14"/>
      <c r="LFY43" s="15"/>
      <c r="LFZ43" s="15"/>
      <c r="LGA43" s="15"/>
      <c r="LGB43" s="14"/>
      <c r="LGC43" s="15"/>
      <c r="LGD43" s="15"/>
      <c r="LGE43" s="15"/>
      <c r="LGF43" s="14"/>
      <c r="LGG43" s="15"/>
      <c r="LGH43" s="15"/>
      <c r="LGI43" s="15"/>
      <c r="LGJ43" s="14"/>
      <c r="LGK43" s="10"/>
      <c r="LGL43" s="15"/>
      <c r="LGM43" s="15"/>
      <c r="LGN43" s="14"/>
      <c r="LGO43" s="15"/>
      <c r="LGP43" s="15"/>
      <c r="LGQ43" s="15"/>
      <c r="LGR43" s="14"/>
      <c r="LGS43" s="15"/>
      <c r="LGT43" s="15"/>
      <c r="LGU43" s="15"/>
      <c r="LGV43" s="14"/>
      <c r="LGW43" s="15"/>
      <c r="LGX43" s="15"/>
      <c r="LGY43" s="15"/>
      <c r="LGZ43" s="14"/>
      <c r="LHA43" s="10"/>
      <c r="LHB43" s="15"/>
      <c r="LHC43" s="15"/>
      <c r="LHD43" s="14"/>
      <c r="LHE43" s="15"/>
      <c r="LHF43" s="15"/>
      <c r="LHG43" s="15"/>
      <c r="LHH43" s="14"/>
      <c r="LHI43" s="15"/>
      <c r="LHJ43" s="15"/>
      <c r="LHK43" s="15"/>
      <c r="LHL43" s="14"/>
      <c r="LHM43" s="15"/>
      <c r="LHN43" s="15"/>
      <c r="LHO43" s="15"/>
      <c r="LHP43" s="14"/>
      <c r="LHQ43" s="10"/>
      <c r="LHR43" s="15"/>
      <c r="LHS43" s="15"/>
      <c r="LHT43" s="14"/>
      <c r="LHU43" s="15"/>
      <c r="LHV43" s="15"/>
      <c r="LHW43" s="15"/>
      <c r="LHX43" s="14"/>
      <c r="LHY43" s="15"/>
      <c r="LHZ43" s="15"/>
      <c r="LIA43" s="15"/>
      <c r="LIB43" s="14"/>
      <c r="LIC43" s="15"/>
      <c r="LID43" s="15"/>
      <c r="LIE43" s="15"/>
      <c r="LIF43" s="14"/>
      <c r="LIG43" s="10"/>
      <c r="LIH43" s="15"/>
      <c r="LII43" s="15"/>
      <c r="LIJ43" s="14"/>
      <c r="LIK43" s="15"/>
      <c r="LIL43" s="15"/>
      <c r="LIM43" s="15"/>
      <c r="LIN43" s="14"/>
      <c r="LIO43" s="15"/>
      <c r="LIP43" s="15"/>
      <c r="LIQ43" s="15"/>
      <c r="LIR43" s="14"/>
      <c r="LIS43" s="15"/>
      <c r="LIT43" s="15"/>
      <c r="LIU43" s="15"/>
      <c r="LIV43" s="14"/>
      <c r="LIW43" s="10"/>
      <c r="LIX43" s="15"/>
      <c r="LIY43" s="15"/>
      <c r="LIZ43" s="14"/>
      <c r="LJA43" s="15"/>
      <c r="LJB43" s="15"/>
      <c r="LJC43" s="15"/>
      <c r="LJD43" s="14"/>
      <c r="LJE43" s="15"/>
      <c r="LJF43" s="15"/>
      <c r="LJG43" s="15"/>
      <c r="LJH43" s="14"/>
      <c r="LJI43" s="15"/>
      <c r="LJJ43" s="15"/>
      <c r="LJK43" s="15"/>
      <c r="LJL43" s="14"/>
      <c r="LJM43" s="10"/>
      <c r="LJN43" s="15"/>
      <c r="LJO43" s="15"/>
      <c r="LJP43" s="14"/>
      <c r="LJQ43" s="15"/>
      <c r="LJR43" s="15"/>
      <c r="LJS43" s="15"/>
      <c r="LJT43" s="14"/>
      <c r="LJU43" s="15"/>
      <c r="LJV43" s="15"/>
      <c r="LJW43" s="15"/>
      <c r="LJX43" s="14"/>
      <c r="LJY43" s="15"/>
      <c r="LJZ43" s="15"/>
      <c r="LKA43" s="15"/>
      <c r="LKB43" s="14"/>
      <c r="LKC43" s="10"/>
      <c r="LKD43" s="15"/>
      <c r="LKE43" s="15"/>
      <c r="LKF43" s="14"/>
      <c r="LKG43" s="15"/>
      <c r="LKH43" s="15"/>
      <c r="LKI43" s="15"/>
      <c r="LKJ43" s="14"/>
      <c r="LKK43" s="15"/>
      <c r="LKL43" s="15"/>
      <c r="LKM43" s="15"/>
      <c r="LKN43" s="14"/>
      <c r="LKO43" s="15"/>
      <c r="LKP43" s="15"/>
      <c r="LKQ43" s="15"/>
      <c r="LKR43" s="14"/>
      <c r="LKS43" s="10"/>
      <c r="LKT43" s="15"/>
      <c r="LKU43" s="15"/>
      <c r="LKV43" s="14"/>
      <c r="LKW43" s="15"/>
      <c r="LKX43" s="15"/>
      <c r="LKY43" s="15"/>
      <c r="LKZ43" s="14"/>
      <c r="LLA43" s="15"/>
      <c r="LLB43" s="15"/>
      <c r="LLC43" s="15"/>
      <c r="LLD43" s="14"/>
      <c r="LLE43" s="15"/>
      <c r="LLF43" s="15"/>
      <c r="LLG43" s="15"/>
      <c r="LLH43" s="14"/>
      <c r="LLI43" s="10"/>
      <c r="LLJ43" s="15"/>
      <c r="LLK43" s="15"/>
      <c r="LLL43" s="14"/>
      <c r="LLM43" s="15"/>
      <c r="LLN43" s="15"/>
      <c r="LLO43" s="15"/>
      <c r="LLP43" s="14"/>
      <c r="LLQ43" s="15"/>
      <c r="LLR43" s="15"/>
      <c r="LLS43" s="15"/>
      <c r="LLT43" s="14"/>
      <c r="LLU43" s="15"/>
      <c r="LLV43" s="15"/>
      <c r="LLW43" s="15"/>
      <c r="LLX43" s="14"/>
      <c r="LLY43" s="10"/>
      <c r="LLZ43" s="15"/>
      <c r="LMA43" s="15"/>
      <c r="LMB43" s="14"/>
      <c r="LMC43" s="15"/>
      <c r="LMD43" s="15"/>
      <c r="LME43" s="15"/>
      <c r="LMF43" s="14"/>
      <c r="LMG43" s="15"/>
      <c r="LMH43" s="15"/>
      <c r="LMI43" s="15"/>
      <c r="LMJ43" s="14"/>
      <c r="LMK43" s="15"/>
      <c r="LML43" s="15"/>
      <c r="LMM43" s="15"/>
      <c r="LMN43" s="14"/>
      <c r="LMO43" s="10"/>
      <c r="LMP43" s="15"/>
      <c r="LMQ43" s="15"/>
      <c r="LMR43" s="14"/>
      <c r="LMS43" s="15"/>
      <c r="LMT43" s="15"/>
      <c r="LMU43" s="15"/>
      <c r="LMV43" s="14"/>
      <c r="LMW43" s="15"/>
      <c r="LMX43" s="15"/>
      <c r="LMY43" s="15"/>
      <c r="LMZ43" s="14"/>
      <c r="LNA43" s="15"/>
      <c r="LNB43" s="15"/>
      <c r="LNC43" s="15"/>
      <c r="LND43" s="14"/>
      <c r="LNE43" s="10"/>
      <c r="LNF43" s="15"/>
      <c r="LNG43" s="15"/>
      <c r="LNH43" s="14"/>
      <c r="LNI43" s="15"/>
      <c r="LNJ43" s="15"/>
      <c r="LNK43" s="15"/>
      <c r="LNL43" s="14"/>
      <c r="LNM43" s="15"/>
      <c r="LNN43" s="15"/>
      <c r="LNO43" s="15"/>
      <c r="LNP43" s="14"/>
      <c r="LNQ43" s="15"/>
      <c r="LNR43" s="15"/>
      <c r="LNS43" s="15"/>
      <c r="LNT43" s="14"/>
      <c r="LNU43" s="10"/>
      <c r="LNV43" s="15"/>
      <c r="LNW43" s="15"/>
      <c r="LNX43" s="14"/>
      <c r="LNY43" s="15"/>
      <c r="LNZ43" s="15"/>
      <c r="LOA43" s="15"/>
      <c r="LOB43" s="14"/>
      <c r="LOC43" s="15"/>
      <c r="LOD43" s="15"/>
      <c r="LOE43" s="15"/>
      <c r="LOF43" s="14"/>
      <c r="LOG43" s="15"/>
      <c r="LOH43" s="15"/>
      <c r="LOI43" s="15"/>
      <c r="LOJ43" s="14"/>
      <c r="LOK43" s="10"/>
      <c r="LOL43" s="15"/>
      <c r="LOM43" s="15"/>
      <c r="LON43" s="14"/>
      <c r="LOO43" s="15"/>
      <c r="LOP43" s="15"/>
      <c r="LOQ43" s="15"/>
      <c r="LOR43" s="14"/>
      <c r="LOS43" s="15"/>
      <c r="LOT43" s="15"/>
      <c r="LOU43" s="15"/>
      <c r="LOV43" s="14"/>
      <c r="LOW43" s="15"/>
      <c r="LOX43" s="15"/>
      <c r="LOY43" s="15"/>
      <c r="LOZ43" s="14"/>
      <c r="LPA43" s="10"/>
      <c r="LPB43" s="15"/>
      <c r="LPC43" s="15"/>
      <c r="LPD43" s="14"/>
      <c r="LPE43" s="15"/>
      <c r="LPF43" s="15"/>
      <c r="LPG43" s="15"/>
      <c r="LPH43" s="14"/>
      <c r="LPI43" s="15"/>
      <c r="LPJ43" s="15"/>
      <c r="LPK43" s="15"/>
      <c r="LPL43" s="14"/>
      <c r="LPM43" s="15"/>
      <c r="LPN43" s="15"/>
      <c r="LPO43" s="15"/>
      <c r="LPP43" s="14"/>
      <c r="LPQ43" s="10"/>
      <c r="LPR43" s="15"/>
      <c r="LPS43" s="15"/>
      <c r="LPT43" s="14"/>
      <c r="LPU43" s="15"/>
      <c r="LPV43" s="15"/>
      <c r="LPW43" s="15"/>
      <c r="LPX43" s="14"/>
      <c r="LPY43" s="15"/>
      <c r="LPZ43" s="15"/>
      <c r="LQA43" s="15"/>
      <c r="LQB43" s="14"/>
      <c r="LQC43" s="15"/>
      <c r="LQD43" s="15"/>
      <c r="LQE43" s="15"/>
      <c r="LQF43" s="14"/>
      <c r="LQG43" s="10"/>
      <c r="LQH43" s="15"/>
      <c r="LQI43" s="15"/>
      <c r="LQJ43" s="14"/>
      <c r="LQK43" s="15"/>
      <c r="LQL43" s="15"/>
      <c r="LQM43" s="15"/>
      <c r="LQN43" s="14"/>
      <c r="LQO43" s="15"/>
      <c r="LQP43" s="15"/>
      <c r="LQQ43" s="15"/>
      <c r="LQR43" s="14"/>
      <c r="LQS43" s="15"/>
      <c r="LQT43" s="15"/>
      <c r="LQU43" s="15"/>
      <c r="LQV43" s="14"/>
      <c r="LQW43" s="10"/>
      <c r="LQX43" s="15"/>
      <c r="LQY43" s="15"/>
      <c r="LQZ43" s="14"/>
      <c r="LRA43" s="15"/>
      <c r="LRB43" s="15"/>
      <c r="LRC43" s="15"/>
      <c r="LRD43" s="14"/>
      <c r="LRE43" s="15"/>
      <c r="LRF43" s="15"/>
      <c r="LRG43" s="15"/>
      <c r="LRH43" s="14"/>
      <c r="LRI43" s="15"/>
      <c r="LRJ43" s="15"/>
      <c r="LRK43" s="15"/>
      <c r="LRL43" s="14"/>
      <c r="LRM43" s="10"/>
      <c r="LRN43" s="15"/>
      <c r="LRO43" s="15"/>
      <c r="LRP43" s="14"/>
      <c r="LRQ43" s="15"/>
      <c r="LRR43" s="15"/>
      <c r="LRS43" s="15"/>
      <c r="LRT43" s="14"/>
      <c r="LRU43" s="15"/>
      <c r="LRV43" s="15"/>
      <c r="LRW43" s="15"/>
      <c r="LRX43" s="14"/>
      <c r="LRY43" s="15"/>
      <c r="LRZ43" s="15"/>
      <c r="LSA43" s="15"/>
      <c r="LSB43" s="14"/>
      <c r="LSC43" s="10"/>
      <c r="LSD43" s="15"/>
      <c r="LSE43" s="15"/>
      <c r="LSF43" s="14"/>
      <c r="LSG43" s="15"/>
      <c r="LSH43" s="15"/>
      <c r="LSI43" s="15"/>
      <c r="LSJ43" s="14"/>
      <c r="LSK43" s="15"/>
      <c r="LSL43" s="15"/>
      <c r="LSM43" s="15"/>
      <c r="LSN43" s="14"/>
      <c r="LSO43" s="15"/>
      <c r="LSP43" s="15"/>
      <c r="LSQ43" s="15"/>
      <c r="LSR43" s="14"/>
      <c r="LSS43" s="10"/>
      <c r="LST43" s="15"/>
      <c r="LSU43" s="15"/>
      <c r="LSV43" s="14"/>
      <c r="LSW43" s="15"/>
      <c r="LSX43" s="15"/>
      <c r="LSY43" s="15"/>
      <c r="LSZ43" s="14"/>
      <c r="LTA43" s="15"/>
      <c r="LTB43" s="15"/>
      <c r="LTC43" s="15"/>
      <c r="LTD43" s="14"/>
      <c r="LTE43" s="15"/>
      <c r="LTF43" s="15"/>
      <c r="LTG43" s="15"/>
      <c r="LTH43" s="14"/>
      <c r="LTI43" s="10"/>
      <c r="LTJ43" s="15"/>
      <c r="LTK43" s="15"/>
      <c r="LTL43" s="14"/>
      <c r="LTM43" s="15"/>
      <c r="LTN43" s="15"/>
      <c r="LTO43" s="15"/>
      <c r="LTP43" s="14"/>
      <c r="LTQ43" s="15"/>
      <c r="LTR43" s="15"/>
      <c r="LTS43" s="15"/>
      <c r="LTT43" s="14"/>
      <c r="LTU43" s="15"/>
      <c r="LTV43" s="15"/>
      <c r="LTW43" s="15"/>
      <c r="LTX43" s="14"/>
      <c r="LTY43" s="10"/>
      <c r="LTZ43" s="15"/>
      <c r="LUA43" s="15"/>
      <c r="LUB43" s="14"/>
      <c r="LUC43" s="15"/>
      <c r="LUD43" s="15"/>
      <c r="LUE43" s="15"/>
      <c r="LUF43" s="14"/>
      <c r="LUG43" s="15"/>
      <c r="LUH43" s="15"/>
      <c r="LUI43" s="15"/>
      <c r="LUJ43" s="14"/>
      <c r="LUK43" s="15"/>
      <c r="LUL43" s="15"/>
      <c r="LUM43" s="15"/>
      <c r="LUN43" s="14"/>
      <c r="LUO43" s="10"/>
      <c r="LUP43" s="15"/>
      <c r="LUQ43" s="15"/>
      <c r="LUR43" s="14"/>
      <c r="LUS43" s="15"/>
      <c r="LUT43" s="15"/>
      <c r="LUU43" s="15"/>
      <c r="LUV43" s="14"/>
      <c r="LUW43" s="15"/>
      <c r="LUX43" s="15"/>
      <c r="LUY43" s="15"/>
      <c r="LUZ43" s="14"/>
      <c r="LVA43" s="15"/>
      <c r="LVB43" s="15"/>
      <c r="LVC43" s="15"/>
      <c r="LVD43" s="14"/>
      <c r="LVE43" s="10"/>
      <c r="LVF43" s="15"/>
      <c r="LVG43" s="15"/>
      <c r="LVH43" s="14"/>
      <c r="LVI43" s="15"/>
      <c r="LVJ43" s="15"/>
      <c r="LVK43" s="15"/>
      <c r="LVL43" s="14"/>
      <c r="LVM43" s="15"/>
      <c r="LVN43" s="15"/>
      <c r="LVO43" s="15"/>
      <c r="LVP43" s="14"/>
      <c r="LVQ43" s="15"/>
      <c r="LVR43" s="15"/>
      <c r="LVS43" s="15"/>
      <c r="LVT43" s="14"/>
      <c r="LVU43" s="10"/>
      <c r="LVV43" s="15"/>
      <c r="LVW43" s="15"/>
      <c r="LVX43" s="14"/>
      <c r="LVY43" s="15"/>
      <c r="LVZ43" s="15"/>
      <c r="LWA43" s="15"/>
      <c r="LWB43" s="14"/>
      <c r="LWC43" s="15"/>
      <c r="LWD43" s="15"/>
      <c r="LWE43" s="15"/>
      <c r="LWF43" s="14"/>
      <c r="LWG43" s="15"/>
      <c r="LWH43" s="15"/>
      <c r="LWI43" s="15"/>
      <c r="LWJ43" s="14"/>
      <c r="LWK43" s="10"/>
      <c r="LWL43" s="15"/>
      <c r="LWM43" s="15"/>
      <c r="LWN43" s="14"/>
      <c r="LWO43" s="15"/>
      <c r="LWP43" s="15"/>
      <c r="LWQ43" s="15"/>
      <c r="LWR43" s="14"/>
      <c r="LWS43" s="15"/>
      <c r="LWT43" s="15"/>
      <c r="LWU43" s="15"/>
      <c r="LWV43" s="14"/>
      <c r="LWW43" s="15"/>
      <c r="LWX43" s="15"/>
      <c r="LWY43" s="15"/>
      <c r="LWZ43" s="14"/>
      <c r="LXA43" s="10"/>
      <c r="LXB43" s="15"/>
      <c r="LXC43" s="15"/>
      <c r="LXD43" s="14"/>
      <c r="LXE43" s="15"/>
      <c r="LXF43" s="15"/>
      <c r="LXG43" s="15"/>
      <c r="LXH43" s="14"/>
      <c r="LXI43" s="15"/>
      <c r="LXJ43" s="15"/>
      <c r="LXK43" s="15"/>
      <c r="LXL43" s="14"/>
      <c r="LXM43" s="15"/>
      <c r="LXN43" s="15"/>
      <c r="LXO43" s="15"/>
      <c r="LXP43" s="14"/>
      <c r="LXQ43" s="10"/>
      <c r="LXR43" s="15"/>
      <c r="LXS43" s="15"/>
      <c r="LXT43" s="14"/>
      <c r="LXU43" s="15"/>
      <c r="LXV43" s="15"/>
      <c r="LXW43" s="15"/>
      <c r="LXX43" s="14"/>
      <c r="LXY43" s="15"/>
      <c r="LXZ43" s="15"/>
      <c r="LYA43" s="15"/>
      <c r="LYB43" s="14"/>
      <c r="LYC43" s="15"/>
      <c r="LYD43" s="15"/>
      <c r="LYE43" s="15"/>
      <c r="LYF43" s="14"/>
      <c r="LYG43" s="10"/>
      <c r="LYH43" s="15"/>
      <c r="LYI43" s="15"/>
      <c r="LYJ43" s="14"/>
      <c r="LYK43" s="15"/>
      <c r="LYL43" s="15"/>
      <c r="LYM43" s="15"/>
      <c r="LYN43" s="14"/>
      <c r="LYO43" s="15"/>
      <c r="LYP43" s="15"/>
      <c r="LYQ43" s="15"/>
      <c r="LYR43" s="14"/>
      <c r="LYS43" s="15"/>
      <c r="LYT43" s="15"/>
      <c r="LYU43" s="15"/>
      <c r="LYV43" s="14"/>
      <c r="LYW43" s="10"/>
      <c r="LYX43" s="15"/>
      <c r="LYY43" s="15"/>
      <c r="LYZ43" s="14"/>
      <c r="LZA43" s="15"/>
      <c r="LZB43" s="15"/>
      <c r="LZC43" s="15"/>
      <c r="LZD43" s="14"/>
      <c r="LZE43" s="15"/>
      <c r="LZF43" s="15"/>
      <c r="LZG43" s="15"/>
      <c r="LZH43" s="14"/>
      <c r="LZI43" s="15"/>
      <c r="LZJ43" s="15"/>
      <c r="LZK43" s="15"/>
      <c r="LZL43" s="14"/>
      <c r="LZM43" s="10"/>
      <c r="LZN43" s="15"/>
      <c r="LZO43" s="15"/>
      <c r="LZP43" s="14"/>
      <c r="LZQ43" s="15"/>
      <c r="LZR43" s="15"/>
      <c r="LZS43" s="15"/>
      <c r="LZT43" s="14"/>
      <c r="LZU43" s="15"/>
      <c r="LZV43" s="15"/>
      <c r="LZW43" s="15"/>
      <c r="LZX43" s="14"/>
      <c r="LZY43" s="15"/>
      <c r="LZZ43" s="15"/>
      <c r="MAA43" s="15"/>
      <c r="MAB43" s="14"/>
      <c r="MAC43" s="10"/>
      <c r="MAD43" s="15"/>
      <c r="MAE43" s="15"/>
      <c r="MAF43" s="14"/>
      <c r="MAG43" s="15"/>
      <c r="MAH43" s="15"/>
      <c r="MAI43" s="15"/>
      <c r="MAJ43" s="14"/>
      <c r="MAK43" s="15"/>
      <c r="MAL43" s="15"/>
      <c r="MAM43" s="15"/>
      <c r="MAN43" s="14"/>
      <c r="MAO43" s="15"/>
      <c r="MAP43" s="15"/>
      <c r="MAQ43" s="15"/>
      <c r="MAR43" s="14"/>
      <c r="MAS43" s="10"/>
      <c r="MAT43" s="15"/>
      <c r="MAU43" s="15"/>
      <c r="MAV43" s="14"/>
      <c r="MAW43" s="15"/>
      <c r="MAX43" s="15"/>
      <c r="MAY43" s="15"/>
      <c r="MAZ43" s="14"/>
      <c r="MBA43" s="15"/>
      <c r="MBB43" s="15"/>
      <c r="MBC43" s="15"/>
      <c r="MBD43" s="14"/>
      <c r="MBE43" s="15"/>
      <c r="MBF43" s="15"/>
      <c r="MBG43" s="15"/>
      <c r="MBH43" s="14"/>
      <c r="MBI43" s="10"/>
      <c r="MBJ43" s="15"/>
      <c r="MBK43" s="15"/>
      <c r="MBL43" s="14"/>
      <c r="MBM43" s="15"/>
      <c r="MBN43" s="15"/>
      <c r="MBO43" s="15"/>
      <c r="MBP43" s="14"/>
      <c r="MBQ43" s="15"/>
      <c r="MBR43" s="15"/>
      <c r="MBS43" s="15"/>
      <c r="MBT43" s="14"/>
      <c r="MBU43" s="15"/>
      <c r="MBV43" s="15"/>
      <c r="MBW43" s="15"/>
      <c r="MBX43" s="14"/>
      <c r="MBY43" s="10"/>
      <c r="MBZ43" s="15"/>
      <c r="MCA43" s="15"/>
      <c r="MCB43" s="14"/>
      <c r="MCC43" s="15"/>
      <c r="MCD43" s="15"/>
      <c r="MCE43" s="15"/>
      <c r="MCF43" s="14"/>
      <c r="MCG43" s="15"/>
      <c r="MCH43" s="15"/>
      <c r="MCI43" s="15"/>
      <c r="MCJ43" s="14"/>
      <c r="MCK43" s="15"/>
      <c r="MCL43" s="15"/>
      <c r="MCM43" s="15"/>
      <c r="MCN43" s="14"/>
      <c r="MCO43" s="10"/>
      <c r="MCP43" s="15"/>
      <c r="MCQ43" s="15"/>
      <c r="MCR43" s="14"/>
      <c r="MCS43" s="15"/>
      <c r="MCT43" s="15"/>
      <c r="MCU43" s="15"/>
      <c r="MCV43" s="14"/>
      <c r="MCW43" s="15"/>
      <c r="MCX43" s="15"/>
      <c r="MCY43" s="15"/>
      <c r="MCZ43" s="14"/>
      <c r="MDA43" s="15"/>
      <c r="MDB43" s="15"/>
      <c r="MDC43" s="15"/>
      <c r="MDD43" s="14"/>
      <c r="MDE43" s="10"/>
      <c r="MDF43" s="15"/>
      <c r="MDG43" s="15"/>
      <c r="MDH43" s="14"/>
      <c r="MDI43" s="15"/>
      <c r="MDJ43" s="15"/>
      <c r="MDK43" s="15"/>
      <c r="MDL43" s="14"/>
      <c r="MDM43" s="15"/>
      <c r="MDN43" s="15"/>
      <c r="MDO43" s="15"/>
      <c r="MDP43" s="14"/>
      <c r="MDQ43" s="15"/>
      <c r="MDR43" s="15"/>
      <c r="MDS43" s="15"/>
      <c r="MDT43" s="14"/>
      <c r="MDU43" s="10"/>
      <c r="MDV43" s="15"/>
      <c r="MDW43" s="15"/>
      <c r="MDX43" s="14"/>
      <c r="MDY43" s="15"/>
      <c r="MDZ43" s="15"/>
      <c r="MEA43" s="15"/>
      <c r="MEB43" s="14"/>
      <c r="MEC43" s="15"/>
      <c r="MED43" s="15"/>
      <c r="MEE43" s="15"/>
      <c r="MEF43" s="14"/>
      <c r="MEG43" s="15"/>
      <c r="MEH43" s="15"/>
      <c r="MEI43" s="15"/>
      <c r="MEJ43" s="14"/>
      <c r="MEK43" s="10"/>
      <c r="MEL43" s="15"/>
      <c r="MEM43" s="15"/>
      <c r="MEN43" s="14"/>
      <c r="MEO43" s="15"/>
      <c r="MEP43" s="15"/>
      <c r="MEQ43" s="15"/>
      <c r="MER43" s="14"/>
      <c r="MES43" s="15"/>
      <c r="MET43" s="15"/>
      <c r="MEU43" s="15"/>
      <c r="MEV43" s="14"/>
      <c r="MEW43" s="15"/>
      <c r="MEX43" s="15"/>
      <c r="MEY43" s="15"/>
      <c r="MEZ43" s="14"/>
      <c r="MFA43" s="10"/>
      <c r="MFB43" s="15"/>
      <c r="MFC43" s="15"/>
      <c r="MFD43" s="14"/>
      <c r="MFE43" s="15"/>
      <c r="MFF43" s="15"/>
      <c r="MFG43" s="15"/>
      <c r="MFH43" s="14"/>
      <c r="MFI43" s="15"/>
      <c r="MFJ43" s="15"/>
      <c r="MFK43" s="15"/>
      <c r="MFL43" s="14"/>
      <c r="MFM43" s="15"/>
      <c r="MFN43" s="15"/>
      <c r="MFO43" s="15"/>
      <c r="MFP43" s="14"/>
      <c r="MFQ43" s="10"/>
      <c r="MFR43" s="15"/>
      <c r="MFS43" s="15"/>
      <c r="MFT43" s="14"/>
      <c r="MFU43" s="15"/>
      <c r="MFV43" s="15"/>
      <c r="MFW43" s="15"/>
      <c r="MFX43" s="14"/>
      <c r="MFY43" s="15"/>
      <c r="MFZ43" s="15"/>
      <c r="MGA43" s="15"/>
      <c r="MGB43" s="14"/>
      <c r="MGC43" s="15"/>
      <c r="MGD43" s="15"/>
      <c r="MGE43" s="15"/>
      <c r="MGF43" s="14"/>
      <c r="MGG43" s="10"/>
      <c r="MGH43" s="15"/>
      <c r="MGI43" s="15"/>
      <c r="MGJ43" s="14"/>
      <c r="MGK43" s="15"/>
      <c r="MGL43" s="15"/>
      <c r="MGM43" s="15"/>
      <c r="MGN43" s="14"/>
      <c r="MGO43" s="15"/>
      <c r="MGP43" s="15"/>
      <c r="MGQ43" s="15"/>
      <c r="MGR43" s="14"/>
      <c r="MGS43" s="15"/>
      <c r="MGT43" s="15"/>
      <c r="MGU43" s="15"/>
      <c r="MGV43" s="14"/>
      <c r="MGW43" s="10"/>
      <c r="MGX43" s="15"/>
      <c r="MGY43" s="15"/>
      <c r="MGZ43" s="14"/>
      <c r="MHA43" s="15"/>
      <c r="MHB43" s="15"/>
      <c r="MHC43" s="15"/>
      <c r="MHD43" s="14"/>
      <c r="MHE43" s="15"/>
      <c r="MHF43" s="15"/>
      <c r="MHG43" s="15"/>
      <c r="MHH43" s="14"/>
      <c r="MHI43" s="15"/>
      <c r="MHJ43" s="15"/>
      <c r="MHK43" s="15"/>
      <c r="MHL43" s="14"/>
      <c r="MHM43" s="10"/>
      <c r="MHN43" s="15"/>
      <c r="MHO43" s="15"/>
      <c r="MHP43" s="14"/>
      <c r="MHQ43" s="15"/>
      <c r="MHR43" s="15"/>
      <c r="MHS43" s="15"/>
      <c r="MHT43" s="14"/>
      <c r="MHU43" s="15"/>
      <c r="MHV43" s="15"/>
      <c r="MHW43" s="15"/>
      <c r="MHX43" s="14"/>
      <c r="MHY43" s="15"/>
      <c r="MHZ43" s="15"/>
      <c r="MIA43" s="15"/>
      <c r="MIB43" s="14"/>
      <c r="MIC43" s="10"/>
      <c r="MID43" s="15"/>
      <c r="MIE43" s="15"/>
      <c r="MIF43" s="14"/>
      <c r="MIG43" s="15"/>
      <c r="MIH43" s="15"/>
      <c r="MII43" s="15"/>
      <c r="MIJ43" s="14"/>
      <c r="MIK43" s="15"/>
      <c r="MIL43" s="15"/>
      <c r="MIM43" s="15"/>
      <c r="MIN43" s="14"/>
      <c r="MIO43" s="15"/>
      <c r="MIP43" s="15"/>
      <c r="MIQ43" s="15"/>
      <c r="MIR43" s="14"/>
      <c r="MIS43" s="10"/>
      <c r="MIT43" s="15"/>
      <c r="MIU43" s="15"/>
      <c r="MIV43" s="14"/>
      <c r="MIW43" s="15"/>
      <c r="MIX43" s="15"/>
      <c r="MIY43" s="15"/>
      <c r="MIZ43" s="14"/>
      <c r="MJA43" s="15"/>
      <c r="MJB43" s="15"/>
      <c r="MJC43" s="15"/>
      <c r="MJD43" s="14"/>
      <c r="MJE43" s="15"/>
      <c r="MJF43" s="15"/>
      <c r="MJG43" s="15"/>
      <c r="MJH43" s="14"/>
      <c r="MJI43" s="10"/>
      <c r="MJJ43" s="15"/>
      <c r="MJK43" s="15"/>
      <c r="MJL43" s="14"/>
      <c r="MJM43" s="15"/>
      <c r="MJN43" s="15"/>
      <c r="MJO43" s="15"/>
      <c r="MJP43" s="14"/>
      <c r="MJQ43" s="15"/>
      <c r="MJR43" s="15"/>
      <c r="MJS43" s="15"/>
      <c r="MJT43" s="14"/>
      <c r="MJU43" s="15"/>
      <c r="MJV43" s="15"/>
      <c r="MJW43" s="15"/>
      <c r="MJX43" s="14"/>
      <c r="MJY43" s="10"/>
      <c r="MJZ43" s="15"/>
      <c r="MKA43" s="15"/>
      <c r="MKB43" s="14"/>
      <c r="MKC43" s="15"/>
      <c r="MKD43" s="15"/>
      <c r="MKE43" s="15"/>
      <c r="MKF43" s="14"/>
      <c r="MKG43" s="15"/>
      <c r="MKH43" s="15"/>
      <c r="MKI43" s="15"/>
      <c r="MKJ43" s="14"/>
      <c r="MKK43" s="15"/>
      <c r="MKL43" s="15"/>
      <c r="MKM43" s="15"/>
      <c r="MKN43" s="14"/>
      <c r="MKO43" s="10"/>
      <c r="MKP43" s="15"/>
      <c r="MKQ43" s="15"/>
      <c r="MKR43" s="14"/>
      <c r="MKS43" s="15"/>
      <c r="MKT43" s="15"/>
      <c r="MKU43" s="15"/>
      <c r="MKV43" s="14"/>
      <c r="MKW43" s="15"/>
      <c r="MKX43" s="15"/>
      <c r="MKY43" s="15"/>
      <c r="MKZ43" s="14"/>
      <c r="MLA43" s="15"/>
      <c r="MLB43" s="15"/>
      <c r="MLC43" s="15"/>
      <c r="MLD43" s="14"/>
      <c r="MLE43" s="10"/>
      <c r="MLF43" s="15"/>
      <c r="MLG43" s="15"/>
      <c r="MLH43" s="14"/>
      <c r="MLI43" s="15"/>
      <c r="MLJ43" s="15"/>
      <c r="MLK43" s="15"/>
      <c r="MLL43" s="14"/>
      <c r="MLM43" s="15"/>
      <c r="MLN43" s="15"/>
      <c r="MLO43" s="15"/>
      <c r="MLP43" s="14"/>
      <c r="MLQ43" s="15"/>
      <c r="MLR43" s="15"/>
      <c r="MLS43" s="15"/>
      <c r="MLT43" s="14"/>
      <c r="MLU43" s="10"/>
      <c r="MLV43" s="15"/>
      <c r="MLW43" s="15"/>
      <c r="MLX43" s="14"/>
      <c r="MLY43" s="15"/>
      <c r="MLZ43" s="15"/>
      <c r="MMA43" s="15"/>
      <c r="MMB43" s="14"/>
      <c r="MMC43" s="15"/>
      <c r="MMD43" s="15"/>
      <c r="MME43" s="15"/>
      <c r="MMF43" s="14"/>
      <c r="MMG43" s="15"/>
      <c r="MMH43" s="15"/>
      <c r="MMI43" s="15"/>
      <c r="MMJ43" s="14"/>
      <c r="MMK43" s="10"/>
      <c r="MML43" s="15"/>
      <c r="MMM43" s="15"/>
      <c r="MMN43" s="14"/>
      <c r="MMO43" s="15"/>
      <c r="MMP43" s="15"/>
      <c r="MMQ43" s="15"/>
      <c r="MMR43" s="14"/>
      <c r="MMS43" s="15"/>
      <c r="MMT43" s="15"/>
      <c r="MMU43" s="15"/>
      <c r="MMV43" s="14"/>
      <c r="MMW43" s="15"/>
      <c r="MMX43" s="15"/>
      <c r="MMY43" s="15"/>
      <c r="MMZ43" s="14"/>
      <c r="MNA43" s="10"/>
      <c r="MNB43" s="15"/>
      <c r="MNC43" s="15"/>
      <c r="MND43" s="14"/>
      <c r="MNE43" s="15"/>
      <c r="MNF43" s="15"/>
      <c r="MNG43" s="15"/>
      <c r="MNH43" s="14"/>
      <c r="MNI43" s="15"/>
      <c r="MNJ43" s="15"/>
      <c r="MNK43" s="15"/>
      <c r="MNL43" s="14"/>
      <c r="MNM43" s="15"/>
      <c r="MNN43" s="15"/>
      <c r="MNO43" s="15"/>
      <c r="MNP43" s="14"/>
      <c r="MNQ43" s="10"/>
      <c r="MNR43" s="15"/>
      <c r="MNS43" s="15"/>
      <c r="MNT43" s="14"/>
      <c r="MNU43" s="15"/>
      <c r="MNV43" s="15"/>
      <c r="MNW43" s="15"/>
      <c r="MNX43" s="14"/>
      <c r="MNY43" s="15"/>
      <c r="MNZ43" s="15"/>
      <c r="MOA43" s="15"/>
      <c r="MOB43" s="14"/>
      <c r="MOC43" s="15"/>
      <c r="MOD43" s="15"/>
      <c r="MOE43" s="15"/>
      <c r="MOF43" s="14"/>
      <c r="MOG43" s="10"/>
      <c r="MOH43" s="15"/>
      <c r="MOI43" s="15"/>
      <c r="MOJ43" s="14"/>
      <c r="MOK43" s="15"/>
      <c r="MOL43" s="15"/>
      <c r="MOM43" s="15"/>
      <c r="MON43" s="14"/>
      <c r="MOO43" s="15"/>
      <c r="MOP43" s="15"/>
      <c r="MOQ43" s="15"/>
      <c r="MOR43" s="14"/>
      <c r="MOS43" s="15"/>
      <c r="MOT43" s="15"/>
      <c r="MOU43" s="15"/>
      <c r="MOV43" s="14"/>
      <c r="MOW43" s="10"/>
      <c r="MOX43" s="15"/>
      <c r="MOY43" s="15"/>
      <c r="MOZ43" s="14"/>
      <c r="MPA43" s="15"/>
      <c r="MPB43" s="15"/>
      <c r="MPC43" s="15"/>
      <c r="MPD43" s="14"/>
      <c r="MPE43" s="15"/>
      <c r="MPF43" s="15"/>
      <c r="MPG43" s="15"/>
      <c r="MPH43" s="14"/>
      <c r="MPI43" s="15"/>
      <c r="MPJ43" s="15"/>
      <c r="MPK43" s="15"/>
      <c r="MPL43" s="14"/>
      <c r="MPM43" s="10"/>
      <c r="MPN43" s="15"/>
      <c r="MPO43" s="15"/>
      <c r="MPP43" s="14"/>
      <c r="MPQ43" s="15"/>
      <c r="MPR43" s="15"/>
      <c r="MPS43" s="15"/>
      <c r="MPT43" s="14"/>
      <c r="MPU43" s="15"/>
      <c r="MPV43" s="15"/>
      <c r="MPW43" s="15"/>
      <c r="MPX43" s="14"/>
      <c r="MPY43" s="15"/>
      <c r="MPZ43" s="15"/>
      <c r="MQA43" s="15"/>
      <c r="MQB43" s="14"/>
      <c r="MQC43" s="10"/>
      <c r="MQD43" s="15"/>
      <c r="MQE43" s="15"/>
      <c r="MQF43" s="14"/>
      <c r="MQG43" s="15"/>
      <c r="MQH43" s="15"/>
      <c r="MQI43" s="15"/>
      <c r="MQJ43" s="14"/>
      <c r="MQK43" s="15"/>
      <c r="MQL43" s="15"/>
      <c r="MQM43" s="15"/>
      <c r="MQN43" s="14"/>
      <c r="MQO43" s="15"/>
      <c r="MQP43" s="15"/>
      <c r="MQQ43" s="15"/>
      <c r="MQR43" s="14"/>
      <c r="MQS43" s="10"/>
      <c r="MQT43" s="15"/>
      <c r="MQU43" s="15"/>
      <c r="MQV43" s="14"/>
      <c r="MQW43" s="15"/>
      <c r="MQX43" s="15"/>
      <c r="MQY43" s="15"/>
      <c r="MQZ43" s="14"/>
      <c r="MRA43" s="15"/>
      <c r="MRB43" s="15"/>
      <c r="MRC43" s="15"/>
      <c r="MRD43" s="14"/>
      <c r="MRE43" s="15"/>
      <c r="MRF43" s="15"/>
      <c r="MRG43" s="15"/>
      <c r="MRH43" s="14"/>
      <c r="MRI43" s="10"/>
      <c r="MRJ43" s="15"/>
      <c r="MRK43" s="15"/>
      <c r="MRL43" s="14"/>
      <c r="MRM43" s="15"/>
      <c r="MRN43" s="15"/>
      <c r="MRO43" s="15"/>
      <c r="MRP43" s="14"/>
      <c r="MRQ43" s="15"/>
      <c r="MRR43" s="15"/>
      <c r="MRS43" s="15"/>
      <c r="MRT43" s="14"/>
      <c r="MRU43" s="15"/>
      <c r="MRV43" s="15"/>
      <c r="MRW43" s="15"/>
      <c r="MRX43" s="14"/>
      <c r="MRY43" s="10"/>
      <c r="MRZ43" s="15"/>
      <c r="MSA43" s="15"/>
      <c r="MSB43" s="14"/>
      <c r="MSC43" s="15"/>
      <c r="MSD43" s="15"/>
      <c r="MSE43" s="15"/>
      <c r="MSF43" s="14"/>
      <c r="MSG43" s="15"/>
      <c r="MSH43" s="15"/>
      <c r="MSI43" s="15"/>
      <c r="MSJ43" s="14"/>
      <c r="MSK43" s="15"/>
      <c r="MSL43" s="15"/>
      <c r="MSM43" s="15"/>
      <c r="MSN43" s="14"/>
      <c r="MSO43" s="10"/>
      <c r="MSP43" s="15"/>
      <c r="MSQ43" s="15"/>
      <c r="MSR43" s="14"/>
      <c r="MSS43" s="15"/>
      <c r="MST43" s="15"/>
      <c r="MSU43" s="15"/>
      <c r="MSV43" s="14"/>
      <c r="MSW43" s="15"/>
      <c r="MSX43" s="15"/>
      <c r="MSY43" s="15"/>
      <c r="MSZ43" s="14"/>
      <c r="MTA43" s="15"/>
      <c r="MTB43" s="15"/>
      <c r="MTC43" s="15"/>
      <c r="MTD43" s="14"/>
      <c r="MTE43" s="10"/>
      <c r="MTF43" s="15"/>
      <c r="MTG43" s="15"/>
      <c r="MTH43" s="14"/>
      <c r="MTI43" s="15"/>
      <c r="MTJ43" s="15"/>
      <c r="MTK43" s="15"/>
      <c r="MTL43" s="14"/>
      <c r="MTM43" s="15"/>
      <c r="MTN43" s="15"/>
      <c r="MTO43" s="15"/>
      <c r="MTP43" s="14"/>
      <c r="MTQ43" s="15"/>
      <c r="MTR43" s="15"/>
      <c r="MTS43" s="15"/>
      <c r="MTT43" s="14"/>
      <c r="MTU43" s="10"/>
      <c r="MTV43" s="15"/>
      <c r="MTW43" s="15"/>
      <c r="MTX43" s="14"/>
      <c r="MTY43" s="15"/>
      <c r="MTZ43" s="15"/>
      <c r="MUA43" s="15"/>
      <c r="MUB43" s="14"/>
      <c r="MUC43" s="15"/>
      <c r="MUD43" s="15"/>
      <c r="MUE43" s="15"/>
      <c r="MUF43" s="14"/>
      <c r="MUG43" s="15"/>
      <c r="MUH43" s="15"/>
      <c r="MUI43" s="15"/>
      <c r="MUJ43" s="14"/>
      <c r="MUK43" s="10"/>
      <c r="MUL43" s="15"/>
      <c r="MUM43" s="15"/>
      <c r="MUN43" s="14"/>
      <c r="MUO43" s="15"/>
      <c r="MUP43" s="15"/>
      <c r="MUQ43" s="15"/>
      <c r="MUR43" s="14"/>
      <c r="MUS43" s="15"/>
      <c r="MUT43" s="15"/>
      <c r="MUU43" s="15"/>
      <c r="MUV43" s="14"/>
      <c r="MUW43" s="15"/>
      <c r="MUX43" s="15"/>
      <c r="MUY43" s="15"/>
      <c r="MUZ43" s="14"/>
      <c r="MVA43" s="10"/>
      <c r="MVB43" s="15"/>
      <c r="MVC43" s="15"/>
      <c r="MVD43" s="14"/>
      <c r="MVE43" s="15"/>
      <c r="MVF43" s="15"/>
      <c r="MVG43" s="15"/>
      <c r="MVH43" s="14"/>
      <c r="MVI43" s="15"/>
      <c r="MVJ43" s="15"/>
      <c r="MVK43" s="15"/>
      <c r="MVL43" s="14"/>
      <c r="MVM43" s="15"/>
      <c r="MVN43" s="15"/>
      <c r="MVO43" s="15"/>
      <c r="MVP43" s="14"/>
      <c r="MVQ43" s="10"/>
      <c r="MVR43" s="15"/>
      <c r="MVS43" s="15"/>
      <c r="MVT43" s="14"/>
      <c r="MVU43" s="15"/>
      <c r="MVV43" s="15"/>
      <c r="MVW43" s="15"/>
      <c r="MVX43" s="14"/>
      <c r="MVY43" s="15"/>
      <c r="MVZ43" s="15"/>
      <c r="MWA43" s="15"/>
      <c r="MWB43" s="14"/>
      <c r="MWC43" s="15"/>
      <c r="MWD43" s="15"/>
      <c r="MWE43" s="15"/>
      <c r="MWF43" s="14"/>
      <c r="MWG43" s="10"/>
      <c r="MWH43" s="15"/>
      <c r="MWI43" s="15"/>
      <c r="MWJ43" s="14"/>
      <c r="MWK43" s="15"/>
      <c r="MWL43" s="15"/>
      <c r="MWM43" s="15"/>
      <c r="MWN43" s="14"/>
      <c r="MWO43" s="15"/>
      <c r="MWP43" s="15"/>
      <c r="MWQ43" s="15"/>
      <c r="MWR43" s="14"/>
      <c r="MWS43" s="15"/>
      <c r="MWT43" s="15"/>
      <c r="MWU43" s="15"/>
      <c r="MWV43" s="14"/>
      <c r="MWW43" s="10"/>
      <c r="MWX43" s="15"/>
      <c r="MWY43" s="15"/>
      <c r="MWZ43" s="14"/>
      <c r="MXA43" s="15"/>
      <c r="MXB43" s="15"/>
      <c r="MXC43" s="15"/>
      <c r="MXD43" s="14"/>
      <c r="MXE43" s="15"/>
      <c r="MXF43" s="15"/>
      <c r="MXG43" s="15"/>
      <c r="MXH43" s="14"/>
      <c r="MXI43" s="15"/>
      <c r="MXJ43" s="15"/>
      <c r="MXK43" s="15"/>
      <c r="MXL43" s="14"/>
      <c r="MXM43" s="10"/>
      <c r="MXN43" s="15"/>
      <c r="MXO43" s="15"/>
      <c r="MXP43" s="14"/>
      <c r="MXQ43" s="15"/>
      <c r="MXR43" s="15"/>
      <c r="MXS43" s="15"/>
      <c r="MXT43" s="14"/>
      <c r="MXU43" s="15"/>
      <c r="MXV43" s="15"/>
      <c r="MXW43" s="15"/>
      <c r="MXX43" s="14"/>
      <c r="MXY43" s="15"/>
      <c r="MXZ43" s="15"/>
      <c r="MYA43" s="15"/>
      <c r="MYB43" s="14"/>
      <c r="MYC43" s="10"/>
      <c r="MYD43" s="15"/>
      <c r="MYE43" s="15"/>
      <c r="MYF43" s="14"/>
      <c r="MYG43" s="15"/>
      <c r="MYH43" s="15"/>
      <c r="MYI43" s="15"/>
      <c r="MYJ43" s="14"/>
      <c r="MYK43" s="15"/>
      <c r="MYL43" s="15"/>
      <c r="MYM43" s="15"/>
      <c r="MYN43" s="14"/>
      <c r="MYO43" s="15"/>
      <c r="MYP43" s="15"/>
      <c r="MYQ43" s="15"/>
      <c r="MYR43" s="14"/>
      <c r="MYS43" s="10"/>
      <c r="MYT43" s="15"/>
      <c r="MYU43" s="15"/>
      <c r="MYV43" s="14"/>
      <c r="MYW43" s="15"/>
      <c r="MYX43" s="15"/>
      <c r="MYY43" s="15"/>
      <c r="MYZ43" s="14"/>
      <c r="MZA43" s="15"/>
      <c r="MZB43" s="15"/>
      <c r="MZC43" s="15"/>
      <c r="MZD43" s="14"/>
      <c r="MZE43" s="15"/>
      <c r="MZF43" s="15"/>
      <c r="MZG43" s="15"/>
      <c r="MZH43" s="14"/>
      <c r="MZI43" s="10"/>
      <c r="MZJ43" s="15"/>
      <c r="MZK43" s="15"/>
      <c r="MZL43" s="14"/>
      <c r="MZM43" s="15"/>
      <c r="MZN43" s="15"/>
      <c r="MZO43" s="15"/>
      <c r="MZP43" s="14"/>
      <c r="MZQ43" s="15"/>
      <c r="MZR43" s="15"/>
      <c r="MZS43" s="15"/>
      <c r="MZT43" s="14"/>
      <c r="MZU43" s="15"/>
      <c r="MZV43" s="15"/>
      <c r="MZW43" s="15"/>
      <c r="MZX43" s="14"/>
      <c r="MZY43" s="10"/>
      <c r="MZZ43" s="15"/>
      <c r="NAA43" s="15"/>
      <c r="NAB43" s="14"/>
      <c r="NAC43" s="15"/>
      <c r="NAD43" s="15"/>
      <c r="NAE43" s="15"/>
      <c r="NAF43" s="14"/>
      <c r="NAG43" s="15"/>
      <c r="NAH43" s="15"/>
      <c r="NAI43" s="15"/>
      <c r="NAJ43" s="14"/>
      <c r="NAK43" s="15"/>
      <c r="NAL43" s="15"/>
      <c r="NAM43" s="15"/>
      <c r="NAN43" s="14"/>
      <c r="NAO43" s="10"/>
      <c r="NAP43" s="15"/>
      <c r="NAQ43" s="15"/>
      <c r="NAR43" s="14"/>
      <c r="NAS43" s="15"/>
      <c r="NAT43" s="15"/>
      <c r="NAU43" s="15"/>
      <c r="NAV43" s="14"/>
      <c r="NAW43" s="15"/>
      <c r="NAX43" s="15"/>
      <c r="NAY43" s="15"/>
      <c r="NAZ43" s="14"/>
      <c r="NBA43" s="15"/>
      <c r="NBB43" s="15"/>
      <c r="NBC43" s="15"/>
      <c r="NBD43" s="14"/>
      <c r="NBE43" s="10"/>
      <c r="NBF43" s="15"/>
      <c r="NBG43" s="15"/>
      <c r="NBH43" s="14"/>
      <c r="NBI43" s="15"/>
      <c r="NBJ43" s="15"/>
      <c r="NBK43" s="15"/>
      <c r="NBL43" s="14"/>
      <c r="NBM43" s="15"/>
      <c r="NBN43" s="15"/>
      <c r="NBO43" s="15"/>
      <c r="NBP43" s="14"/>
      <c r="NBQ43" s="15"/>
      <c r="NBR43" s="15"/>
      <c r="NBS43" s="15"/>
      <c r="NBT43" s="14"/>
      <c r="NBU43" s="10"/>
      <c r="NBV43" s="15"/>
      <c r="NBW43" s="15"/>
      <c r="NBX43" s="14"/>
      <c r="NBY43" s="15"/>
      <c r="NBZ43" s="15"/>
      <c r="NCA43" s="15"/>
      <c r="NCB43" s="14"/>
      <c r="NCC43" s="15"/>
      <c r="NCD43" s="15"/>
      <c r="NCE43" s="15"/>
      <c r="NCF43" s="14"/>
      <c r="NCG43" s="15"/>
      <c r="NCH43" s="15"/>
      <c r="NCI43" s="15"/>
      <c r="NCJ43" s="14"/>
      <c r="NCK43" s="10"/>
      <c r="NCL43" s="15"/>
      <c r="NCM43" s="15"/>
      <c r="NCN43" s="14"/>
      <c r="NCO43" s="15"/>
      <c r="NCP43" s="15"/>
      <c r="NCQ43" s="15"/>
      <c r="NCR43" s="14"/>
      <c r="NCS43" s="15"/>
      <c r="NCT43" s="15"/>
      <c r="NCU43" s="15"/>
      <c r="NCV43" s="14"/>
      <c r="NCW43" s="15"/>
      <c r="NCX43" s="15"/>
      <c r="NCY43" s="15"/>
      <c r="NCZ43" s="14"/>
      <c r="NDA43" s="10"/>
      <c r="NDB43" s="15"/>
      <c r="NDC43" s="15"/>
      <c r="NDD43" s="14"/>
      <c r="NDE43" s="15"/>
      <c r="NDF43" s="15"/>
      <c r="NDG43" s="15"/>
      <c r="NDH43" s="14"/>
      <c r="NDI43" s="15"/>
      <c r="NDJ43" s="15"/>
      <c r="NDK43" s="15"/>
      <c r="NDL43" s="14"/>
      <c r="NDM43" s="15"/>
      <c r="NDN43" s="15"/>
      <c r="NDO43" s="15"/>
      <c r="NDP43" s="14"/>
      <c r="NDQ43" s="10"/>
      <c r="NDR43" s="15"/>
      <c r="NDS43" s="15"/>
      <c r="NDT43" s="14"/>
      <c r="NDU43" s="15"/>
      <c r="NDV43" s="15"/>
      <c r="NDW43" s="15"/>
      <c r="NDX43" s="14"/>
      <c r="NDY43" s="15"/>
      <c r="NDZ43" s="15"/>
      <c r="NEA43" s="15"/>
      <c r="NEB43" s="14"/>
      <c r="NEC43" s="15"/>
      <c r="NED43" s="15"/>
      <c r="NEE43" s="15"/>
      <c r="NEF43" s="14"/>
      <c r="NEG43" s="10"/>
      <c r="NEH43" s="15"/>
      <c r="NEI43" s="15"/>
      <c r="NEJ43" s="14"/>
      <c r="NEK43" s="15"/>
      <c r="NEL43" s="15"/>
      <c r="NEM43" s="15"/>
      <c r="NEN43" s="14"/>
      <c r="NEO43" s="15"/>
      <c r="NEP43" s="15"/>
      <c r="NEQ43" s="15"/>
      <c r="NER43" s="14"/>
      <c r="NES43" s="15"/>
      <c r="NET43" s="15"/>
      <c r="NEU43" s="15"/>
      <c r="NEV43" s="14"/>
      <c r="NEW43" s="10"/>
      <c r="NEX43" s="15"/>
      <c r="NEY43" s="15"/>
      <c r="NEZ43" s="14"/>
      <c r="NFA43" s="15"/>
      <c r="NFB43" s="15"/>
      <c r="NFC43" s="15"/>
      <c r="NFD43" s="14"/>
      <c r="NFE43" s="15"/>
      <c r="NFF43" s="15"/>
      <c r="NFG43" s="15"/>
      <c r="NFH43" s="14"/>
      <c r="NFI43" s="15"/>
      <c r="NFJ43" s="15"/>
      <c r="NFK43" s="15"/>
      <c r="NFL43" s="14"/>
      <c r="NFM43" s="10"/>
      <c r="NFN43" s="15"/>
      <c r="NFO43" s="15"/>
      <c r="NFP43" s="14"/>
      <c r="NFQ43" s="15"/>
      <c r="NFR43" s="15"/>
      <c r="NFS43" s="15"/>
      <c r="NFT43" s="14"/>
      <c r="NFU43" s="15"/>
      <c r="NFV43" s="15"/>
      <c r="NFW43" s="15"/>
      <c r="NFX43" s="14"/>
      <c r="NFY43" s="15"/>
      <c r="NFZ43" s="15"/>
      <c r="NGA43" s="15"/>
      <c r="NGB43" s="14"/>
      <c r="NGC43" s="10"/>
      <c r="NGD43" s="15"/>
      <c r="NGE43" s="15"/>
      <c r="NGF43" s="14"/>
      <c r="NGG43" s="15"/>
      <c r="NGH43" s="15"/>
      <c r="NGI43" s="15"/>
      <c r="NGJ43" s="14"/>
      <c r="NGK43" s="15"/>
      <c r="NGL43" s="15"/>
      <c r="NGM43" s="15"/>
      <c r="NGN43" s="14"/>
      <c r="NGO43" s="15"/>
      <c r="NGP43" s="15"/>
      <c r="NGQ43" s="15"/>
      <c r="NGR43" s="14"/>
      <c r="NGS43" s="10"/>
      <c r="NGT43" s="15"/>
      <c r="NGU43" s="15"/>
      <c r="NGV43" s="14"/>
      <c r="NGW43" s="15"/>
      <c r="NGX43" s="15"/>
      <c r="NGY43" s="15"/>
      <c r="NGZ43" s="14"/>
      <c r="NHA43" s="15"/>
      <c r="NHB43" s="15"/>
      <c r="NHC43" s="15"/>
      <c r="NHD43" s="14"/>
      <c r="NHE43" s="15"/>
      <c r="NHF43" s="15"/>
      <c r="NHG43" s="15"/>
      <c r="NHH43" s="14"/>
      <c r="NHI43" s="10"/>
      <c r="NHJ43" s="15"/>
      <c r="NHK43" s="15"/>
      <c r="NHL43" s="14"/>
      <c r="NHM43" s="15"/>
      <c r="NHN43" s="15"/>
      <c r="NHO43" s="15"/>
      <c r="NHP43" s="14"/>
      <c r="NHQ43" s="15"/>
      <c r="NHR43" s="15"/>
      <c r="NHS43" s="15"/>
      <c r="NHT43" s="14"/>
      <c r="NHU43" s="15"/>
      <c r="NHV43" s="15"/>
      <c r="NHW43" s="15"/>
      <c r="NHX43" s="14"/>
      <c r="NHY43" s="10"/>
      <c r="NHZ43" s="15"/>
      <c r="NIA43" s="15"/>
      <c r="NIB43" s="14"/>
      <c r="NIC43" s="15"/>
      <c r="NID43" s="15"/>
      <c r="NIE43" s="15"/>
      <c r="NIF43" s="14"/>
      <c r="NIG43" s="15"/>
      <c r="NIH43" s="15"/>
      <c r="NII43" s="15"/>
      <c r="NIJ43" s="14"/>
      <c r="NIK43" s="15"/>
      <c r="NIL43" s="15"/>
      <c r="NIM43" s="15"/>
      <c r="NIN43" s="14"/>
      <c r="NIO43" s="10"/>
      <c r="NIP43" s="15"/>
      <c r="NIQ43" s="15"/>
      <c r="NIR43" s="14"/>
      <c r="NIS43" s="15"/>
      <c r="NIT43" s="15"/>
      <c r="NIU43" s="15"/>
      <c r="NIV43" s="14"/>
      <c r="NIW43" s="15"/>
      <c r="NIX43" s="15"/>
      <c r="NIY43" s="15"/>
      <c r="NIZ43" s="14"/>
      <c r="NJA43" s="15"/>
      <c r="NJB43" s="15"/>
      <c r="NJC43" s="15"/>
      <c r="NJD43" s="14"/>
      <c r="NJE43" s="10"/>
      <c r="NJF43" s="15"/>
      <c r="NJG43" s="15"/>
      <c r="NJH43" s="14"/>
      <c r="NJI43" s="15"/>
      <c r="NJJ43" s="15"/>
      <c r="NJK43" s="15"/>
      <c r="NJL43" s="14"/>
      <c r="NJM43" s="15"/>
      <c r="NJN43" s="15"/>
      <c r="NJO43" s="15"/>
      <c r="NJP43" s="14"/>
      <c r="NJQ43" s="15"/>
      <c r="NJR43" s="15"/>
      <c r="NJS43" s="15"/>
      <c r="NJT43" s="14"/>
      <c r="NJU43" s="10"/>
      <c r="NJV43" s="15"/>
      <c r="NJW43" s="15"/>
      <c r="NJX43" s="14"/>
      <c r="NJY43" s="15"/>
      <c r="NJZ43" s="15"/>
      <c r="NKA43" s="15"/>
      <c r="NKB43" s="14"/>
      <c r="NKC43" s="15"/>
      <c r="NKD43" s="15"/>
      <c r="NKE43" s="15"/>
      <c r="NKF43" s="14"/>
      <c r="NKG43" s="15"/>
      <c r="NKH43" s="15"/>
      <c r="NKI43" s="15"/>
      <c r="NKJ43" s="14"/>
      <c r="NKK43" s="10"/>
      <c r="NKL43" s="15"/>
      <c r="NKM43" s="15"/>
      <c r="NKN43" s="14"/>
      <c r="NKO43" s="15"/>
      <c r="NKP43" s="15"/>
      <c r="NKQ43" s="15"/>
      <c r="NKR43" s="14"/>
      <c r="NKS43" s="15"/>
      <c r="NKT43" s="15"/>
      <c r="NKU43" s="15"/>
      <c r="NKV43" s="14"/>
      <c r="NKW43" s="15"/>
      <c r="NKX43" s="15"/>
      <c r="NKY43" s="15"/>
      <c r="NKZ43" s="14"/>
      <c r="NLA43" s="10"/>
      <c r="NLB43" s="15"/>
      <c r="NLC43" s="15"/>
      <c r="NLD43" s="14"/>
      <c r="NLE43" s="15"/>
      <c r="NLF43" s="15"/>
      <c r="NLG43" s="15"/>
      <c r="NLH43" s="14"/>
      <c r="NLI43" s="15"/>
      <c r="NLJ43" s="15"/>
      <c r="NLK43" s="15"/>
      <c r="NLL43" s="14"/>
      <c r="NLM43" s="15"/>
      <c r="NLN43" s="15"/>
      <c r="NLO43" s="15"/>
      <c r="NLP43" s="14"/>
      <c r="NLQ43" s="10"/>
      <c r="NLR43" s="15"/>
      <c r="NLS43" s="15"/>
      <c r="NLT43" s="14"/>
      <c r="NLU43" s="15"/>
      <c r="NLV43" s="15"/>
      <c r="NLW43" s="15"/>
      <c r="NLX43" s="14"/>
      <c r="NLY43" s="15"/>
      <c r="NLZ43" s="15"/>
      <c r="NMA43" s="15"/>
      <c r="NMB43" s="14"/>
      <c r="NMC43" s="15"/>
      <c r="NMD43" s="15"/>
      <c r="NME43" s="15"/>
      <c r="NMF43" s="14"/>
      <c r="NMG43" s="10"/>
      <c r="NMH43" s="15"/>
      <c r="NMI43" s="15"/>
      <c r="NMJ43" s="14"/>
      <c r="NMK43" s="15"/>
      <c r="NML43" s="15"/>
      <c r="NMM43" s="15"/>
      <c r="NMN43" s="14"/>
      <c r="NMO43" s="15"/>
      <c r="NMP43" s="15"/>
      <c r="NMQ43" s="15"/>
      <c r="NMR43" s="14"/>
      <c r="NMS43" s="15"/>
      <c r="NMT43" s="15"/>
      <c r="NMU43" s="15"/>
      <c r="NMV43" s="14"/>
      <c r="NMW43" s="10"/>
      <c r="NMX43" s="15"/>
      <c r="NMY43" s="15"/>
      <c r="NMZ43" s="14"/>
      <c r="NNA43" s="15"/>
      <c r="NNB43" s="15"/>
      <c r="NNC43" s="15"/>
      <c r="NND43" s="14"/>
      <c r="NNE43" s="15"/>
      <c r="NNF43" s="15"/>
      <c r="NNG43" s="15"/>
      <c r="NNH43" s="14"/>
      <c r="NNI43" s="15"/>
      <c r="NNJ43" s="15"/>
      <c r="NNK43" s="15"/>
      <c r="NNL43" s="14"/>
      <c r="NNM43" s="10"/>
      <c r="NNN43" s="15"/>
      <c r="NNO43" s="15"/>
      <c r="NNP43" s="14"/>
      <c r="NNQ43" s="15"/>
      <c r="NNR43" s="15"/>
      <c r="NNS43" s="15"/>
      <c r="NNT43" s="14"/>
      <c r="NNU43" s="15"/>
      <c r="NNV43" s="15"/>
      <c r="NNW43" s="15"/>
      <c r="NNX43" s="14"/>
      <c r="NNY43" s="15"/>
      <c r="NNZ43" s="15"/>
      <c r="NOA43" s="15"/>
      <c r="NOB43" s="14"/>
      <c r="NOC43" s="10"/>
      <c r="NOD43" s="15"/>
      <c r="NOE43" s="15"/>
      <c r="NOF43" s="14"/>
      <c r="NOG43" s="15"/>
      <c r="NOH43" s="15"/>
      <c r="NOI43" s="15"/>
      <c r="NOJ43" s="14"/>
      <c r="NOK43" s="15"/>
      <c r="NOL43" s="15"/>
      <c r="NOM43" s="15"/>
      <c r="NON43" s="14"/>
      <c r="NOO43" s="15"/>
      <c r="NOP43" s="15"/>
      <c r="NOQ43" s="15"/>
      <c r="NOR43" s="14"/>
      <c r="NOS43" s="10"/>
      <c r="NOT43" s="15"/>
      <c r="NOU43" s="15"/>
      <c r="NOV43" s="14"/>
      <c r="NOW43" s="15"/>
      <c r="NOX43" s="15"/>
      <c r="NOY43" s="15"/>
      <c r="NOZ43" s="14"/>
      <c r="NPA43" s="15"/>
      <c r="NPB43" s="15"/>
      <c r="NPC43" s="15"/>
      <c r="NPD43" s="14"/>
      <c r="NPE43" s="15"/>
      <c r="NPF43" s="15"/>
      <c r="NPG43" s="15"/>
      <c r="NPH43" s="14"/>
      <c r="NPI43" s="10"/>
      <c r="NPJ43" s="15"/>
      <c r="NPK43" s="15"/>
      <c r="NPL43" s="14"/>
      <c r="NPM43" s="15"/>
      <c r="NPN43" s="15"/>
      <c r="NPO43" s="15"/>
      <c r="NPP43" s="14"/>
      <c r="NPQ43" s="15"/>
      <c r="NPR43" s="15"/>
      <c r="NPS43" s="15"/>
      <c r="NPT43" s="14"/>
      <c r="NPU43" s="15"/>
      <c r="NPV43" s="15"/>
      <c r="NPW43" s="15"/>
      <c r="NPX43" s="14"/>
      <c r="NPY43" s="10"/>
      <c r="NPZ43" s="15"/>
      <c r="NQA43" s="15"/>
      <c r="NQB43" s="14"/>
      <c r="NQC43" s="15"/>
      <c r="NQD43" s="15"/>
      <c r="NQE43" s="15"/>
      <c r="NQF43" s="14"/>
      <c r="NQG43" s="15"/>
      <c r="NQH43" s="15"/>
      <c r="NQI43" s="15"/>
      <c r="NQJ43" s="14"/>
      <c r="NQK43" s="15"/>
      <c r="NQL43" s="15"/>
      <c r="NQM43" s="15"/>
      <c r="NQN43" s="14"/>
      <c r="NQO43" s="10"/>
      <c r="NQP43" s="15"/>
      <c r="NQQ43" s="15"/>
      <c r="NQR43" s="14"/>
      <c r="NQS43" s="15"/>
      <c r="NQT43" s="15"/>
      <c r="NQU43" s="15"/>
      <c r="NQV43" s="14"/>
      <c r="NQW43" s="15"/>
      <c r="NQX43" s="15"/>
      <c r="NQY43" s="15"/>
      <c r="NQZ43" s="14"/>
      <c r="NRA43" s="15"/>
      <c r="NRB43" s="15"/>
      <c r="NRC43" s="15"/>
      <c r="NRD43" s="14"/>
      <c r="NRE43" s="10"/>
      <c r="NRF43" s="15"/>
      <c r="NRG43" s="15"/>
      <c r="NRH43" s="14"/>
      <c r="NRI43" s="15"/>
      <c r="NRJ43" s="15"/>
      <c r="NRK43" s="15"/>
      <c r="NRL43" s="14"/>
      <c r="NRM43" s="15"/>
      <c r="NRN43" s="15"/>
      <c r="NRO43" s="15"/>
      <c r="NRP43" s="14"/>
      <c r="NRQ43" s="15"/>
      <c r="NRR43" s="15"/>
      <c r="NRS43" s="15"/>
      <c r="NRT43" s="14"/>
      <c r="NRU43" s="10"/>
      <c r="NRV43" s="15"/>
      <c r="NRW43" s="15"/>
      <c r="NRX43" s="14"/>
      <c r="NRY43" s="15"/>
      <c r="NRZ43" s="15"/>
      <c r="NSA43" s="15"/>
      <c r="NSB43" s="14"/>
      <c r="NSC43" s="15"/>
      <c r="NSD43" s="15"/>
      <c r="NSE43" s="15"/>
      <c r="NSF43" s="14"/>
      <c r="NSG43" s="15"/>
      <c r="NSH43" s="15"/>
      <c r="NSI43" s="15"/>
      <c r="NSJ43" s="14"/>
      <c r="NSK43" s="10"/>
      <c r="NSL43" s="15"/>
      <c r="NSM43" s="15"/>
      <c r="NSN43" s="14"/>
      <c r="NSO43" s="15"/>
      <c r="NSP43" s="15"/>
      <c r="NSQ43" s="15"/>
      <c r="NSR43" s="14"/>
      <c r="NSS43" s="15"/>
      <c r="NST43" s="15"/>
      <c r="NSU43" s="15"/>
      <c r="NSV43" s="14"/>
      <c r="NSW43" s="15"/>
      <c r="NSX43" s="15"/>
      <c r="NSY43" s="15"/>
      <c r="NSZ43" s="14"/>
      <c r="NTA43" s="10"/>
      <c r="NTB43" s="15"/>
      <c r="NTC43" s="15"/>
      <c r="NTD43" s="14"/>
      <c r="NTE43" s="15"/>
      <c r="NTF43" s="15"/>
      <c r="NTG43" s="15"/>
      <c r="NTH43" s="14"/>
      <c r="NTI43" s="15"/>
      <c r="NTJ43" s="15"/>
      <c r="NTK43" s="15"/>
      <c r="NTL43" s="14"/>
      <c r="NTM43" s="15"/>
      <c r="NTN43" s="15"/>
      <c r="NTO43" s="15"/>
      <c r="NTP43" s="14"/>
      <c r="NTQ43" s="10"/>
      <c r="NTR43" s="15"/>
      <c r="NTS43" s="15"/>
      <c r="NTT43" s="14"/>
      <c r="NTU43" s="15"/>
      <c r="NTV43" s="15"/>
      <c r="NTW43" s="15"/>
      <c r="NTX43" s="14"/>
      <c r="NTY43" s="15"/>
      <c r="NTZ43" s="15"/>
      <c r="NUA43" s="15"/>
      <c r="NUB43" s="14"/>
      <c r="NUC43" s="15"/>
      <c r="NUD43" s="15"/>
      <c r="NUE43" s="15"/>
      <c r="NUF43" s="14"/>
      <c r="NUG43" s="10"/>
      <c r="NUH43" s="15"/>
      <c r="NUI43" s="15"/>
      <c r="NUJ43" s="14"/>
      <c r="NUK43" s="15"/>
      <c r="NUL43" s="15"/>
      <c r="NUM43" s="15"/>
      <c r="NUN43" s="14"/>
      <c r="NUO43" s="15"/>
      <c r="NUP43" s="15"/>
      <c r="NUQ43" s="15"/>
      <c r="NUR43" s="14"/>
      <c r="NUS43" s="15"/>
      <c r="NUT43" s="15"/>
      <c r="NUU43" s="15"/>
      <c r="NUV43" s="14"/>
      <c r="NUW43" s="10"/>
      <c r="NUX43" s="15"/>
      <c r="NUY43" s="15"/>
      <c r="NUZ43" s="14"/>
      <c r="NVA43" s="15"/>
      <c r="NVB43" s="15"/>
      <c r="NVC43" s="15"/>
      <c r="NVD43" s="14"/>
      <c r="NVE43" s="15"/>
      <c r="NVF43" s="15"/>
      <c r="NVG43" s="15"/>
      <c r="NVH43" s="14"/>
      <c r="NVI43" s="15"/>
      <c r="NVJ43" s="15"/>
      <c r="NVK43" s="15"/>
      <c r="NVL43" s="14"/>
      <c r="NVM43" s="10"/>
      <c r="NVN43" s="15"/>
      <c r="NVO43" s="15"/>
      <c r="NVP43" s="14"/>
      <c r="NVQ43" s="15"/>
      <c r="NVR43" s="15"/>
      <c r="NVS43" s="15"/>
      <c r="NVT43" s="14"/>
      <c r="NVU43" s="15"/>
      <c r="NVV43" s="15"/>
      <c r="NVW43" s="15"/>
      <c r="NVX43" s="14"/>
      <c r="NVY43" s="15"/>
      <c r="NVZ43" s="15"/>
      <c r="NWA43" s="15"/>
      <c r="NWB43" s="14"/>
      <c r="NWC43" s="10"/>
      <c r="NWD43" s="15"/>
      <c r="NWE43" s="15"/>
      <c r="NWF43" s="14"/>
      <c r="NWG43" s="15"/>
      <c r="NWH43" s="15"/>
      <c r="NWI43" s="15"/>
      <c r="NWJ43" s="14"/>
      <c r="NWK43" s="15"/>
      <c r="NWL43" s="15"/>
      <c r="NWM43" s="15"/>
      <c r="NWN43" s="14"/>
      <c r="NWO43" s="15"/>
      <c r="NWP43" s="15"/>
      <c r="NWQ43" s="15"/>
      <c r="NWR43" s="14"/>
      <c r="NWS43" s="10"/>
      <c r="NWT43" s="15"/>
      <c r="NWU43" s="15"/>
      <c r="NWV43" s="14"/>
      <c r="NWW43" s="15"/>
      <c r="NWX43" s="15"/>
      <c r="NWY43" s="15"/>
      <c r="NWZ43" s="14"/>
      <c r="NXA43" s="15"/>
      <c r="NXB43" s="15"/>
      <c r="NXC43" s="15"/>
      <c r="NXD43" s="14"/>
      <c r="NXE43" s="15"/>
      <c r="NXF43" s="15"/>
      <c r="NXG43" s="15"/>
      <c r="NXH43" s="14"/>
      <c r="NXI43" s="10"/>
      <c r="NXJ43" s="15"/>
      <c r="NXK43" s="15"/>
      <c r="NXL43" s="14"/>
      <c r="NXM43" s="15"/>
      <c r="NXN43" s="15"/>
      <c r="NXO43" s="15"/>
      <c r="NXP43" s="14"/>
      <c r="NXQ43" s="15"/>
      <c r="NXR43" s="15"/>
      <c r="NXS43" s="15"/>
      <c r="NXT43" s="14"/>
      <c r="NXU43" s="15"/>
      <c r="NXV43" s="15"/>
      <c r="NXW43" s="15"/>
      <c r="NXX43" s="14"/>
      <c r="NXY43" s="10"/>
      <c r="NXZ43" s="15"/>
      <c r="NYA43" s="15"/>
      <c r="NYB43" s="14"/>
      <c r="NYC43" s="15"/>
      <c r="NYD43" s="15"/>
      <c r="NYE43" s="15"/>
      <c r="NYF43" s="14"/>
      <c r="NYG43" s="15"/>
      <c r="NYH43" s="15"/>
      <c r="NYI43" s="15"/>
      <c r="NYJ43" s="14"/>
      <c r="NYK43" s="15"/>
      <c r="NYL43" s="15"/>
      <c r="NYM43" s="15"/>
      <c r="NYN43" s="14"/>
      <c r="NYO43" s="10"/>
      <c r="NYP43" s="15"/>
      <c r="NYQ43" s="15"/>
      <c r="NYR43" s="14"/>
      <c r="NYS43" s="15"/>
      <c r="NYT43" s="15"/>
      <c r="NYU43" s="15"/>
      <c r="NYV43" s="14"/>
      <c r="NYW43" s="15"/>
      <c r="NYX43" s="15"/>
      <c r="NYY43" s="15"/>
      <c r="NYZ43" s="14"/>
      <c r="NZA43" s="15"/>
      <c r="NZB43" s="15"/>
      <c r="NZC43" s="15"/>
      <c r="NZD43" s="14"/>
      <c r="NZE43" s="10"/>
      <c r="NZF43" s="15"/>
      <c r="NZG43" s="15"/>
      <c r="NZH43" s="14"/>
      <c r="NZI43" s="15"/>
      <c r="NZJ43" s="15"/>
      <c r="NZK43" s="15"/>
      <c r="NZL43" s="14"/>
      <c r="NZM43" s="15"/>
      <c r="NZN43" s="15"/>
      <c r="NZO43" s="15"/>
      <c r="NZP43" s="14"/>
      <c r="NZQ43" s="15"/>
      <c r="NZR43" s="15"/>
      <c r="NZS43" s="15"/>
      <c r="NZT43" s="14"/>
      <c r="NZU43" s="10"/>
      <c r="NZV43" s="15"/>
      <c r="NZW43" s="15"/>
      <c r="NZX43" s="14"/>
      <c r="NZY43" s="15"/>
      <c r="NZZ43" s="15"/>
      <c r="OAA43" s="15"/>
      <c r="OAB43" s="14"/>
      <c r="OAC43" s="15"/>
      <c r="OAD43" s="15"/>
      <c r="OAE43" s="15"/>
      <c r="OAF43" s="14"/>
      <c r="OAG43" s="15"/>
      <c r="OAH43" s="15"/>
      <c r="OAI43" s="15"/>
      <c r="OAJ43" s="14"/>
      <c r="OAK43" s="10"/>
      <c r="OAL43" s="15"/>
      <c r="OAM43" s="15"/>
      <c r="OAN43" s="14"/>
      <c r="OAO43" s="15"/>
      <c r="OAP43" s="15"/>
      <c r="OAQ43" s="15"/>
      <c r="OAR43" s="14"/>
      <c r="OAS43" s="15"/>
      <c r="OAT43" s="15"/>
      <c r="OAU43" s="15"/>
      <c r="OAV43" s="14"/>
      <c r="OAW43" s="15"/>
      <c r="OAX43" s="15"/>
      <c r="OAY43" s="15"/>
      <c r="OAZ43" s="14"/>
      <c r="OBA43" s="10"/>
      <c r="OBB43" s="15"/>
      <c r="OBC43" s="15"/>
      <c r="OBD43" s="14"/>
      <c r="OBE43" s="15"/>
      <c r="OBF43" s="15"/>
      <c r="OBG43" s="15"/>
      <c r="OBH43" s="14"/>
      <c r="OBI43" s="15"/>
      <c r="OBJ43" s="15"/>
      <c r="OBK43" s="15"/>
      <c r="OBL43" s="14"/>
      <c r="OBM43" s="15"/>
      <c r="OBN43" s="15"/>
      <c r="OBO43" s="15"/>
      <c r="OBP43" s="14"/>
      <c r="OBQ43" s="10"/>
      <c r="OBR43" s="15"/>
      <c r="OBS43" s="15"/>
      <c r="OBT43" s="14"/>
      <c r="OBU43" s="15"/>
      <c r="OBV43" s="15"/>
      <c r="OBW43" s="15"/>
      <c r="OBX43" s="14"/>
      <c r="OBY43" s="15"/>
      <c r="OBZ43" s="15"/>
      <c r="OCA43" s="15"/>
      <c r="OCB43" s="14"/>
      <c r="OCC43" s="15"/>
      <c r="OCD43" s="15"/>
      <c r="OCE43" s="15"/>
      <c r="OCF43" s="14"/>
      <c r="OCG43" s="10"/>
      <c r="OCH43" s="15"/>
      <c r="OCI43" s="15"/>
      <c r="OCJ43" s="14"/>
      <c r="OCK43" s="15"/>
      <c r="OCL43" s="15"/>
      <c r="OCM43" s="15"/>
      <c r="OCN43" s="14"/>
      <c r="OCO43" s="15"/>
      <c r="OCP43" s="15"/>
      <c r="OCQ43" s="15"/>
      <c r="OCR43" s="14"/>
      <c r="OCS43" s="15"/>
      <c r="OCT43" s="15"/>
      <c r="OCU43" s="15"/>
      <c r="OCV43" s="14"/>
      <c r="OCW43" s="10"/>
      <c r="OCX43" s="15"/>
      <c r="OCY43" s="15"/>
      <c r="OCZ43" s="14"/>
      <c r="ODA43" s="15"/>
      <c r="ODB43" s="15"/>
      <c r="ODC43" s="15"/>
      <c r="ODD43" s="14"/>
      <c r="ODE43" s="15"/>
      <c r="ODF43" s="15"/>
      <c r="ODG43" s="15"/>
      <c r="ODH43" s="14"/>
      <c r="ODI43" s="15"/>
      <c r="ODJ43" s="15"/>
      <c r="ODK43" s="15"/>
      <c r="ODL43" s="14"/>
      <c r="ODM43" s="10"/>
      <c r="ODN43" s="15"/>
      <c r="ODO43" s="15"/>
      <c r="ODP43" s="14"/>
      <c r="ODQ43" s="15"/>
      <c r="ODR43" s="15"/>
      <c r="ODS43" s="15"/>
      <c r="ODT43" s="14"/>
      <c r="ODU43" s="15"/>
      <c r="ODV43" s="15"/>
      <c r="ODW43" s="15"/>
      <c r="ODX43" s="14"/>
      <c r="ODY43" s="15"/>
      <c r="ODZ43" s="15"/>
      <c r="OEA43" s="15"/>
      <c r="OEB43" s="14"/>
      <c r="OEC43" s="10"/>
      <c r="OED43" s="15"/>
      <c r="OEE43" s="15"/>
      <c r="OEF43" s="14"/>
      <c r="OEG43" s="15"/>
      <c r="OEH43" s="15"/>
      <c r="OEI43" s="15"/>
      <c r="OEJ43" s="14"/>
      <c r="OEK43" s="15"/>
      <c r="OEL43" s="15"/>
      <c r="OEM43" s="15"/>
      <c r="OEN43" s="14"/>
      <c r="OEO43" s="15"/>
      <c r="OEP43" s="15"/>
      <c r="OEQ43" s="15"/>
      <c r="OER43" s="14"/>
      <c r="OES43" s="10"/>
      <c r="OET43" s="15"/>
      <c r="OEU43" s="15"/>
      <c r="OEV43" s="14"/>
      <c r="OEW43" s="15"/>
      <c r="OEX43" s="15"/>
      <c r="OEY43" s="15"/>
      <c r="OEZ43" s="14"/>
      <c r="OFA43" s="15"/>
      <c r="OFB43" s="15"/>
      <c r="OFC43" s="15"/>
      <c r="OFD43" s="14"/>
      <c r="OFE43" s="15"/>
      <c r="OFF43" s="15"/>
      <c r="OFG43" s="15"/>
      <c r="OFH43" s="14"/>
      <c r="OFI43" s="10"/>
      <c r="OFJ43" s="15"/>
      <c r="OFK43" s="15"/>
      <c r="OFL43" s="14"/>
      <c r="OFM43" s="15"/>
      <c r="OFN43" s="15"/>
      <c r="OFO43" s="15"/>
      <c r="OFP43" s="14"/>
      <c r="OFQ43" s="15"/>
      <c r="OFR43" s="15"/>
      <c r="OFS43" s="15"/>
      <c r="OFT43" s="14"/>
      <c r="OFU43" s="15"/>
      <c r="OFV43" s="15"/>
      <c r="OFW43" s="15"/>
      <c r="OFX43" s="14"/>
      <c r="OFY43" s="10"/>
      <c r="OFZ43" s="15"/>
      <c r="OGA43" s="15"/>
      <c r="OGB43" s="14"/>
      <c r="OGC43" s="15"/>
      <c r="OGD43" s="15"/>
      <c r="OGE43" s="15"/>
      <c r="OGF43" s="14"/>
      <c r="OGG43" s="15"/>
      <c r="OGH43" s="15"/>
      <c r="OGI43" s="15"/>
      <c r="OGJ43" s="14"/>
      <c r="OGK43" s="15"/>
      <c r="OGL43" s="15"/>
      <c r="OGM43" s="15"/>
      <c r="OGN43" s="14"/>
      <c r="OGO43" s="10"/>
      <c r="OGP43" s="15"/>
      <c r="OGQ43" s="15"/>
      <c r="OGR43" s="14"/>
      <c r="OGS43" s="15"/>
      <c r="OGT43" s="15"/>
      <c r="OGU43" s="15"/>
      <c r="OGV43" s="14"/>
      <c r="OGW43" s="15"/>
      <c r="OGX43" s="15"/>
      <c r="OGY43" s="15"/>
      <c r="OGZ43" s="14"/>
      <c r="OHA43" s="15"/>
      <c r="OHB43" s="15"/>
      <c r="OHC43" s="15"/>
      <c r="OHD43" s="14"/>
      <c r="OHE43" s="10"/>
      <c r="OHF43" s="15"/>
      <c r="OHG43" s="15"/>
      <c r="OHH43" s="14"/>
      <c r="OHI43" s="15"/>
      <c r="OHJ43" s="15"/>
      <c r="OHK43" s="15"/>
      <c r="OHL43" s="14"/>
      <c r="OHM43" s="15"/>
      <c r="OHN43" s="15"/>
      <c r="OHO43" s="15"/>
      <c r="OHP43" s="14"/>
      <c r="OHQ43" s="15"/>
      <c r="OHR43" s="15"/>
      <c r="OHS43" s="15"/>
      <c r="OHT43" s="14"/>
      <c r="OHU43" s="10"/>
      <c r="OHV43" s="15"/>
      <c r="OHW43" s="15"/>
      <c r="OHX43" s="14"/>
      <c r="OHY43" s="15"/>
      <c r="OHZ43" s="15"/>
      <c r="OIA43" s="15"/>
      <c r="OIB43" s="14"/>
      <c r="OIC43" s="15"/>
      <c r="OID43" s="15"/>
      <c r="OIE43" s="15"/>
      <c r="OIF43" s="14"/>
      <c r="OIG43" s="15"/>
      <c r="OIH43" s="15"/>
      <c r="OII43" s="15"/>
      <c r="OIJ43" s="14"/>
      <c r="OIK43" s="10"/>
      <c r="OIL43" s="15"/>
      <c r="OIM43" s="15"/>
      <c r="OIN43" s="14"/>
      <c r="OIO43" s="15"/>
      <c r="OIP43" s="15"/>
      <c r="OIQ43" s="15"/>
      <c r="OIR43" s="14"/>
      <c r="OIS43" s="15"/>
      <c r="OIT43" s="15"/>
      <c r="OIU43" s="15"/>
      <c r="OIV43" s="14"/>
      <c r="OIW43" s="15"/>
      <c r="OIX43" s="15"/>
      <c r="OIY43" s="15"/>
      <c r="OIZ43" s="14"/>
      <c r="OJA43" s="10"/>
      <c r="OJB43" s="15"/>
      <c r="OJC43" s="15"/>
      <c r="OJD43" s="14"/>
      <c r="OJE43" s="15"/>
      <c r="OJF43" s="15"/>
      <c r="OJG43" s="15"/>
      <c r="OJH43" s="14"/>
      <c r="OJI43" s="15"/>
      <c r="OJJ43" s="15"/>
      <c r="OJK43" s="15"/>
      <c r="OJL43" s="14"/>
      <c r="OJM43" s="15"/>
      <c r="OJN43" s="15"/>
      <c r="OJO43" s="15"/>
      <c r="OJP43" s="14"/>
      <c r="OJQ43" s="10"/>
      <c r="OJR43" s="15"/>
      <c r="OJS43" s="15"/>
      <c r="OJT43" s="14"/>
      <c r="OJU43" s="15"/>
      <c r="OJV43" s="15"/>
      <c r="OJW43" s="15"/>
      <c r="OJX43" s="14"/>
      <c r="OJY43" s="15"/>
      <c r="OJZ43" s="15"/>
      <c r="OKA43" s="15"/>
      <c r="OKB43" s="14"/>
      <c r="OKC43" s="15"/>
      <c r="OKD43" s="15"/>
      <c r="OKE43" s="15"/>
      <c r="OKF43" s="14"/>
      <c r="OKG43" s="10"/>
      <c r="OKH43" s="15"/>
      <c r="OKI43" s="15"/>
      <c r="OKJ43" s="14"/>
      <c r="OKK43" s="15"/>
      <c r="OKL43" s="15"/>
      <c r="OKM43" s="15"/>
      <c r="OKN43" s="14"/>
      <c r="OKO43" s="15"/>
      <c r="OKP43" s="15"/>
      <c r="OKQ43" s="15"/>
      <c r="OKR43" s="14"/>
      <c r="OKS43" s="15"/>
      <c r="OKT43" s="15"/>
      <c r="OKU43" s="15"/>
      <c r="OKV43" s="14"/>
      <c r="OKW43" s="10"/>
      <c r="OKX43" s="15"/>
      <c r="OKY43" s="15"/>
      <c r="OKZ43" s="14"/>
      <c r="OLA43" s="15"/>
      <c r="OLB43" s="15"/>
      <c r="OLC43" s="15"/>
      <c r="OLD43" s="14"/>
      <c r="OLE43" s="15"/>
      <c r="OLF43" s="15"/>
      <c r="OLG43" s="15"/>
      <c r="OLH43" s="14"/>
      <c r="OLI43" s="15"/>
      <c r="OLJ43" s="15"/>
      <c r="OLK43" s="15"/>
      <c r="OLL43" s="14"/>
      <c r="OLM43" s="10"/>
      <c r="OLN43" s="15"/>
      <c r="OLO43" s="15"/>
      <c r="OLP43" s="14"/>
      <c r="OLQ43" s="15"/>
      <c r="OLR43" s="15"/>
      <c r="OLS43" s="15"/>
      <c r="OLT43" s="14"/>
      <c r="OLU43" s="15"/>
      <c r="OLV43" s="15"/>
      <c r="OLW43" s="15"/>
      <c r="OLX43" s="14"/>
      <c r="OLY43" s="15"/>
      <c r="OLZ43" s="15"/>
      <c r="OMA43" s="15"/>
      <c r="OMB43" s="14"/>
      <c r="OMC43" s="10"/>
      <c r="OMD43" s="15"/>
      <c r="OME43" s="15"/>
      <c r="OMF43" s="14"/>
      <c r="OMG43" s="15"/>
      <c r="OMH43" s="15"/>
      <c r="OMI43" s="15"/>
      <c r="OMJ43" s="14"/>
      <c r="OMK43" s="15"/>
      <c r="OML43" s="15"/>
      <c r="OMM43" s="15"/>
      <c r="OMN43" s="14"/>
      <c r="OMO43" s="15"/>
      <c r="OMP43" s="15"/>
      <c r="OMQ43" s="15"/>
      <c r="OMR43" s="14"/>
      <c r="OMS43" s="10"/>
      <c r="OMT43" s="15"/>
      <c r="OMU43" s="15"/>
      <c r="OMV43" s="14"/>
      <c r="OMW43" s="15"/>
      <c r="OMX43" s="15"/>
      <c r="OMY43" s="15"/>
      <c r="OMZ43" s="14"/>
      <c r="ONA43" s="15"/>
      <c r="ONB43" s="15"/>
      <c r="ONC43" s="15"/>
      <c r="OND43" s="14"/>
      <c r="ONE43" s="15"/>
      <c r="ONF43" s="15"/>
      <c r="ONG43" s="15"/>
      <c r="ONH43" s="14"/>
      <c r="ONI43" s="10"/>
      <c r="ONJ43" s="15"/>
      <c r="ONK43" s="15"/>
      <c r="ONL43" s="14"/>
      <c r="ONM43" s="15"/>
      <c r="ONN43" s="15"/>
      <c r="ONO43" s="15"/>
      <c r="ONP43" s="14"/>
      <c r="ONQ43" s="15"/>
      <c r="ONR43" s="15"/>
      <c r="ONS43" s="15"/>
      <c r="ONT43" s="14"/>
      <c r="ONU43" s="15"/>
      <c r="ONV43" s="15"/>
      <c r="ONW43" s="15"/>
      <c r="ONX43" s="14"/>
      <c r="ONY43" s="10"/>
      <c r="ONZ43" s="15"/>
      <c r="OOA43" s="15"/>
      <c r="OOB43" s="14"/>
      <c r="OOC43" s="15"/>
      <c r="OOD43" s="15"/>
      <c r="OOE43" s="15"/>
      <c r="OOF43" s="14"/>
      <c r="OOG43" s="15"/>
      <c r="OOH43" s="15"/>
      <c r="OOI43" s="15"/>
      <c r="OOJ43" s="14"/>
      <c r="OOK43" s="15"/>
      <c r="OOL43" s="15"/>
      <c r="OOM43" s="15"/>
      <c r="OON43" s="14"/>
      <c r="OOO43" s="10"/>
      <c r="OOP43" s="15"/>
      <c r="OOQ43" s="15"/>
      <c r="OOR43" s="14"/>
      <c r="OOS43" s="15"/>
      <c r="OOT43" s="15"/>
      <c r="OOU43" s="15"/>
      <c r="OOV43" s="14"/>
      <c r="OOW43" s="15"/>
      <c r="OOX43" s="15"/>
      <c r="OOY43" s="15"/>
      <c r="OOZ43" s="14"/>
      <c r="OPA43" s="15"/>
      <c r="OPB43" s="15"/>
      <c r="OPC43" s="15"/>
      <c r="OPD43" s="14"/>
      <c r="OPE43" s="10"/>
      <c r="OPF43" s="15"/>
      <c r="OPG43" s="15"/>
      <c r="OPH43" s="14"/>
      <c r="OPI43" s="15"/>
      <c r="OPJ43" s="15"/>
      <c r="OPK43" s="15"/>
      <c r="OPL43" s="14"/>
      <c r="OPM43" s="15"/>
      <c r="OPN43" s="15"/>
      <c r="OPO43" s="15"/>
      <c r="OPP43" s="14"/>
      <c r="OPQ43" s="15"/>
      <c r="OPR43" s="15"/>
      <c r="OPS43" s="15"/>
      <c r="OPT43" s="14"/>
      <c r="OPU43" s="10"/>
      <c r="OPV43" s="15"/>
      <c r="OPW43" s="15"/>
      <c r="OPX43" s="14"/>
      <c r="OPY43" s="15"/>
      <c r="OPZ43" s="15"/>
      <c r="OQA43" s="15"/>
      <c r="OQB43" s="14"/>
      <c r="OQC43" s="15"/>
      <c r="OQD43" s="15"/>
      <c r="OQE43" s="15"/>
      <c r="OQF43" s="14"/>
      <c r="OQG43" s="15"/>
      <c r="OQH43" s="15"/>
      <c r="OQI43" s="15"/>
      <c r="OQJ43" s="14"/>
      <c r="OQK43" s="10"/>
      <c r="OQL43" s="15"/>
      <c r="OQM43" s="15"/>
      <c r="OQN43" s="14"/>
      <c r="OQO43" s="15"/>
      <c r="OQP43" s="15"/>
      <c r="OQQ43" s="15"/>
      <c r="OQR43" s="14"/>
      <c r="OQS43" s="15"/>
      <c r="OQT43" s="15"/>
      <c r="OQU43" s="15"/>
      <c r="OQV43" s="14"/>
      <c r="OQW43" s="15"/>
      <c r="OQX43" s="15"/>
      <c r="OQY43" s="15"/>
      <c r="OQZ43" s="14"/>
      <c r="ORA43" s="10"/>
      <c r="ORB43" s="15"/>
      <c r="ORC43" s="15"/>
      <c r="ORD43" s="14"/>
      <c r="ORE43" s="15"/>
      <c r="ORF43" s="15"/>
      <c r="ORG43" s="15"/>
      <c r="ORH43" s="14"/>
      <c r="ORI43" s="15"/>
      <c r="ORJ43" s="15"/>
      <c r="ORK43" s="15"/>
      <c r="ORL43" s="14"/>
      <c r="ORM43" s="15"/>
      <c r="ORN43" s="15"/>
      <c r="ORO43" s="15"/>
      <c r="ORP43" s="14"/>
      <c r="ORQ43" s="10"/>
      <c r="ORR43" s="15"/>
      <c r="ORS43" s="15"/>
      <c r="ORT43" s="14"/>
      <c r="ORU43" s="15"/>
      <c r="ORV43" s="15"/>
      <c r="ORW43" s="15"/>
      <c r="ORX43" s="14"/>
      <c r="ORY43" s="15"/>
      <c r="ORZ43" s="15"/>
      <c r="OSA43" s="15"/>
      <c r="OSB43" s="14"/>
      <c r="OSC43" s="15"/>
      <c r="OSD43" s="15"/>
      <c r="OSE43" s="15"/>
      <c r="OSF43" s="14"/>
      <c r="OSG43" s="10"/>
      <c r="OSH43" s="15"/>
      <c r="OSI43" s="15"/>
      <c r="OSJ43" s="14"/>
      <c r="OSK43" s="15"/>
      <c r="OSL43" s="15"/>
      <c r="OSM43" s="15"/>
      <c r="OSN43" s="14"/>
      <c r="OSO43" s="15"/>
      <c r="OSP43" s="15"/>
      <c r="OSQ43" s="15"/>
      <c r="OSR43" s="14"/>
      <c r="OSS43" s="15"/>
      <c r="OST43" s="15"/>
      <c r="OSU43" s="15"/>
      <c r="OSV43" s="14"/>
      <c r="OSW43" s="10"/>
      <c r="OSX43" s="15"/>
      <c r="OSY43" s="15"/>
      <c r="OSZ43" s="14"/>
      <c r="OTA43" s="15"/>
      <c r="OTB43" s="15"/>
      <c r="OTC43" s="15"/>
      <c r="OTD43" s="14"/>
      <c r="OTE43" s="15"/>
      <c r="OTF43" s="15"/>
      <c r="OTG43" s="15"/>
      <c r="OTH43" s="14"/>
      <c r="OTI43" s="15"/>
      <c r="OTJ43" s="15"/>
      <c r="OTK43" s="15"/>
      <c r="OTL43" s="14"/>
      <c r="OTM43" s="10"/>
      <c r="OTN43" s="15"/>
      <c r="OTO43" s="15"/>
      <c r="OTP43" s="14"/>
      <c r="OTQ43" s="15"/>
      <c r="OTR43" s="15"/>
      <c r="OTS43" s="15"/>
      <c r="OTT43" s="14"/>
      <c r="OTU43" s="15"/>
      <c r="OTV43" s="15"/>
      <c r="OTW43" s="15"/>
      <c r="OTX43" s="14"/>
      <c r="OTY43" s="15"/>
      <c r="OTZ43" s="15"/>
      <c r="OUA43" s="15"/>
      <c r="OUB43" s="14"/>
      <c r="OUC43" s="10"/>
      <c r="OUD43" s="15"/>
      <c r="OUE43" s="15"/>
      <c r="OUF43" s="14"/>
      <c r="OUG43" s="15"/>
      <c r="OUH43" s="15"/>
      <c r="OUI43" s="15"/>
      <c r="OUJ43" s="14"/>
      <c r="OUK43" s="15"/>
      <c r="OUL43" s="15"/>
      <c r="OUM43" s="15"/>
      <c r="OUN43" s="14"/>
      <c r="OUO43" s="15"/>
      <c r="OUP43" s="15"/>
      <c r="OUQ43" s="15"/>
      <c r="OUR43" s="14"/>
      <c r="OUS43" s="10"/>
      <c r="OUT43" s="15"/>
      <c r="OUU43" s="15"/>
      <c r="OUV43" s="14"/>
      <c r="OUW43" s="15"/>
      <c r="OUX43" s="15"/>
      <c r="OUY43" s="15"/>
      <c r="OUZ43" s="14"/>
      <c r="OVA43" s="15"/>
      <c r="OVB43" s="15"/>
      <c r="OVC43" s="15"/>
      <c r="OVD43" s="14"/>
      <c r="OVE43" s="15"/>
      <c r="OVF43" s="15"/>
      <c r="OVG43" s="15"/>
      <c r="OVH43" s="14"/>
      <c r="OVI43" s="10"/>
      <c r="OVJ43" s="15"/>
      <c r="OVK43" s="15"/>
      <c r="OVL43" s="14"/>
      <c r="OVM43" s="15"/>
      <c r="OVN43" s="15"/>
      <c r="OVO43" s="15"/>
      <c r="OVP43" s="14"/>
      <c r="OVQ43" s="15"/>
      <c r="OVR43" s="15"/>
      <c r="OVS43" s="15"/>
      <c r="OVT43" s="14"/>
      <c r="OVU43" s="15"/>
      <c r="OVV43" s="15"/>
      <c r="OVW43" s="15"/>
      <c r="OVX43" s="14"/>
      <c r="OVY43" s="10"/>
      <c r="OVZ43" s="15"/>
      <c r="OWA43" s="15"/>
      <c r="OWB43" s="14"/>
      <c r="OWC43" s="15"/>
      <c r="OWD43" s="15"/>
      <c r="OWE43" s="15"/>
      <c r="OWF43" s="14"/>
      <c r="OWG43" s="15"/>
      <c r="OWH43" s="15"/>
      <c r="OWI43" s="15"/>
      <c r="OWJ43" s="14"/>
      <c r="OWK43" s="15"/>
      <c r="OWL43" s="15"/>
      <c r="OWM43" s="15"/>
      <c r="OWN43" s="14"/>
      <c r="OWO43" s="10"/>
      <c r="OWP43" s="15"/>
      <c r="OWQ43" s="15"/>
      <c r="OWR43" s="14"/>
      <c r="OWS43" s="15"/>
      <c r="OWT43" s="15"/>
      <c r="OWU43" s="15"/>
      <c r="OWV43" s="14"/>
      <c r="OWW43" s="15"/>
      <c r="OWX43" s="15"/>
      <c r="OWY43" s="15"/>
      <c r="OWZ43" s="14"/>
      <c r="OXA43" s="15"/>
      <c r="OXB43" s="15"/>
      <c r="OXC43" s="15"/>
      <c r="OXD43" s="14"/>
      <c r="OXE43" s="10"/>
      <c r="OXF43" s="15"/>
      <c r="OXG43" s="15"/>
      <c r="OXH43" s="14"/>
      <c r="OXI43" s="15"/>
      <c r="OXJ43" s="15"/>
      <c r="OXK43" s="15"/>
      <c r="OXL43" s="14"/>
      <c r="OXM43" s="15"/>
      <c r="OXN43" s="15"/>
      <c r="OXO43" s="15"/>
      <c r="OXP43" s="14"/>
      <c r="OXQ43" s="15"/>
      <c r="OXR43" s="15"/>
      <c r="OXS43" s="15"/>
      <c r="OXT43" s="14"/>
      <c r="OXU43" s="10"/>
      <c r="OXV43" s="15"/>
      <c r="OXW43" s="15"/>
      <c r="OXX43" s="14"/>
      <c r="OXY43" s="15"/>
      <c r="OXZ43" s="15"/>
      <c r="OYA43" s="15"/>
      <c r="OYB43" s="14"/>
      <c r="OYC43" s="15"/>
      <c r="OYD43" s="15"/>
      <c r="OYE43" s="15"/>
      <c r="OYF43" s="14"/>
      <c r="OYG43" s="15"/>
      <c r="OYH43" s="15"/>
      <c r="OYI43" s="15"/>
      <c r="OYJ43" s="14"/>
      <c r="OYK43" s="10"/>
      <c r="OYL43" s="15"/>
      <c r="OYM43" s="15"/>
      <c r="OYN43" s="14"/>
      <c r="OYO43" s="15"/>
      <c r="OYP43" s="15"/>
      <c r="OYQ43" s="15"/>
      <c r="OYR43" s="14"/>
      <c r="OYS43" s="15"/>
      <c r="OYT43" s="15"/>
      <c r="OYU43" s="15"/>
      <c r="OYV43" s="14"/>
      <c r="OYW43" s="15"/>
      <c r="OYX43" s="15"/>
      <c r="OYY43" s="15"/>
      <c r="OYZ43" s="14"/>
      <c r="OZA43" s="10"/>
      <c r="OZB43" s="15"/>
      <c r="OZC43" s="15"/>
      <c r="OZD43" s="14"/>
      <c r="OZE43" s="15"/>
      <c r="OZF43" s="15"/>
      <c r="OZG43" s="15"/>
      <c r="OZH43" s="14"/>
      <c r="OZI43" s="15"/>
      <c r="OZJ43" s="15"/>
      <c r="OZK43" s="15"/>
      <c r="OZL43" s="14"/>
      <c r="OZM43" s="15"/>
      <c r="OZN43" s="15"/>
      <c r="OZO43" s="15"/>
      <c r="OZP43" s="14"/>
      <c r="OZQ43" s="10"/>
      <c r="OZR43" s="15"/>
      <c r="OZS43" s="15"/>
      <c r="OZT43" s="14"/>
      <c r="OZU43" s="15"/>
      <c r="OZV43" s="15"/>
      <c r="OZW43" s="15"/>
      <c r="OZX43" s="14"/>
      <c r="OZY43" s="15"/>
      <c r="OZZ43" s="15"/>
      <c r="PAA43" s="15"/>
      <c r="PAB43" s="14"/>
      <c r="PAC43" s="15"/>
      <c r="PAD43" s="15"/>
      <c r="PAE43" s="15"/>
      <c r="PAF43" s="14"/>
      <c r="PAG43" s="10"/>
      <c r="PAH43" s="15"/>
      <c r="PAI43" s="15"/>
      <c r="PAJ43" s="14"/>
      <c r="PAK43" s="15"/>
      <c r="PAL43" s="15"/>
      <c r="PAM43" s="15"/>
      <c r="PAN43" s="14"/>
      <c r="PAO43" s="15"/>
      <c r="PAP43" s="15"/>
      <c r="PAQ43" s="15"/>
      <c r="PAR43" s="14"/>
      <c r="PAS43" s="15"/>
      <c r="PAT43" s="15"/>
      <c r="PAU43" s="15"/>
      <c r="PAV43" s="14"/>
      <c r="PAW43" s="10"/>
      <c r="PAX43" s="15"/>
      <c r="PAY43" s="15"/>
      <c r="PAZ43" s="14"/>
      <c r="PBA43" s="15"/>
      <c r="PBB43" s="15"/>
      <c r="PBC43" s="15"/>
      <c r="PBD43" s="14"/>
      <c r="PBE43" s="15"/>
      <c r="PBF43" s="15"/>
      <c r="PBG43" s="15"/>
      <c r="PBH43" s="14"/>
      <c r="PBI43" s="15"/>
      <c r="PBJ43" s="15"/>
      <c r="PBK43" s="15"/>
      <c r="PBL43" s="14"/>
      <c r="PBM43" s="10"/>
      <c r="PBN43" s="15"/>
      <c r="PBO43" s="15"/>
      <c r="PBP43" s="14"/>
      <c r="PBQ43" s="15"/>
      <c r="PBR43" s="15"/>
      <c r="PBS43" s="15"/>
      <c r="PBT43" s="14"/>
      <c r="PBU43" s="15"/>
      <c r="PBV43" s="15"/>
      <c r="PBW43" s="15"/>
      <c r="PBX43" s="14"/>
      <c r="PBY43" s="15"/>
      <c r="PBZ43" s="15"/>
      <c r="PCA43" s="15"/>
      <c r="PCB43" s="14"/>
      <c r="PCC43" s="10"/>
      <c r="PCD43" s="15"/>
      <c r="PCE43" s="15"/>
      <c r="PCF43" s="14"/>
      <c r="PCG43" s="15"/>
      <c r="PCH43" s="15"/>
      <c r="PCI43" s="15"/>
      <c r="PCJ43" s="14"/>
      <c r="PCK43" s="15"/>
      <c r="PCL43" s="15"/>
      <c r="PCM43" s="15"/>
      <c r="PCN43" s="14"/>
      <c r="PCO43" s="15"/>
      <c r="PCP43" s="15"/>
      <c r="PCQ43" s="15"/>
      <c r="PCR43" s="14"/>
      <c r="PCS43" s="10"/>
      <c r="PCT43" s="15"/>
      <c r="PCU43" s="15"/>
      <c r="PCV43" s="14"/>
      <c r="PCW43" s="15"/>
      <c r="PCX43" s="15"/>
      <c r="PCY43" s="15"/>
      <c r="PCZ43" s="14"/>
      <c r="PDA43" s="15"/>
      <c r="PDB43" s="15"/>
      <c r="PDC43" s="15"/>
      <c r="PDD43" s="14"/>
      <c r="PDE43" s="15"/>
      <c r="PDF43" s="15"/>
      <c r="PDG43" s="15"/>
      <c r="PDH43" s="14"/>
      <c r="PDI43" s="10"/>
      <c r="PDJ43" s="15"/>
      <c r="PDK43" s="15"/>
      <c r="PDL43" s="14"/>
      <c r="PDM43" s="15"/>
      <c r="PDN43" s="15"/>
      <c r="PDO43" s="15"/>
      <c r="PDP43" s="14"/>
      <c r="PDQ43" s="15"/>
      <c r="PDR43" s="15"/>
      <c r="PDS43" s="15"/>
      <c r="PDT43" s="14"/>
      <c r="PDU43" s="15"/>
      <c r="PDV43" s="15"/>
      <c r="PDW43" s="15"/>
      <c r="PDX43" s="14"/>
      <c r="PDY43" s="10"/>
      <c r="PDZ43" s="15"/>
      <c r="PEA43" s="15"/>
      <c r="PEB43" s="14"/>
      <c r="PEC43" s="15"/>
      <c r="PED43" s="15"/>
      <c r="PEE43" s="15"/>
      <c r="PEF43" s="14"/>
      <c r="PEG43" s="15"/>
      <c r="PEH43" s="15"/>
      <c r="PEI43" s="15"/>
      <c r="PEJ43" s="14"/>
      <c r="PEK43" s="15"/>
      <c r="PEL43" s="15"/>
      <c r="PEM43" s="15"/>
      <c r="PEN43" s="14"/>
      <c r="PEO43" s="10"/>
      <c r="PEP43" s="15"/>
      <c r="PEQ43" s="15"/>
      <c r="PER43" s="14"/>
      <c r="PES43" s="15"/>
      <c r="PET43" s="15"/>
      <c r="PEU43" s="15"/>
      <c r="PEV43" s="14"/>
      <c r="PEW43" s="15"/>
      <c r="PEX43" s="15"/>
      <c r="PEY43" s="15"/>
      <c r="PEZ43" s="14"/>
      <c r="PFA43" s="15"/>
      <c r="PFB43" s="15"/>
      <c r="PFC43" s="15"/>
      <c r="PFD43" s="14"/>
      <c r="PFE43" s="10"/>
      <c r="PFF43" s="15"/>
      <c r="PFG43" s="15"/>
      <c r="PFH43" s="14"/>
      <c r="PFI43" s="15"/>
      <c r="PFJ43" s="15"/>
      <c r="PFK43" s="15"/>
      <c r="PFL43" s="14"/>
      <c r="PFM43" s="15"/>
      <c r="PFN43" s="15"/>
      <c r="PFO43" s="15"/>
      <c r="PFP43" s="14"/>
      <c r="PFQ43" s="15"/>
      <c r="PFR43" s="15"/>
      <c r="PFS43" s="15"/>
      <c r="PFT43" s="14"/>
      <c r="PFU43" s="10"/>
      <c r="PFV43" s="15"/>
      <c r="PFW43" s="15"/>
      <c r="PFX43" s="14"/>
      <c r="PFY43" s="15"/>
      <c r="PFZ43" s="15"/>
      <c r="PGA43" s="15"/>
      <c r="PGB43" s="14"/>
      <c r="PGC43" s="15"/>
      <c r="PGD43" s="15"/>
      <c r="PGE43" s="15"/>
      <c r="PGF43" s="14"/>
      <c r="PGG43" s="15"/>
      <c r="PGH43" s="15"/>
      <c r="PGI43" s="15"/>
      <c r="PGJ43" s="14"/>
      <c r="PGK43" s="10"/>
      <c r="PGL43" s="15"/>
      <c r="PGM43" s="15"/>
      <c r="PGN43" s="14"/>
      <c r="PGO43" s="15"/>
      <c r="PGP43" s="15"/>
      <c r="PGQ43" s="15"/>
      <c r="PGR43" s="14"/>
      <c r="PGS43" s="15"/>
      <c r="PGT43" s="15"/>
      <c r="PGU43" s="15"/>
      <c r="PGV43" s="14"/>
      <c r="PGW43" s="15"/>
      <c r="PGX43" s="15"/>
      <c r="PGY43" s="15"/>
      <c r="PGZ43" s="14"/>
      <c r="PHA43" s="10"/>
      <c r="PHB43" s="15"/>
      <c r="PHC43" s="15"/>
      <c r="PHD43" s="14"/>
      <c r="PHE43" s="15"/>
      <c r="PHF43" s="15"/>
      <c r="PHG43" s="15"/>
      <c r="PHH43" s="14"/>
      <c r="PHI43" s="15"/>
      <c r="PHJ43" s="15"/>
      <c r="PHK43" s="15"/>
      <c r="PHL43" s="14"/>
      <c r="PHM43" s="15"/>
      <c r="PHN43" s="15"/>
      <c r="PHO43" s="15"/>
      <c r="PHP43" s="14"/>
      <c r="PHQ43" s="10"/>
      <c r="PHR43" s="15"/>
      <c r="PHS43" s="15"/>
      <c r="PHT43" s="14"/>
      <c r="PHU43" s="15"/>
      <c r="PHV43" s="15"/>
      <c r="PHW43" s="15"/>
      <c r="PHX43" s="14"/>
      <c r="PHY43" s="15"/>
      <c r="PHZ43" s="15"/>
      <c r="PIA43" s="15"/>
      <c r="PIB43" s="14"/>
      <c r="PIC43" s="15"/>
      <c r="PID43" s="15"/>
      <c r="PIE43" s="15"/>
      <c r="PIF43" s="14"/>
      <c r="PIG43" s="10"/>
      <c r="PIH43" s="15"/>
      <c r="PII43" s="15"/>
      <c r="PIJ43" s="14"/>
      <c r="PIK43" s="15"/>
      <c r="PIL43" s="15"/>
      <c r="PIM43" s="15"/>
      <c r="PIN43" s="14"/>
      <c r="PIO43" s="15"/>
      <c r="PIP43" s="15"/>
      <c r="PIQ43" s="15"/>
      <c r="PIR43" s="14"/>
      <c r="PIS43" s="15"/>
      <c r="PIT43" s="15"/>
      <c r="PIU43" s="15"/>
      <c r="PIV43" s="14"/>
      <c r="PIW43" s="10"/>
      <c r="PIX43" s="15"/>
      <c r="PIY43" s="15"/>
      <c r="PIZ43" s="14"/>
      <c r="PJA43" s="15"/>
      <c r="PJB43" s="15"/>
      <c r="PJC43" s="15"/>
      <c r="PJD43" s="14"/>
      <c r="PJE43" s="15"/>
      <c r="PJF43" s="15"/>
      <c r="PJG43" s="15"/>
      <c r="PJH43" s="14"/>
      <c r="PJI43" s="15"/>
      <c r="PJJ43" s="15"/>
      <c r="PJK43" s="15"/>
      <c r="PJL43" s="14"/>
      <c r="PJM43" s="10"/>
      <c r="PJN43" s="15"/>
      <c r="PJO43" s="15"/>
      <c r="PJP43" s="14"/>
      <c r="PJQ43" s="15"/>
      <c r="PJR43" s="15"/>
      <c r="PJS43" s="15"/>
      <c r="PJT43" s="14"/>
      <c r="PJU43" s="15"/>
      <c r="PJV43" s="15"/>
      <c r="PJW43" s="15"/>
      <c r="PJX43" s="14"/>
      <c r="PJY43" s="15"/>
      <c r="PJZ43" s="15"/>
      <c r="PKA43" s="15"/>
      <c r="PKB43" s="14"/>
      <c r="PKC43" s="10"/>
      <c r="PKD43" s="15"/>
      <c r="PKE43" s="15"/>
      <c r="PKF43" s="14"/>
      <c r="PKG43" s="15"/>
      <c r="PKH43" s="15"/>
      <c r="PKI43" s="15"/>
      <c r="PKJ43" s="14"/>
      <c r="PKK43" s="15"/>
      <c r="PKL43" s="15"/>
      <c r="PKM43" s="15"/>
      <c r="PKN43" s="14"/>
      <c r="PKO43" s="15"/>
      <c r="PKP43" s="15"/>
      <c r="PKQ43" s="15"/>
      <c r="PKR43" s="14"/>
      <c r="PKS43" s="10"/>
      <c r="PKT43" s="15"/>
      <c r="PKU43" s="15"/>
      <c r="PKV43" s="14"/>
      <c r="PKW43" s="15"/>
      <c r="PKX43" s="15"/>
      <c r="PKY43" s="15"/>
      <c r="PKZ43" s="14"/>
      <c r="PLA43" s="15"/>
      <c r="PLB43" s="15"/>
      <c r="PLC43" s="15"/>
      <c r="PLD43" s="14"/>
      <c r="PLE43" s="15"/>
      <c r="PLF43" s="15"/>
      <c r="PLG43" s="15"/>
      <c r="PLH43" s="14"/>
      <c r="PLI43" s="10"/>
      <c r="PLJ43" s="15"/>
      <c r="PLK43" s="15"/>
      <c r="PLL43" s="14"/>
      <c r="PLM43" s="15"/>
      <c r="PLN43" s="15"/>
      <c r="PLO43" s="15"/>
      <c r="PLP43" s="14"/>
      <c r="PLQ43" s="15"/>
      <c r="PLR43" s="15"/>
      <c r="PLS43" s="15"/>
      <c r="PLT43" s="14"/>
      <c r="PLU43" s="15"/>
      <c r="PLV43" s="15"/>
      <c r="PLW43" s="15"/>
      <c r="PLX43" s="14"/>
      <c r="PLY43" s="10"/>
      <c r="PLZ43" s="15"/>
      <c r="PMA43" s="15"/>
      <c r="PMB43" s="14"/>
      <c r="PMC43" s="15"/>
      <c r="PMD43" s="15"/>
      <c r="PME43" s="15"/>
      <c r="PMF43" s="14"/>
      <c r="PMG43" s="15"/>
      <c r="PMH43" s="15"/>
      <c r="PMI43" s="15"/>
      <c r="PMJ43" s="14"/>
      <c r="PMK43" s="15"/>
      <c r="PML43" s="15"/>
      <c r="PMM43" s="15"/>
      <c r="PMN43" s="14"/>
      <c r="PMO43" s="10"/>
      <c r="PMP43" s="15"/>
      <c r="PMQ43" s="15"/>
      <c r="PMR43" s="14"/>
      <c r="PMS43" s="15"/>
      <c r="PMT43" s="15"/>
      <c r="PMU43" s="15"/>
      <c r="PMV43" s="14"/>
      <c r="PMW43" s="15"/>
      <c r="PMX43" s="15"/>
      <c r="PMY43" s="15"/>
      <c r="PMZ43" s="14"/>
      <c r="PNA43" s="15"/>
      <c r="PNB43" s="15"/>
      <c r="PNC43" s="15"/>
      <c r="PND43" s="14"/>
      <c r="PNE43" s="10"/>
      <c r="PNF43" s="15"/>
      <c r="PNG43" s="15"/>
      <c r="PNH43" s="14"/>
      <c r="PNI43" s="15"/>
      <c r="PNJ43" s="15"/>
      <c r="PNK43" s="15"/>
      <c r="PNL43" s="14"/>
      <c r="PNM43" s="15"/>
      <c r="PNN43" s="15"/>
      <c r="PNO43" s="15"/>
      <c r="PNP43" s="14"/>
      <c r="PNQ43" s="15"/>
      <c r="PNR43" s="15"/>
      <c r="PNS43" s="15"/>
      <c r="PNT43" s="14"/>
      <c r="PNU43" s="10"/>
      <c r="PNV43" s="15"/>
      <c r="PNW43" s="15"/>
      <c r="PNX43" s="14"/>
      <c r="PNY43" s="15"/>
      <c r="PNZ43" s="15"/>
      <c r="POA43" s="15"/>
      <c r="POB43" s="14"/>
      <c r="POC43" s="15"/>
      <c r="POD43" s="15"/>
      <c r="POE43" s="15"/>
      <c r="POF43" s="14"/>
      <c r="POG43" s="15"/>
      <c r="POH43" s="15"/>
      <c r="POI43" s="15"/>
      <c r="POJ43" s="14"/>
      <c r="POK43" s="10"/>
      <c r="POL43" s="15"/>
      <c r="POM43" s="15"/>
      <c r="PON43" s="14"/>
      <c r="POO43" s="15"/>
      <c r="POP43" s="15"/>
      <c r="POQ43" s="15"/>
      <c r="POR43" s="14"/>
      <c r="POS43" s="15"/>
      <c r="POT43" s="15"/>
      <c r="POU43" s="15"/>
      <c r="POV43" s="14"/>
      <c r="POW43" s="15"/>
      <c r="POX43" s="15"/>
      <c r="POY43" s="15"/>
      <c r="POZ43" s="14"/>
      <c r="PPA43" s="10"/>
      <c r="PPB43" s="15"/>
      <c r="PPC43" s="15"/>
      <c r="PPD43" s="14"/>
      <c r="PPE43" s="15"/>
      <c r="PPF43" s="15"/>
      <c r="PPG43" s="15"/>
      <c r="PPH43" s="14"/>
      <c r="PPI43" s="15"/>
      <c r="PPJ43" s="15"/>
      <c r="PPK43" s="15"/>
      <c r="PPL43" s="14"/>
      <c r="PPM43" s="15"/>
      <c r="PPN43" s="15"/>
      <c r="PPO43" s="15"/>
      <c r="PPP43" s="14"/>
      <c r="PPQ43" s="10"/>
      <c r="PPR43" s="15"/>
      <c r="PPS43" s="15"/>
      <c r="PPT43" s="14"/>
      <c r="PPU43" s="15"/>
      <c r="PPV43" s="15"/>
      <c r="PPW43" s="15"/>
      <c r="PPX43" s="14"/>
      <c r="PPY43" s="15"/>
      <c r="PPZ43" s="15"/>
      <c r="PQA43" s="15"/>
      <c r="PQB43" s="14"/>
      <c r="PQC43" s="15"/>
      <c r="PQD43" s="15"/>
      <c r="PQE43" s="15"/>
      <c r="PQF43" s="14"/>
      <c r="PQG43" s="10"/>
      <c r="PQH43" s="15"/>
      <c r="PQI43" s="15"/>
      <c r="PQJ43" s="14"/>
      <c r="PQK43" s="15"/>
      <c r="PQL43" s="15"/>
      <c r="PQM43" s="15"/>
      <c r="PQN43" s="14"/>
      <c r="PQO43" s="15"/>
      <c r="PQP43" s="15"/>
      <c r="PQQ43" s="15"/>
      <c r="PQR43" s="14"/>
      <c r="PQS43" s="15"/>
      <c r="PQT43" s="15"/>
      <c r="PQU43" s="15"/>
      <c r="PQV43" s="14"/>
      <c r="PQW43" s="10"/>
      <c r="PQX43" s="15"/>
      <c r="PQY43" s="15"/>
      <c r="PQZ43" s="14"/>
      <c r="PRA43" s="15"/>
      <c r="PRB43" s="15"/>
      <c r="PRC43" s="15"/>
      <c r="PRD43" s="14"/>
      <c r="PRE43" s="15"/>
      <c r="PRF43" s="15"/>
      <c r="PRG43" s="15"/>
      <c r="PRH43" s="14"/>
      <c r="PRI43" s="15"/>
      <c r="PRJ43" s="15"/>
      <c r="PRK43" s="15"/>
      <c r="PRL43" s="14"/>
      <c r="PRM43" s="10"/>
      <c r="PRN43" s="15"/>
      <c r="PRO43" s="15"/>
      <c r="PRP43" s="14"/>
      <c r="PRQ43" s="15"/>
      <c r="PRR43" s="15"/>
      <c r="PRS43" s="15"/>
      <c r="PRT43" s="14"/>
      <c r="PRU43" s="15"/>
      <c r="PRV43" s="15"/>
      <c r="PRW43" s="15"/>
      <c r="PRX43" s="14"/>
      <c r="PRY43" s="15"/>
      <c r="PRZ43" s="15"/>
      <c r="PSA43" s="15"/>
      <c r="PSB43" s="14"/>
      <c r="PSC43" s="10"/>
      <c r="PSD43" s="15"/>
      <c r="PSE43" s="15"/>
      <c r="PSF43" s="14"/>
      <c r="PSG43" s="15"/>
      <c r="PSH43" s="15"/>
      <c r="PSI43" s="15"/>
      <c r="PSJ43" s="14"/>
      <c r="PSK43" s="15"/>
      <c r="PSL43" s="15"/>
      <c r="PSM43" s="15"/>
      <c r="PSN43" s="14"/>
      <c r="PSO43" s="15"/>
      <c r="PSP43" s="15"/>
      <c r="PSQ43" s="15"/>
      <c r="PSR43" s="14"/>
      <c r="PSS43" s="10"/>
      <c r="PST43" s="15"/>
      <c r="PSU43" s="15"/>
      <c r="PSV43" s="14"/>
      <c r="PSW43" s="15"/>
      <c r="PSX43" s="15"/>
      <c r="PSY43" s="15"/>
      <c r="PSZ43" s="14"/>
      <c r="PTA43" s="15"/>
      <c r="PTB43" s="15"/>
      <c r="PTC43" s="15"/>
      <c r="PTD43" s="14"/>
      <c r="PTE43" s="15"/>
      <c r="PTF43" s="15"/>
      <c r="PTG43" s="15"/>
      <c r="PTH43" s="14"/>
      <c r="PTI43" s="10"/>
      <c r="PTJ43" s="15"/>
      <c r="PTK43" s="15"/>
      <c r="PTL43" s="14"/>
      <c r="PTM43" s="15"/>
      <c r="PTN43" s="15"/>
      <c r="PTO43" s="15"/>
      <c r="PTP43" s="14"/>
      <c r="PTQ43" s="15"/>
      <c r="PTR43" s="15"/>
      <c r="PTS43" s="15"/>
      <c r="PTT43" s="14"/>
      <c r="PTU43" s="15"/>
      <c r="PTV43" s="15"/>
      <c r="PTW43" s="15"/>
      <c r="PTX43" s="14"/>
      <c r="PTY43" s="10"/>
      <c r="PTZ43" s="15"/>
      <c r="PUA43" s="15"/>
      <c r="PUB43" s="14"/>
      <c r="PUC43" s="15"/>
      <c r="PUD43" s="15"/>
      <c r="PUE43" s="15"/>
      <c r="PUF43" s="14"/>
      <c r="PUG43" s="15"/>
      <c r="PUH43" s="15"/>
      <c r="PUI43" s="15"/>
      <c r="PUJ43" s="14"/>
      <c r="PUK43" s="15"/>
      <c r="PUL43" s="15"/>
      <c r="PUM43" s="15"/>
      <c r="PUN43" s="14"/>
      <c r="PUO43" s="10"/>
      <c r="PUP43" s="15"/>
      <c r="PUQ43" s="15"/>
      <c r="PUR43" s="14"/>
      <c r="PUS43" s="15"/>
      <c r="PUT43" s="15"/>
      <c r="PUU43" s="15"/>
      <c r="PUV43" s="14"/>
      <c r="PUW43" s="15"/>
      <c r="PUX43" s="15"/>
      <c r="PUY43" s="15"/>
      <c r="PUZ43" s="14"/>
      <c r="PVA43" s="15"/>
      <c r="PVB43" s="15"/>
      <c r="PVC43" s="15"/>
      <c r="PVD43" s="14"/>
      <c r="PVE43" s="10"/>
      <c r="PVF43" s="15"/>
      <c r="PVG43" s="15"/>
      <c r="PVH43" s="14"/>
      <c r="PVI43" s="15"/>
      <c r="PVJ43" s="15"/>
      <c r="PVK43" s="15"/>
      <c r="PVL43" s="14"/>
      <c r="PVM43" s="15"/>
      <c r="PVN43" s="15"/>
      <c r="PVO43" s="15"/>
      <c r="PVP43" s="14"/>
      <c r="PVQ43" s="15"/>
      <c r="PVR43" s="15"/>
      <c r="PVS43" s="15"/>
      <c r="PVT43" s="14"/>
      <c r="PVU43" s="10"/>
      <c r="PVV43" s="15"/>
      <c r="PVW43" s="15"/>
      <c r="PVX43" s="14"/>
      <c r="PVY43" s="15"/>
      <c r="PVZ43" s="15"/>
      <c r="PWA43" s="15"/>
      <c r="PWB43" s="14"/>
      <c r="PWC43" s="15"/>
      <c r="PWD43" s="15"/>
      <c r="PWE43" s="15"/>
      <c r="PWF43" s="14"/>
      <c r="PWG43" s="15"/>
      <c r="PWH43" s="15"/>
      <c r="PWI43" s="15"/>
      <c r="PWJ43" s="14"/>
      <c r="PWK43" s="10"/>
      <c r="PWL43" s="15"/>
      <c r="PWM43" s="15"/>
      <c r="PWN43" s="14"/>
      <c r="PWO43" s="15"/>
      <c r="PWP43" s="15"/>
      <c r="PWQ43" s="15"/>
      <c r="PWR43" s="14"/>
      <c r="PWS43" s="15"/>
      <c r="PWT43" s="15"/>
      <c r="PWU43" s="15"/>
      <c r="PWV43" s="14"/>
      <c r="PWW43" s="15"/>
      <c r="PWX43" s="15"/>
      <c r="PWY43" s="15"/>
      <c r="PWZ43" s="14"/>
      <c r="PXA43" s="10"/>
      <c r="PXB43" s="15"/>
      <c r="PXC43" s="15"/>
      <c r="PXD43" s="14"/>
      <c r="PXE43" s="15"/>
      <c r="PXF43" s="15"/>
      <c r="PXG43" s="15"/>
      <c r="PXH43" s="14"/>
      <c r="PXI43" s="15"/>
      <c r="PXJ43" s="15"/>
      <c r="PXK43" s="15"/>
      <c r="PXL43" s="14"/>
      <c r="PXM43" s="15"/>
      <c r="PXN43" s="15"/>
      <c r="PXO43" s="15"/>
      <c r="PXP43" s="14"/>
      <c r="PXQ43" s="10"/>
      <c r="PXR43" s="15"/>
      <c r="PXS43" s="15"/>
      <c r="PXT43" s="14"/>
      <c r="PXU43" s="15"/>
      <c r="PXV43" s="15"/>
      <c r="PXW43" s="15"/>
      <c r="PXX43" s="14"/>
      <c r="PXY43" s="15"/>
      <c r="PXZ43" s="15"/>
      <c r="PYA43" s="15"/>
      <c r="PYB43" s="14"/>
      <c r="PYC43" s="15"/>
      <c r="PYD43" s="15"/>
      <c r="PYE43" s="15"/>
      <c r="PYF43" s="14"/>
      <c r="PYG43" s="10"/>
      <c r="PYH43" s="15"/>
      <c r="PYI43" s="15"/>
      <c r="PYJ43" s="14"/>
      <c r="PYK43" s="15"/>
      <c r="PYL43" s="15"/>
      <c r="PYM43" s="15"/>
      <c r="PYN43" s="14"/>
      <c r="PYO43" s="15"/>
      <c r="PYP43" s="15"/>
      <c r="PYQ43" s="15"/>
      <c r="PYR43" s="14"/>
      <c r="PYS43" s="15"/>
      <c r="PYT43" s="15"/>
      <c r="PYU43" s="15"/>
      <c r="PYV43" s="14"/>
      <c r="PYW43" s="10"/>
      <c r="PYX43" s="15"/>
      <c r="PYY43" s="15"/>
      <c r="PYZ43" s="14"/>
      <c r="PZA43" s="15"/>
      <c r="PZB43" s="15"/>
      <c r="PZC43" s="15"/>
      <c r="PZD43" s="14"/>
      <c r="PZE43" s="15"/>
      <c r="PZF43" s="15"/>
      <c r="PZG43" s="15"/>
      <c r="PZH43" s="14"/>
      <c r="PZI43" s="15"/>
      <c r="PZJ43" s="15"/>
      <c r="PZK43" s="15"/>
      <c r="PZL43" s="14"/>
      <c r="PZM43" s="10"/>
      <c r="PZN43" s="15"/>
      <c r="PZO43" s="15"/>
      <c r="PZP43" s="14"/>
      <c r="PZQ43" s="15"/>
      <c r="PZR43" s="15"/>
      <c r="PZS43" s="15"/>
      <c r="PZT43" s="14"/>
      <c r="PZU43" s="15"/>
      <c r="PZV43" s="15"/>
      <c r="PZW43" s="15"/>
      <c r="PZX43" s="14"/>
      <c r="PZY43" s="15"/>
      <c r="PZZ43" s="15"/>
      <c r="QAA43" s="15"/>
      <c r="QAB43" s="14"/>
      <c r="QAC43" s="10"/>
      <c r="QAD43" s="15"/>
      <c r="QAE43" s="15"/>
      <c r="QAF43" s="14"/>
      <c r="QAG43" s="15"/>
      <c r="QAH43" s="15"/>
      <c r="QAI43" s="15"/>
      <c r="QAJ43" s="14"/>
      <c r="QAK43" s="15"/>
      <c r="QAL43" s="15"/>
      <c r="QAM43" s="15"/>
      <c r="QAN43" s="14"/>
      <c r="QAO43" s="15"/>
      <c r="QAP43" s="15"/>
      <c r="QAQ43" s="15"/>
      <c r="QAR43" s="14"/>
      <c r="QAS43" s="10"/>
      <c r="QAT43" s="15"/>
      <c r="QAU43" s="15"/>
      <c r="QAV43" s="14"/>
      <c r="QAW43" s="15"/>
      <c r="QAX43" s="15"/>
      <c r="QAY43" s="15"/>
      <c r="QAZ43" s="14"/>
      <c r="QBA43" s="15"/>
      <c r="QBB43" s="15"/>
      <c r="QBC43" s="15"/>
      <c r="QBD43" s="14"/>
      <c r="QBE43" s="15"/>
      <c r="QBF43" s="15"/>
      <c r="QBG43" s="15"/>
      <c r="QBH43" s="14"/>
      <c r="QBI43" s="10"/>
      <c r="QBJ43" s="15"/>
      <c r="QBK43" s="15"/>
      <c r="QBL43" s="14"/>
      <c r="QBM43" s="15"/>
      <c r="QBN43" s="15"/>
      <c r="QBO43" s="15"/>
      <c r="QBP43" s="14"/>
      <c r="QBQ43" s="15"/>
      <c r="QBR43" s="15"/>
      <c r="QBS43" s="15"/>
      <c r="QBT43" s="14"/>
      <c r="QBU43" s="15"/>
      <c r="QBV43" s="15"/>
      <c r="QBW43" s="15"/>
      <c r="QBX43" s="14"/>
      <c r="QBY43" s="10"/>
      <c r="QBZ43" s="15"/>
      <c r="QCA43" s="15"/>
      <c r="QCB43" s="14"/>
      <c r="QCC43" s="15"/>
      <c r="QCD43" s="15"/>
      <c r="QCE43" s="15"/>
      <c r="QCF43" s="14"/>
      <c r="QCG43" s="15"/>
      <c r="QCH43" s="15"/>
      <c r="QCI43" s="15"/>
      <c r="QCJ43" s="14"/>
      <c r="QCK43" s="15"/>
      <c r="QCL43" s="15"/>
      <c r="QCM43" s="15"/>
      <c r="QCN43" s="14"/>
      <c r="QCO43" s="10"/>
      <c r="QCP43" s="15"/>
      <c r="QCQ43" s="15"/>
      <c r="QCR43" s="14"/>
      <c r="QCS43" s="15"/>
      <c r="QCT43" s="15"/>
      <c r="QCU43" s="15"/>
      <c r="QCV43" s="14"/>
      <c r="QCW43" s="15"/>
      <c r="QCX43" s="15"/>
      <c r="QCY43" s="15"/>
      <c r="QCZ43" s="14"/>
      <c r="QDA43" s="15"/>
      <c r="QDB43" s="15"/>
      <c r="QDC43" s="15"/>
      <c r="QDD43" s="14"/>
      <c r="QDE43" s="10"/>
      <c r="QDF43" s="15"/>
      <c r="QDG43" s="15"/>
      <c r="QDH43" s="14"/>
      <c r="QDI43" s="15"/>
      <c r="QDJ43" s="15"/>
      <c r="QDK43" s="15"/>
      <c r="QDL43" s="14"/>
      <c r="QDM43" s="15"/>
      <c r="QDN43" s="15"/>
      <c r="QDO43" s="15"/>
      <c r="QDP43" s="14"/>
      <c r="QDQ43" s="15"/>
      <c r="QDR43" s="15"/>
      <c r="QDS43" s="15"/>
      <c r="QDT43" s="14"/>
      <c r="QDU43" s="10"/>
      <c r="QDV43" s="15"/>
      <c r="QDW43" s="15"/>
      <c r="QDX43" s="14"/>
      <c r="QDY43" s="15"/>
      <c r="QDZ43" s="15"/>
      <c r="QEA43" s="15"/>
      <c r="QEB43" s="14"/>
      <c r="QEC43" s="15"/>
      <c r="QED43" s="15"/>
      <c r="QEE43" s="15"/>
      <c r="QEF43" s="14"/>
      <c r="QEG43" s="15"/>
      <c r="QEH43" s="15"/>
      <c r="QEI43" s="15"/>
      <c r="QEJ43" s="14"/>
      <c r="QEK43" s="10"/>
      <c r="QEL43" s="15"/>
      <c r="QEM43" s="15"/>
      <c r="QEN43" s="14"/>
      <c r="QEO43" s="15"/>
      <c r="QEP43" s="15"/>
      <c r="QEQ43" s="15"/>
      <c r="QER43" s="14"/>
      <c r="QES43" s="15"/>
      <c r="QET43" s="15"/>
      <c r="QEU43" s="15"/>
      <c r="QEV43" s="14"/>
      <c r="QEW43" s="15"/>
      <c r="QEX43" s="15"/>
      <c r="QEY43" s="15"/>
      <c r="QEZ43" s="14"/>
      <c r="QFA43" s="10"/>
      <c r="QFB43" s="15"/>
      <c r="QFC43" s="15"/>
      <c r="QFD43" s="14"/>
      <c r="QFE43" s="15"/>
      <c r="QFF43" s="15"/>
      <c r="QFG43" s="15"/>
      <c r="QFH43" s="14"/>
      <c r="QFI43" s="15"/>
      <c r="QFJ43" s="15"/>
      <c r="QFK43" s="15"/>
      <c r="QFL43" s="14"/>
      <c r="QFM43" s="15"/>
      <c r="QFN43" s="15"/>
      <c r="QFO43" s="15"/>
      <c r="QFP43" s="14"/>
      <c r="QFQ43" s="10"/>
      <c r="QFR43" s="15"/>
      <c r="QFS43" s="15"/>
      <c r="QFT43" s="14"/>
      <c r="QFU43" s="15"/>
      <c r="QFV43" s="15"/>
      <c r="QFW43" s="15"/>
      <c r="QFX43" s="14"/>
      <c r="QFY43" s="15"/>
      <c r="QFZ43" s="15"/>
      <c r="QGA43" s="15"/>
      <c r="QGB43" s="14"/>
      <c r="QGC43" s="15"/>
      <c r="QGD43" s="15"/>
      <c r="QGE43" s="15"/>
      <c r="QGF43" s="14"/>
      <c r="QGG43" s="10"/>
      <c r="QGH43" s="15"/>
      <c r="QGI43" s="15"/>
      <c r="QGJ43" s="14"/>
      <c r="QGK43" s="15"/>
      <c r="QGL43" s="15"/>
      <c r="QGM43" s="15"/>
      <c r="QGN43" s="14"/>
      <c r="QGO43" s="15"/>
      <c r="QGP43" s="15"/>
      <c r="QGQ43" s="15"/>
      <c r="QGR43" s="14"/>
      <c r="QGS43" s="15"/>
      <c r="QGT43" s="15"/>
      <c r="QGU43" s="15"/>
      <c r="QGV43" s="14"/>
      <c r="QGW43" s="10"/>
      <c r="QGX43" s="15"/>
      <c r="QGY43" s="15"/>
      <c r="QGZ43" s="14"/>
      <c r="QHA43" s="15"/>
      <c r="QHB43" s="15"/>
      <c r="QHC43" s="15"/>
      <c r="QHD43" s="14"/>
      <c r="QHE43" s="15"/>
      <c r="QHF43" s="15"/>
      <c r="QHG43" s="15"/>
      <c r="QHH43" s="14"/>
      <c r="QHI43" s="15"/>
      <c r="QHJ43" s="15"/>
      <c r="QHK43" s="15"/>
      <c r="QHL43" s="14"/>
      <c r="QHM43" s="10"/>
      <c r="QHN43" s="15"/>
      <c r="QHO43" s="15"/>
      <c r="QHP43" s="14"/>
      <c r="QHQ43" s="15"/>
      <c r="QHR43" s="15"/>
      <c r="QHS43" s="15"/>
      <c r="QHT43" s="14"/>
      <c r="QHU43" s="15"/>
      <c r="QHV43" s="15"/>
      <c r="QHW43" s="15"/>
      <c r="QHX43" s="14"/>
      <c r="QHY43" s="15"/>
      <c r="QHZ43" s="15"/>
      <c r="QIA43" s="15"/>
      <c r="QIB43" s="14"/>
      <c r="QIC43" s="10"/>
      <c r="QID43" s="15"/>
      <c r="QIE43" s="15"/>
      <c r="QIF43" s="14"/>
      <c r="QIG43" s="15"/>
      <c r="QIH43" s="15"/>
      <c r="QII43" s="15"/>
      <c r="QIJ43" s="14"/>
      <c r="QIK43" s="15"/>
      <c r="QIL43" s="15"/>
      <c r="QIM43" s="15"/>
      <c r="QIN43" s="14"/>
      <c r="QIO43" s="15"/>
      <c r="QIP43" s="15"/>
      <c r="QIQ43" s="15"/>
      <c r="QIR43" s="14"/>
      <c r="QIS43" s="10"/>
      <c r="QIT43" s="15"/>
      <c r="QIU43" s="15"/>
      <c r="QIV43" s="14"/>
      <c r="QIW43" s="15"/>
      <c r="QIX43" s="15"/>
      <c r="QIY43" s="15"/>
      <c r="QIZ43" s="14"/>
      <c r="QJA43" s="15"/>
      <c r="QJB43" s="15"/>
      <c r="QJC43" s="15"/>
      <c r="QJD43" s="14"/>
      <c r="QJE43" s="15"/>
      <c r="QJF43" s="15"/>
      <c r="QJG43" s="15"/>
      <c r="QJH43" s="14"/>
      <c r="QJI43" s="10"/>
      <c r="QJJ43" s="15"/>
      <c r="QJK43" s="15"/>
      <c r="QJL43" s="14"/>
      <c r="QJM43" s="15"/>
      <c r="QJN43" s="15"/>
      <c r="QJO43" s="15"/>
      <c r="QJP43" s="14"/>
      <c r="QJQ43" s="15"/>
      <c r="QJR43" s="15"/>
      <c r="QJS43" s="15"/>
      <c r="QJT43" s="14"/>
      <c r="QJU43" s="15"/>
      <c r="QJV43" s="15"/>
      <c r="QJW43" s="15"/>
      <c r="QJX43" s="14"/>
      <c r="QJY43" s="10"/>
      <c r="QJZ43" s="15"/>
      <c r="QKA43" s="15"/>
      <c r="QKB43" s="14"/>
      <c r="QKC43" s="15"/>
      <c r="QKD43" s="15"/>
      <c r="QKE43" s="15"/>
      <c r="QKF43" s="14"/>
      <c r="QKG43" s="15"/>
      <c r="QKH43" s="15"/>
      <c r="QKI43" s="15"/>
      <c r="QKJ43" s="14"/>
      <c r="QKK43" s="15"/>
      <c r="QKL43" s="15"/>
      <c r="QKM43" s="15"/>
      <c r="QKN43" s="14"/>
      <c r="QKO43" s="10"/>
      <c r="QKP43" s="15"/>
      <c r="QKQ43" s="15"/>
      <c r="QKR43" s="14"/>
      <c r="QKS43" s="15"/>
      <c r="QKT43" s="15"/>
      <c r="QKU43" s="15"/>
      <c r="QKV43" s="14"/>
      <c r="QKW43" s="15"/>
      <c r="QKX43" s="15"/>
      <c r="QKY43" s="15"/>
      <c r="QKZ43" s="14"/>
      <c r="QLA43" s="15"/>
      <c r="QLB43" s="15"/>
      <c r="QLC43" s="15"/>
      <c r="QLD43" s="14"/>
      <c r="QLE43" s="10"/>
      <c r="QLF43" s="15"/>
      <c r="QLG43" s="15"/>
      <c r="QLH43" s="14"/>
      <c r="QLI43" s="15"/>
      <c r="QLJ43" s="15"/>
      <c r="QLK43" s="15"/>
      <c r="QLL43" s="14"/>
      <c r="QLM43" s="15"/>
      <c r="QLN43" s="15"/>
      <c r="QLO43" s="15"/>
      <c r="QLP43" s="14"/>
      <c r="QLQ43" s="15"/>
      <c r="QLR43" s="15"/>
      <c r="QLS43" s="15"/>
      <c r="QLT43" s="14"/>
      <c r="QLU43" s="10"/>
      <c r="QLV43" s="15"/>
      <c r="QLW43" s="15"/>
      <c r="QLX43" s="14"/>
      <c r="QLY43" s="15"/>
      <c r="QLZ43" s="15"/>
      <c r="QMA43" s="15"/>
      <c r="QMB43" s="14"/>
      <c r="QMC43" s="15"/>
      <c r="QMD43" s="15"/>
      <c r="QME43" s="15"/>
      <c r="QMF43" s="14"/>
      <c r="QMG43" s="15"/>
      <c r="QMH43" s="15"/>
      <c r="QMI43" s="15"/>
      <c r="QMJ43" s="14"/>
      <c r="QMK43" s="10"/>
      <c r="QML43" s="15"/>
      <c r="QMM43" s="15"/>
      <c r="QMN43" s="14"/>
      <c r="QMO43" s="15"/>
      <c r="QMP43" s="15"/>
      <c r="QMQ43" s="15"/>
      <c r="QMR43" s="14"/>
      <c r="QMS43" s="15"/>
      <c r="QMT43" s="15"/>
      <c r="QMU43" s="15"/>
      <c r="QMV43" s="14"/>
      <c r="QMW43" s="15"/>
      <c r="QMX43" s="15"/>
      <c r="QMY43" s="15"/>
      <c r="QMZ43" s="14"/>
      <c r="QNA43" s="10"/>
      <c r="QNB43" s="15"/>
      <c r="QNC43" s="15"/>
      <c r="QND43" s="14"/>
      <c r="QNE43" s="15"/>
      <c r="QNF43" s="15"/>
      <c r="QNG43" s="15"/>
      <c r="QNH43" s="14"/>
      <c r="QNI43" s="15"/>
      <c r="QNJ43" s="15"/>
      <c r="QNK43" s="15"/>
      <c r="QNL43" s="14"/>
      <c r="QNM43" s="15"/>
      <c r="QNN43" s="15"/>
      <c r="QNO43" s="15"/>
      <c r="QNP43" s="14"/>
      <c r="QNQ43" s="10"/>
      <c r="QNR43" s="15"/>
      <c r="QNS43" s="15"/>
      <c r="QNT43" s="14"/>
      <c r="QNU43" s="15"/>
      <c r="QNV43" s="15"/>
      <c r="QNW43" s="15"/>
      <c r="QNX43" s="14"/>
      <c r="QNY43" s="15"/>
      <c r="QNZ43" s="15"/>
      <c r="QOA43" s="15"/>
      <c r="QOB43" s="14"/>
      <c r="QOC43" s="15"/>
      <c r="QOD43" s="15"/>
      <c r="QOE43" s="15"/>
      <c r="QOF43" s="14"/>
      <c r="QOG43" s="10"/>
      <c r="QOH43" s="15"/>
      <c r="QOI43" s="15"/>
      <c r="QOJ43" s="14"/>
      <c r="QOK43" s="15"/>
      <c r="QOL43" s="15"/>
      <c r="QOM43" s="15"/>
      <c r="QON43" s="14"/>
      <c r="QOO43" s="15"/>
      <c r="QOP43" s="15"/>
      <c r="QOQ43" s="15"/>
      <c r="QOR43" s="14"/>
      <c r="QOS43" s="15"/>
      <c r="QOT43" s="15"/>
      <c r="QOU43" s="15"/>
      <c r="QOV43" s="14"/>
      <c r="QOW43" s="10"/>
      <c r="QOX43" s="15"/>
      <c r="QOY43" s="15"/>
      <c r="QOZ43" s="14"/>
      <c r="QPA43" s="15"/>
      <c r="QPB43" s="15"/>
      <c r="QPC43" s="15"/>
      <c r="QPD43" s="14"/>
      <c r="QPE43" s="15"/>
      <c r="QPF43" s="15"/>
      <c r="QPG43" s="15"/>
      <c r="QPH43" s="14"/>
      <c r="QPI43" s="15"/>
      <c r="QPJ43" s="15"/>
      <c r="QPK43" s="15"/>
      <c r="QPL43" s="14"/>
      <c r="QPM43" s="10"/>
      <c r="QPN43" s="15"/>
      <c r="QPO43" s="15"/>
      <c r="QPP43" s="14"/>
      <c r="QPQ43" s="15"/>
      <c r="QPR43" s="15"/>
      <c r="QPS43" s="15"/>
      <c r="QPT43" s="14"/>
      <c r="QPU43" s="15"/>
      <c r="QPV43" s="15"/>
      <c r="QPW43" s="15"/>
      <c r="QPX43" s="14"/>
      <c r="QPY43" s="15"/>
      <c r="QPZ43" s="15"/>
      <c r="QQA43" s="15"/>
      <c r="QQB43" s="14"/>
      <c r="QQC43" s="10"/>
      <c r="QQD43" s="15"/>
      <c r="QQE43" s="15"/>
      <c r="QQF43" s="14"/>
      <c r="QQG43" s="15"/>
      <c r="QQH43" s="15"/>
      <c r="QQI43" s="15"/>
      <c r="QQJ43" s="14"/>
      <c r="QQK43" s="15"/>
      <c r="QQL43" s="15"/>
      <c r="QQM43" s="15"/>
      <c r="QQN43" s="14"/>
      <c r="QQO43" s="15"/>
      <c r="QQP43" s="15"/>
      <c r="QQQ43" s="15"/>
      <c r="QQR43" s="14"/>
      <c r="QQS43" s="10"/>
      <c r="QQT43" s="15"/>
      <c r="QQU43" s="15"/>
      <c r="QQV43" s="14"/>
      <c r="QQW43" s="15"/>
      <c r="QQX43" s="15"/>
      <c r="QQY43" s="15"/>
      <c r="QQZ43" s="14"/>
      <c r="QRA43" s="15"/>
      <c r="QRB43" s="15"/>
      <c r="QRC43" s="15"/>
      <c r="QRD43" s="14"/>
      <c r="QRE43" s="15"/>
      <c r="QRF43" s="15"/>
      <c r="QRG43" s="15"/>
      <c r="QRH43" s="14"/>
      <c r="QRI43" s="10"/>
      <c r="QRJ43" s="15"/>
      <c r="QRK43" s="15"/>
      <c r="QRL43" s="14"/>
      <c r="QRM43" s="15"/>
      <c r="QRN43" s="15"/>
      <c r="QRO43" s="15"/>
      <c r="QRP43" s="14"/>
      <c r="QRQ43" s="15"/>
      <c r="QRR43" s="15"/>
      <c r="QRS43" s="15"/>
      <c r="QRT43" s="14"/>
      <c r="QRU43" s="15"/>
      <c r="QRV43" s="15"/>
      <c r="QRW43" s="15"/>
      <c r="QRX43" s="14"/>
      <c r="QRY43" s="10"/>
      <c r="QRZ43" s="15"/>
      <c r="QSA43" s="15"/>
      <c r="QSB43" s="14"/>
      <c r="QSC43" s="15"/>
      <c r="QSD43" s="15"/>
      <c r="QSE43" s="15"/>
      <c r="QSF43" s="14"/>
      <c r="QSG43" s="15"/>
      <c r="QSH43" s="15"/>
      <c r="QSI43" s="15"/>
      <c r="QSJ43" s="14"/>
      <c r="QSK43" s="15"/>
      <c r="QSL43" s="15"/>
      <c r="QSM43" s="15"/>
      <c r="QSN43" s="14"/>
      <c r="QSO43" s="10"/>
      <c r="QSP43" s="15"/>
      <c r="QSQ43" s="15"/>
      <c r="QSR43" s="14"/>
      <c r="QSS43" s="15"/>
      <c r="QST43" s="15"/>
      <c r="QSU43" s="15"/>
      <c r="QSV43" s="14"/>
      <c r="QSW43" s="15"/>
      <c r="QSX43" s="15"/>
      <c r="QSY43" s="15"/>
      <c r="QSZ43" s="14"/>
      <c r="QTA43" s="15"/>
      <c r="QTB43" s="15"/>
      <c r="QTC43" s="15"/>
      <c r="QTD43" s="14"/>
      <c r="QTE43" s="10"/>
      <c r="QTF43" s="15"/>
      <c r="QTG43" s="15"/>
      <c r="QTH43" s="14"/>
      <c r="QTI43" s="15"/>
      <c r="QTJ43" s="15"/>
      <c r="QTK43" s="15"/>
      <c r="QTL43" s="14"/>
      <c r="QTM43" s="15"/>
      <c r="QTN43" s="15"/>
      <c r="QTO43" s="15"/>
      <c r="QTP43" s="14"/>
      <c r="QTQ43" s="15"/>
      <c r="QTR43" s="15"/>
      <c r="QTS43" s="15"/>
      <c r="QTT43" s="14"/>
      <c r="QTU43" s="10"/>
      <c r="QTV43" s="15"/>
      <c r="QTW43" s="15"/>
      <c r="QTX43" s="14"/>
      <c r="QTY43" s="15"/>
      <c r="QTZ43" s="15"/>
      <c r="QUA43" s="15"/>
      <c r="QUB43" s="14"/>
      <c r="QUC43" s="15"/>
      <c r="QUD43" s="15"/>
      <c r="QUE43" s="15"/>
      <c r="QUF43" s="14"/>
      <c r="QUG43" s="15"/>
      <c r="QUH43" s="15"/>
      <c r="QUI43" s="15"/>
      <c r="QUJ43" s="14"/>
      <c r="QUK43" s="10"/>
      <c r="QUL43" s="15"/>
      <c r="QUM43" s="15"/>
      <c r="QUN43" s="14"/>
      <c r="QUO43" s="15"/>
      <c r="QUP43" s="15"/>
      <c r="QUQ43" s="15"/>
      <c r="QUR43" s="14"/>
      <c r="QUS43" s="15"/>
      <c r="QUT43" s="15"/>
      <c r="QUU43" s="15"/>
      <c r="QUV43" s="14"/>
      <c r="QUW43" s="15"/>
      <c r="QUX43" s="15"/>
      <c r="QUY43" s="15"/>
      <c r="QUZ43" s="14"/>
      <c r="QVA43" s="10"/>
      <c r="QVB43" s="15"/>
      <c r="QVC43" s="15"/>
      <c r="QVD43" s="14"/>
      <c r="QVE43" s="15"/>
      <c r="QVF43" s="15"/>
      <c r="QVG43" s="15"/>
      <c r="QVH43" s="14"/>
      <c r="QVI43" s="15"/>
      <c r="QVJ43" s="15"/>
      <c r="QVK43" s="15"/>
      <c r="QVL43" s="14"/>
      <c r="QVM43" s="15"/>
      <c r="QVN43" s="15"/>
      <c r="QVO43" s="15"/>
      <c r="QVP43" s="14"/>
      <c r="QVQ43" s="10"/>
      <c r="QVR43" s="15"/>
      <c r="QVS43" s="15"/>
      <c r="QVT43" s="14"/>
      <c r="QVU43" s="15"/>
      <c r="QVV43" s="15"/>
      <c r="QVW43" s="15"/>
      <c r="QVX43" s="14"/>
      <c r="QVY43" s="15"/>
      <c r="QVZ43" s="15"/>
      <c r="QWA43" s="15"/>
      <c r="QWB43" s="14"/>
      <c r="QWC43" s="15"/>
      <c r="QWD43" s="15"/>
      <c r="QWE43" s="15"/>
      <c r="QWF43" s="14"/>
      <c r="QWG43" s="10"/>
      <c r="QWH43" s="15"/>
      <c r="QWI43" s="15"/>
      <c r="QWJ43" s="14"/>
      <c r="QWK43" s="15"/>
      <c r="QWL43" s="15"/>
      <c r="QWM43" s="15"/>
      <c r="QWN43" s="14"/>
      <c r="QWO43" s="15"/>
      <c r="QWP43" s="15"/>
      <c r="QWQ43" s="15"/>
      <c r="QWR43" s="14"/>
      <c r="QWS43" s="15"/>
      <c r="QWT43" s="15"/>
      <c r="QWU43" s="15"/>
      <c r="QWV43" s="14"/>
      <c r="QWW43" s="10"/>
      <c r="QWX43" s="15"/>
      <c r="QWY43" s="15"/>
      <c r="QWZ43" s="14"/>
      <c r="QXA43" s="15"/>
      <c r="QXB43" s="15"/>
      <c r="QXC43" s="15"/>
      <c r="QXD43" s="14"/>
      <c r="QXE43" s="15"/>
      <c r="QXF43" s="15"/>
      <c r="QXG43" s="15"/>
      <c r="QXH43" s="14"/>
      <c r="QXI43" s="15"/>
      <c r="QXJ43" s="15"/>
      <c r="QXK43" s="15"/>
      <c r="QXL43" s="14"/>
      <c r="QXM43" s="10"/>
      <c r="QXN43" s="15"/>
      <c r="QXO43" s="15"/>
      <c r="QXP43" s="14"/>
      <c r="QXQ43" s="15"/>
      <c r="QXR43" s="15"/>
      <c r="QXS43" s="15"/>
      <c r="QXT43" s="14"/>
      <c r="QXU43" s="15"/>
      <c r="QXV43" s="15"/>
      <c r="QXW43" s="15"/>
      <c r="QXX43" s="14"/>
      <c r="QXY43" s="15"/>
      <c r="QXZ43" s="15"/>
      <c r="QYA43" s="15"/>
      <c r="QYB43" s="14"/>
      <c r="QYC43" s="10"/>
      <c r="QYD43" s="15"/>
      <c r="QYE43" s="15"/>
      <c r="QYF43" s="14"/>
      <c r="QYG43" s="15"/>
      <c r="QYH43" s="15"/>
      <c r="QYI43" s="15"/>
      <c r="QYJ43" s="14"/>
      <c r="QYK43" s="15"/>
      <c r="QYL43" s="15"/>
      <c r="QYM43" s="15"/>
      <c r="QYN43" s="14"/>
      <c r="QYO43" s="15"/>
      <c r="QYP43" s="15"/>
      <c r="QYQ43" s="15"/>
      <c r="QYR43" s="14"/>
      <c r="QYS43" s="10"/>
      <c r="QYT43" s="15"/>
      <c r="QYU43" s="15"/>
      <c r="QYV43" s="14"/>
      <c r="QYW43" s="15"/>
      <c r="QYX43" s="15"/>
      <c r="QYY43" s="15"/>
      <c r="QYZ43" s="14"/>
      <c r="QZA43" s="15"/>
      <c r="QZB43" s="15"/>
      <c r="QZC43" s="15"/>
      <c r="QZD43" s="14"/>
      <c r="QZE43" s="15"/>
      <c r="QZF43" s="15"/>
      <c r="QZG43" s="15"/>
      <c r="QZH43" s="14"/>
      <c r="QZI43" s="10"/>
      <c r="QZJ43" s="15"/>
      <c r="QZK43" s="15"/>
      <c r="QZL43" s="14"/>
      <c r="QZM43" s="15"/>
      <c r="QZN43" s="15"/>
      <c r="QZO43" s="15"/>
      <c r="QZP43" s="14"/>
      <c r="QZQ43" s="15"/>
      <c r="QZR43" s="15"/>
      <c r="QZS43" s="15"/>
      <c r="QZT43" s="14"/>
      <c r="QZU43" s="15"/>
      <c r="QZV43" s="15"/>
      <c r="QZW43" s="15"/>
      <c r="QZX43" s="14"/>
      <c r="QZY43" s="10"/>
      <c r="QZZ43" s="15"/>
      <c r="RAA43" s="15"/>
      <c r="RAB43" s="14"/>
      <c r="RAC43" s="15"/>
      <c r="RAD43" s="15"/>
      <c r="RAE43" s="15"/>
      <c r="RAF43" s="14"/>
      <c r="RAG43" s="15"/>
      <c r="RAH43" s="15"/>
      <c r="RAI43" s="15"/>
      <c r="RAJ43" s="14"/>
      <c r="RAK43" s="15"/>
      <c r="RAL43" s="15"/>
      <c r="RAM43" s="15"/>
      <c r="RAN43" s="14"/>
      <c r="RAO43" s="10"/>
      <c r="RAP43" s="15"/>
      <c r="RAQ43" s="15"/>
      <c r="RAR43" s="14"/>
      <c r="RAS43" s="15"/>
      <c r="RAT43" s="15"/>
      <c r="RAU43" s="15"/>
      <c r="RAV43" s="14"/>
      <c r="RAW43" s="15"/>
      <c r="RAX43" s="15"/>
      <c r="RAY43" s="15"/>
      <c r="RAZ43" s="14"/>
      <c r="RBA43" s="15"/>
      <c r="RBB43" s="15"/>
      <c r="RBC43" s="15"/>
      <c r="RBD43" s="14"/>
      <c r="RBE43" s="10"/>
      <c r="RBF43" s="15"/>
      <c r="RBG43" s="15"/>
      <c r="RBH43" s="14"/>
      <c r="RBI43" s="15"/>
      <c r="RBJ43" s="15"/>
      <c r="RBK43" s="15"/>
      <c r="RBL43" s="14"/>
      <c r="RBM43" s="15"/>
      <c r="RBN43" s="15"/>
      <c r="RBO43" s="15"/>
      <c r="RBP43" s="14"/>
      <c r="RBQ43" s="15"/>
      <c r="RBR43" s="15"/>
      <c r="RBS43" s="15"/>
      <c r="RBT43" s="14"/>
      <c r="RBU43" s="10"/>
      <c r="RBV43" s="15"/>
      <c r="RBW43" s="15"/>
      <c r="RBX43" s="14"/>
      <c r="RBY43" s="15"/>
      <c r="RBZ43" s="15"/>
      <c r="RCA43" s="15"/>
      <c r="RCB43" s="14"/>
      <c r="RCC43" s="15"/>
      <c r="RCD43" s="15"/>
      <c r="RCE43" s="15"/>
      <c r="RCF43" s="14"/>
      <c r="RCG43" s="15"/>
      <c r="RCH43" s="15"/>
      <c r="RCI43" s="15"/>
      <c r="RCJ43" s="14"/>
      <c r="RCK43" s="10"/>
      <c r="RCL43" s="15"/>
      <c r="RCM43" s="15"/>
      <c r="RCN43" s="14"/>
      <c r="RCO43" s="15"/>
      <c r="RCP43" s="15"/>
      <c r="RCQ43" s="15"/>
      <c r="RCR43" s="14"/>
      <c r="RCS43" s="15"/>
      <c r="RCT43" s="15"/>
      <c r="RCU43" s="15"/>
      <c r="RCV43" s="14"/>
      <c r="RCW43" s="15"/>
      <c r="RCX43" s="15"/>
      <c r="RCY43" s="15"/>
      <c r="RCZ43" s="14"/>
      <c r="RDA43" s="10"/>
      <c r="RDB43" s="15"/>
      <c r="RDC43" s="15"/>
      <c r="RDD43" s="14"/>
      <c r="RDE43" s="15"/>
      <c r="RDF43" s="15"/>
      <c r="RDG43" s="15"/>
      <c r="RDH43" s="14"/>
      <c r="RDI43" s="15"/>
      <c r="RDJ43" s="15"/>
      <c r="RDK43" s="15"/>
      <c r="RDL43" s="14"/>
      <c r="RDM43" s="15"/>
      <c r="RDN43" s="15"/>
      <c r="RDO43" s="15"/>
      <c r="RDP43" s="14"/>
      <c r="RDQ43" s="10"/>
      <c r="RDR43" s="15"/>
      <c r="RDS43" s="15"/>
      <c r="RDT43" s="14"/>
      <c r="RDU43" s="15"/>
      <c r="RDV43" s="15"/>
      <c r="RDW43" s="15"/>
      <c r="RDX43" s="14"/>
      <c r="RDY43" s="15"/>
      <c r="RDZ43" s="15"/>
      <c r="REA43" s="15"/>
      <c r="REB43" s="14"/>
      <c r="REC43" s="15"/>
      <c r="RED43" s="15"/>
      <c r="REE43" s="15"/>
      <c r="REF43" s="14"/>
      <c r="REG43" s="10"/>
      <c r="REH43" s="15"/>
      <c r="REI43" s="15"/>
      <c r="REJ43" s="14"/>
      <c r="REK43" s="15"/>
      <c r="REL43" s="15"/>
      <c r="REM43" s="15"/>
      <c r="REN43" s="14"/>
      <c r="REO43" s="15"/>
      <c r="REP43" s="15"/>
      <c r="REQ43" s="15"/>
      <c r="RER43" s="14"/>
      <c r="RES43" s="15"/>
      <c r="RET43" s="15"/>
      <c r="REU43" s="15"/>
      <c r="REV43" s="14"/>
      <c r="REW43" s="10"/>
      <c r="REX43" s="15"/>
      <c r="REY43" s="15"/>
      <c r="REZ43" s="14"/>
      <c r="RFA43" s="15"/>
      <c r="RFB43" s="15"/>
      <c r="RFC43" s="15"/>
      <c r="RFD43" s="14"/>
      <c r="RFE43" s="15"/>
      <c r="RFF43" s="15"/>
      <c r="RFG43" s="15"/>
      <c r="RFH43" s="14"/>
      <c r="RFI43" s="15"/>
      <c r="RFJ43" s="15"/>
      <c r="RFK43" s="15"/>
      <c r="RFL43" s="14"/>
      <c r="RFM43" s="10"/>
      <c r="RFN43" s="15"/>
      <c r="RFO43" s="15"/>
      <c r="RFP43" s="14"/>
      <c r="RFQ43" s="15"/>
      <c r="RFR43" s="15"/>
      <c r="RFS43" s="15"/>
      <c r="RFT43" s="14"/>
      <c r="RFU43" s="15"/>
      <c r="RFV43" s="15"/>
      <c r="RFW43" s="15"/>
      <c r="RFX43" s="14"/>
      <c r="RFY43" s="15"/>
      <c r="RFZ43" s="15"/>
      <c r="RGA43" s="15"/>
      <c r="RGB43" s="14"/>
      <c r="RGC43" s="10"/>
      <c r="RGD43" s="15"/>
      <c r="RGE43" s="15"/>
      <c r="RGF43" s="14"/>
      <c r="RGG43" s="15"/>
      <c r="RGH43" s="15"/>
      <c r="RGI43" s="15"/>
      <c r="RGJ43" s="14"/>
      <c r="RGK43" s="15"/>
      <c r="RGL43" s="15"/>
      <c r="RGM43" s="15"/>
      <c r="RGN43" s="14"/>
      <c r="RGO43" s="15"/>
      <c r="RGP43" s="15"/>
      <c r="RGQ43" s="15"/>
      <c r="RGR43" s="14"/>
      <c r="RGS43" s="10"/>
      <c r="RGT43" s="15"/>
      <c r="RGU43" s="15"/>
      <c r="RGV43" s="14"/>
      <c r="RGW43" s="15"/>
      <c r="RGX43" s="15"/>
      <c r="RGY43" s="15"/>
      <c r="RGZ43" s="14"/>
      <c r="RHA43" s="15"/>
      <c r="RHB43" s="15"/>
      <c r="RHC43" s="15"/>
      <c r="RHD43" s="14"/>
      <c r="RHE43" s="15"/>
      <c r="RHF43" s="15"/>
      <c r="RHG43" s="15"/>
      <c r="RHH43" s="14"/>
      <c r="RHI43" s="10"/>
      <c r="RHJ43" s="15"/>
      <c r="RHK43" s="15"/>
      <c r="RHL43" s="14"/>
      <c r="RHM43" s="15"/>
      <c r="RHN43" s="15"/>
      <c r="RHO43" s="15"/>
      <c r="RHP43" s="14"/>
      <c r="RHQ43" s="15"/>
      <c r="RHR43" s="15"/>
      <c r="RHS43" s="15"/>
      <c r="RHT43" s="14"/>
      <c r="RHU43" s="15"/>
      <c r="RHV43" s="15"/>
      <c r="RHW43" s="15"/>
      <c r="RHX43" s="14"/>
      <c r="RHY43" s="10"/>
      <c r="RHZ43" s="15"/>
      <c r="RIA43" s="15"/>
      <c r="RIB43" s="14"/>
      <c r="RIC43" s="15"/>
      <c r="RID43" s="15"/>
      <c r="RIE43" s="15"/>
      <c r="RIF43" s="14"/>
      <c r="RIG43" s="15"/>
      <c r="RIH43" s="15"/>
      <c r="RII43" s="15"/>
      <c r="RIJ43" s="14"/>
      <c r="RIK43" s="15"/>
      <c r="RIL43" s="15"/>
      <c r="RIM43" s="15"/>
      <c r="RIN43" s="14"/>
      <c r="RIO43" s="10"/>
      <c r="RIP43" s="15"/>
      <c r="RIQ43" s="15"/>
      <c r="RIR43" s="14"/>
      <c r="RIS43" s="15"/>
      <c r="RIT43" s="15"/>
      <c r="RIU43" s="15"/>
      <c r="RIV43" s="14"/>
      <c r="RIW43" s="15"/>
      <c r="RIX43" s="15"/>
      <c r="RIY43" s="15"/>
      <c r="RIZ43" s="14"/>
      <c r="RJA43" s="15"/>
      <c r="RJB43" s="15"/>
      <c r="RJC43" s="15"/>
      <c r="RJD43" s="14"/>
      <c r="RJE43" s="10"/>
      <c r="RJF43" s="15"/>
      <c r="RJG43" s="15"/>
      <c r="RJH43" s="14"/>
      <c r="RJI43" s="15"/>
      <c r="RJJ43" s="15"/>
      <c r="RJK43" s="15"/>
      <c r="RJL43" s="14"/>
      <c r="RJM43" s="15"/>
      <c r="RJN43" s="15"/>
      <c r="RJO43" s="15"/>
      <c r="RJP43" s="14"/>
      <c r="RJQ43" s="15"/>
      <c r="RJR43" s="15"/>
      <c r="RJS43" s="15"/>
      <c r="RJT43" s="14"/>
      <c r="RJU43" s="10"/>
      <c r="RJV43" s="15"/>
      <c r="RJW43" s="15"/>
      <c r="RJX43" s="14"/>
      <c r="RJY43" s="15"/>
      <c r="RJZ43" s="15"/>
      <c r="RKA43" s="15"/>
      <c r="RKB43" s="14"/>
      <c r="RKC43" s="15"/>
      <c r="RKD43" s="15"/>
      <c r="RKE43" s="15"/>
      <c r="RKF43" s="14"/>
      <c r="RKG43" s="15"/>
      <c r="RKH43" s="15"/>
      <c r="RKI43" s="15"/>
      <c r="RKJ43" s="14"/>
      <c r="RKK43" s="10"/>
      <c r="RKL43" s="15"/>
      <c r="RKM43" s="15"/>
      <c r="RKN43" s="14"/>
      <c r="RKO43" s="15"/>
      <c r="RKP43" s="15"/>
      <c r="RKQ43" s="15"/>
      <c r="RKR43" s="14"/>
      <c r="RKS43" s="15"/>
      <c r="RKT43" s="15"/>
      <c r="RKU43" s="15"/>
      <c r="RKV43" s="14"/>
      <c r="RKW43" s="15"/>
      <c r="RKX43" s="15"/>
      <c r="RKY43" s="15"/>
      <c r="RKZ43" s="14"/>
      <c r="RLA43" s="10"/>
      <c r="RLB43" s="15"/>
      <c r="RLC43" s="15"/>
      <c r="RLD43" s="14"/>
      <c r="RLE43" s="15"/>
      <c r="RLF43" s="15"/>
      <c r="RLG43" s="15"/>
      <c r="RLH43" s="14"/>
      <c r="RLI43" s="15"/>
      <c r="RLJ43" s="15"/>
      <c r="RLK43" s="15"/>
      <c r="RLL43" s="14"/>
      <c r="RLM43" s="15"/>
      <c r="RLN43" s="15"/>
      <c r="RLO43" s="15"/>
      <c r="RLP43" s="14"/>
      <c r="RLQ43" s="10"/>
      <c r="RLR43" s="15"/>
      <c r="RLS43" s="15"/>
      <c r="RLT43" s="14"/>
      <c r="RLU43" s="15"/>
      <c r="RLV43" s="15"/>
      <c r="RLW43" s="15"/>
      <c r="RLX43" s="14"/>
      <c r="RLY43" s="15"/>
      <c r="RLZ43" s="15"/>
      <c r="RMA43" s="15"/>
      <c r="RMB43" s="14"/>
      <c r="RMC43" s="15"/>
      <c r="RMD43" s="15"/>
      <c r="RME43" s="15"/>
      <c r="RMF43" s="14"/>
      <c r="RMG43" s="10"/>
      <c r="RMH43" s="15"/>
      <c r="RMI43" s="15"/>
      <c r="RMJ43" s="14"/>
      <c r="RMK43" s="15"/>
      <c r="RML43" s="15"/>
      <c r="RMM43" s="15"/>
      <c r="RMN43" s="14"/>
      <c r="RMO43" s="15"/>
      <c r="RMP43" s="15"/>
      <c r="RMQ43" s="15"/>
      <c r="RMR43" s="14"/>
      <c r="RMS43" s="15"/>
      <c r="RMT43" s="15"/>
      <c r="RMU43" s="15"/>
      <c r="RMV43" s="14"/>
      <c r="RMW43" s="10"/>
      <c r="RMX43" s="15"/>
      <c r="RMY43" s="15"/>
      <c r="RMZ43" s="14"/>
      <c r="RNA43" s="15"/>
      <c r="RNB43" s="15"/>
      <c r="RNC43" s="15"/>
      <c r="RND43" s="14"/>
      <c r="RNE43" s="15"/>
      <c r="RNF43" s="15"/>
      <c r="RNG43" s="15"/>
      <c r="RNH43" s="14"/>
      <c r="RNI43" s="15"/>
      <c r="RNJ43" s="15"/>
      <c r="RNK43" s="15"/>
      <c r="RNL43" s="14"/>
      <c r="RNM43" s="10"/>
      <c r="RNN43" s="15"/>
      <c r="RNO43" s="15"/>
      <c r="RNP43" s="14"/>
      <c r="RNQ43" s="15"/>
      <c r="RNR43" s="15"/>
      <c r="RNS43" s="15"/>
      <c r="RNT43" s="14"/>
      <c r="RNU43" s="15"/>
      <c r="RNV43" s="15"/>
      <c r="RNW43" s="15"/>
      <c r="RNX43" s="14"/>
      <c r="RNY43" s="15"/>
      <c r="RNZ43" s="15"/>
      <c r="ROA43" s="15"/>
      <c r="ROB43" s="14"/>
      <c r="ROC43" s="10"/>
      <c r="ROD43" s="15"/>
      <c r="ROE43" s="15"/>
      <c r="ROF43" s="14"/>
      <c r="ROG43" s="15"/>
      <c r="ROH43" s="15"/>
      <c r="ROI43" s="15"/>
      <c r="ROJ43" s="14"/>
      <c r="ROK43" s="15"/>
      <c r="ROL43" s="15"/>
      <c r="ROM43" s="15"/>
      <c r="RON43" s="14"/>
      <c r="ROO43" s="15"/>
      <c r="ROP43" s="15"/>
      <c r="ROQ43" s="15"/>
      <c r="ROR43" s="14"/>
      <c r="ROS43" s="10"/>
      <c r="ROT43" s="15"/>
      <c r="ROU43" s="15"/>
      <c r="ROV43" s="14"/>
      <c r="ROW43" s="15"/>
      <c r="ROX43" s="15"/>
      <c r="ROY43" s="15"/>
      <c r="ROZ43" s="14"/>
      <c r="RPA43" s="15"/>
      <c r="RPB43" s="15"/>
      <c r="RPC43" s="15"/>
      <c r="RPD43" s="14"/>
      <c r="RPE43" s="15"/>
      <c r="RPF43" s="15"/>
      <c r="RPG43" s="15"/>
      <c r="RPH43" s="14"/>
      <c r="RPI43" s="10"/>
      <c r="RPJ43" s="15"/>
      <c r="RPK43" s="15"/>
      <c r="RPL43" s="14"/>
      <c r="RPM43" s="15"/>
      <c r="RPN43" s="15"/>
      <c r="RPO43" s="15"/>
      <c r="RPP43" s="14"/>
      <c r="RPQ43" s="15"/>
      <c r="RPR43" s="15"/>
      <c r="RPS43" s="15"/>
      <c r="RPT43" s="14"/>
      <c r="RPU43" s="15"/>
      <c r="RPV43" s="15"/>
      <c r="RPW43" s="15"/>
      <c r="RPX43" s="14"/>
      <c r="RPY43" s="10"/>
      <c r="RPZ43" s="15"/>
      <c r="RQA43" s="15"/>
      <c r="RQB43" s="14"/>
      <c r="RQC43" s="15"/>
      <c r="RQD43" s="15"/>
      <c r="RQE43" s="15"/>
      <c r="RQF43" s="14"/>
      <c r="RQG43" s="15"/>
      <c r="RQH43" s="15"/>
      <c r="RQI43" s="15"/>
      <c r="RQJ43" s="14"/>
      <c r="RQK43" s="15"/>
      <c r="RQL43" s="15"/>
      <c r="RQM43" s="15"/>
      <c r="RQN43" s="14"/>
      <c r="RQO43" s="10"/>
      <c r="RQP43" s="15"/>
      <c r="RQQ43" s="15"/>
      <c r="RQR43" s="14"/>
      <c r="RQS43" s="15"/>
      <c r="RQT43" s="15"/>
      <c r="RQU43" s="15"/>
      <c r="RQV43" s="14"/>
      <c r="RQW43" s="15"/>
      <c r="RQX43" s="15"/>
      <c r="RQY43" s="15"/>
      <c r="RQZ43" s="14"/>
      <c r="RRA43" s="15"/>
      <c r="RRB43" s="15"/>
      <c r="RRC43" s="15"/>
      <c r="RRD43" s="14"/>
      <c r="RRE43" s="10"/>
      <c r="RRF43" s="15"/>
      <c r="RRG43" s="15"/>
      <c r="RRH43" s="14"/>
      <c r="RRI43" s="15"/>
      <c r="RRJ43" s="15"/>
      <c r="RRK43" s="15"/>
      <c r="RRL43" s="14"/>
      <c r="RRM43" s="15"/>
      <c r="RRN43" s="15"/>
      <c r="RRO43" s="15"/>
      <c r="RRP43" s="14"/>
      <c r="RRQ43" s="15"/>
      <c r="RRR43" s="15"/>
      <c r="RRS43" s="15"/>
      <c r="RRT43" s="14"/>
      <c r="RRU43" s="10"/>
      <c r="RRV43" s="15"/>
      <c r="RRW43" s="15"/>
      <c r="RRX43" s="14"/>
      <c r="RRY43" s="15"/>
      <c r="RRZ43" s="15"/>
      <c r="RSA43" s="15"/>
      <c r="RSB43" s="14"/>
      <c r="RSC43" s="15"/>
      <c r="RSD43" s="15"/>
      <c r="RSE43" s="15"/>
      <c r="RSF43" s="14"/>
      <c r="RSG43" s="15"/>
      <c r="RSH43" s="15"/>
      <c r="RSI43" s="15"/>
      <c r="RSJ43" s="14"/>
      <c r="RSK43" s="10"/>
      <c r="RSL43" s="15"/>
      <c r="RSM43" s="15"/>
      <c r="RSN43" s="14"/>
      <c r="RSO43" s="15"/>
      <c r="RSP43" s="15"/>
      <c r="RSQ43" s="15"/>
      <c r="RSR43" s="14"/>
      <c r="RSS43" s="15"/>
      <c r="RST43" s="15"/>
      <c r="RSU43" s="15"/>
      <c r="RSV43" s="14"/>
      <c r="RSW43" s="15"/>
      <c r="RSX43" s="15"/>
      <c r="RSY43" s="15"/>
      <c r="RSZ43" s="14"/>
      <c r="RTA43" s="10"/>
      <c r="RTB43" s="15"/>
      <c r="RTC43" s="15"/>
      <c r="RTD43" s="14"/>
      <c r="RTE43" s="15"/>
      <c r="RTF43" s="15"/>
      <c r="RTG43" s="15"/>
      <c r="RTH43" s="14"/>
      <c r="RTI43" s="15"/>
      <c r="RTJ43" s="15"/>
      <c r="RTK43" s="15"/>
      <c r="RTL43" s="14"/>
      <c r="RTM43" s="15"/>
      <c r="RTN43" s="15"/>
      <c r="RTO43" s="15"/>
      <c r="RTP43" s="14"/>
      <c r="RTQ43" s="10"/>
      <c r="RTR43" s="15"/>
      <c r="RTS43" s="15"/>
      <c r="RTT43" s="14"/>
      <c r="RTU43" s="15"/>
      <c r="RTV43" s="15"/>
      <c r="RTW43" s="15"/>
      <c r="RTX43" s="14"/>
      <c r="RTY43" s="15"/>
      <c r="RTZ43" s="15"/>
      <c r="RUA43" s="15"/>
      <c r="RUB43" s="14"/>
      <c r="RUC43" s="15"/>
      <c r="RUD43" s="15"/>
      <c r="RUE43" s="15"/>
      <c r="RUF43" s="14"/>
      <c r="RUG43" s="10"/>
      <c r="RUH43" s="15"/>
      <c r="RUI43" s="15"/>
      <c r="RUJ43" s="14"/>
      <c r="RUK43" s="15"/>
      <c r="RUL43" s="15"/>
      <c r="RUM43" s="15"/>
      <c r="RUN43" s="14"/>
      <c r="RUO43" s="15"/>
      <c r="RUP43" s="15"/>
      <c r="RUQ43" s="15"/>
      <c r="RUR43" s="14"/>
      <c r="RUS43" s="15"/>
      <c r="RUT43" s="15"/>
      <c r="RUU43" s="15"/>
      <c r="RUV43" s="14"/>
      <c r="RUW43" s="10"/>
      <c r="RUX43" s="15"/>
      <c r="RUY43" s="15"/>
      <c r="RUZ43" s="14"/>
      <c r="RVA43" s="15"/>
      <c r="RVB43" s="15"/>
      <c r="RVC43" s="15"/>
      <c r="RVD43" s="14"/>
      <c r="RVE43" s="15"/>
      <c r="RVF43" s="15"/>
      <c r="RVG43" s="15"/>
      <c r="RVH43" s="14"/>
      <c r="RVI43" s="15"/>
      <c r="RVJ43" s="15"/>
      <c r="RVK43" s="15"/>
      <c r="RVL43" s="14"/>
      <c r="RVM43" s="10"/>
      <c r="RVN43" s="15"/>
      <c r="RVO43" s="15"/>
      <c r="RVP43" s="14"/>
      <c r="RVQ43" s="15"/>
      <c r="RVR43" s="15"/>
      <c r="RVS43" s="15"/>
      <c r="RVT43" s="14"/>
      <c r="RVU43" s="15"/>
      <c r="RVV43" s="15"/>
      <c r="RVW43" s="15"/>
      <c r="RVX43" s="14"/>
      <c r="RVY43" s="15"/>
      <c r="RVZ43" s="15"/>
      <c r="RWA43" s="15"/>
      <c r="RWB43" s="14"/>
      <c r="RWC43" s="10"/>
      <c r="RWD43" s="15"/>
      <c r="RWE43" s="15"/>
      <c r="RWF43" s="14"/>
      <c r="RWG43" s="15"/>
      <c r="RWH43" s="15"/>
      <c r="RWI43" s="15"/>
      <c r="RWJ43" s="14"/>
      <c r="RWK43" s="15"/>
      <c r="RWL43" s="15"/>
      <c r="RWM43" s="15"/>
      <c r="RWN43" s="14"/>
      <c r="RWO43" s="15"/>
      <c r="RWP43" s="15"/>
      <c r="RWQ43" s="15"/>
      <c r="RWR43" s="14"/>
      <c r="RWS43" s="10"/>
      <c r="RWT43" s="15"/>
      <c r="RWU43" s="15"/>
      <c r="RWV43" s="14"/>
      <c r="RWW43" s="15"/>
      <c r="RWX43" s="15"/>
      <c r="RWY43" s="15"/>
      <c r="RWZ43" s="14"/>
      <c r="RXA43" s="15"/>
      <c r="RXB43" s="15"/>
      <c r="RXC43" s="15"/>
      <c r="RXD43" s="14"/>
      <c r="RXE43" s="15"/>
      <c r="RXF43" s="15"/>
      <c r="RXG43" s="15"/>
      <c r="RXH43" s="14"/>
      <c r="RXI43" s="10"/>
      <c r="RXJ43" s="15"/>
      <c r="RXK43" s="15"/>
      <c r="RXL43" s="14"/>
      <c r="RXM43" s="15"/>
      <c r="RXN43" s="15"/>
      <c r="RXO43" s="15"/>
      <c r="RXP43" s="14"/>
      <c r="RXQ43" s="15"/>
      <c r="RXR43" s="15"/>
      <c r="RXS43" s="15"/>
      <c r="RXT43" s="14"/>
      <c r="RXU43" s="15"/>
      <c r="RXV43" s="15"/>
      <c r="RXW43" s="15"/>
      <c r="RXX43" s="14"/>
      <c r="RXY43" s="10"/>
      <c r="RXZ43" s="15"/>
      <c r="RYA43" s="15"/>
      <c r="RYB43" s="14"/>
      <c r="RYC43" s="15"/>
      <c r="RYD43" s="15"/>
      <c r="RYE43" s="15"/>
      <c r="RYF43" s="14"/>
      <c r="RYG43" s="15"/>
      <c r="RYH43" s="15"/>
      <c r="RYI43" s="15"/>
      <c r="RYJ43" s="14"/>
      <c r="RYK43" s="15"/>
      <c r="RYL43" s="15"/>
      <c r="RYM43" s="15"/>
      <c r="RYN43" s="14"/>
      <c r="RYO43" s="10"/>
      <c r="RYP43" s="15"/>
      <c r="RYQ43" s="15"/>
      <c r="RYR43" s="14"/>
      <c r="RYS43" s="15"/>
      <c r="RYT43" s="15"/>
      <c r="RYU43" s="15"/>
      <c r="RYV43" s="14"/>
      <c r="RYW43" s="15"/>
      <c r="RYX43" s="15"/>
      <c r="RYY43" s="15"/>
      <c r="RYZ43" s="14"/>
      <c r="RZA43" s="15"/>
      <c r="RZB43" s="15"/>
      <c r="RZC43" s="15"/>
      <c r="RZD43" s="14"/>
      <c r="RZE43" s="10"/>
      <c r="RZF43" s="15"/>
      <c r="RZG43" s="15"/>
      <c r="RZH43" s="14"/>
      <c r="RZI43" s="15"/>
      <c r="RZJ43" s="15"/>
      <c r="RZK43" s="15"/>
      <c r="RZL43" s="14"/>
      <c r="RZM43" s="15"/>
      <c r="RZN43" s="15"/>
      <c r="RZO43" s="15"/>
      <c r="RZP43" s="14"/>
      <c r="RZQ43" s="15"/>
      <c r="RZR43" s="15"/>
      <c r="RZS43" s="15"/>
      <c r="RZT43" s="14"/>
      <c r="RZU43" s="10"/>
      <c r="RZV43" s="15"/>
      <c r="RZW43" s="15"/>
      <c r="RZX43" s="14"/>
      <c r="RZY43" s="15"/>
      <c r="RZZ43" s="15"/>
      <c r="SAA43" s="15"/>
      <c r="SAB43" s="14"/>
      <c r="SAC43" s="15"/>
      <c r="SAD43" s="15"/>
      <c r="SAE43" s="15"/>
      <c r="SAF43" s="14"/>
      <c r="SAG43" s="15"/>
      <c r="SAH43" s="15"/>
      <c r="SAI43" s="15"/>
      <c r="SAJ43" s="14"/>
      <c r="SAK43" s="10"/>
      <c r="SAL43" s="15"/>
      <c r="SAM43" s="15"/>
      <c r="SAN43" s="14"/>
      <c r="SAO43" s="15"/>
      <c r="SAP43" s="15"/>
      <c r="SAQ43" s="15"/>
      <c r="SAR43" s="14"/>
      <c r="SAS43" s="15"/>
      <c r="SAT43" s="15"/>
      <c r="SAU43" s="15"/>
      <c r="SAV43" s="14"/>
      <c r="SAW43" s="15"/>
      <c r="SAX43" s="15"/>
      <c r="SAY43" s="15"/>
      <c r="SAZ43" s="14"/>
      <c r="SBA43" s="10"/>
      <c r="SBB43" s="15"/>
      <c r="SBC43" s="15"/>
      <c r="SBD43" s="14"/>
      <c r="SBE43" s="15"/>
      <c r="SBF43" s="15"/>
      <c r="SBG43" s="15"/>
      <c r="SBH43" s="14"/>
      <c r="SBI43" s="15"/>
      <c r="SBJ43" s="15"/>
      <c r="SBK43" s="15"/>
      <c r="SBL43" s="14"/>
      <c r="SBM43" s="15"/>
      <c r="SBN43" s="15"/>
      <c r="SBO43" s="15"/>
      <c r="SBP43" s="14"/>
      <c r="SBQ43" s="10"/>
      <c r="SBR43" s="15"/>
      <c r="SBS43" s="15"/>
      <c r="SBT43" s="14"/>
      <c r="SBU43" s="15"/>
      <c r="SBV43" s="15"/>
      <c r="SBW43" s="15"/>
      <c r="SBX43" s="14"/>
      <c r="SBY43" s="15"/>
      <c r="SBZ43" s="15"/>
      <c r="SCA43" s="15"/>
      <c r="SCB43" s="14"/>
      <c r="SCC43" s="15"/>
      <c r="SCD43" s="15"/>
      <c r="SCE43" s="15"/>
      <c r="SCF43" s="14"/>
      <c r="SCG43" s="10"/>
      <c r="SCH43" s="15"/>
      <c r="SCI43" s="15"/>
      <c r="SCJ43" s="14"/>
      <c r="SCK43" s="15"/>
      <c r="SCL43" s="15"/>
      <c r="SCM43" s="15"/>
      <c r="SCN43" s="14"/>
      <c r="SCO43" s="15"/>
      <c r="SCP43" s="15"/>
      <c r="SCQ43" s="15"/>
      <c r="SCR43" s="14"/>
      <c r="SCS43" s="15"/>
      <c r="SCT43" s="15"/>
      <c r="SCU43" s="15"/>
      <c r="SCV43" s="14"/>
      <c r="SCW43" s="10"/>
      <c r="SCX43" s="15"/>
      <c r="SCY43" s="15"/>
      <c r="SCZ43" s="14"/>
      <c r="SDA43" s="15"/>
      <c r="SDB43" s="15"/>
      <c r="SDC43" s="15"/>
      <c r="SDD43" s="14"/>
      <c r="SDE43" s="15"/>
      <c r="SDF43" s="15"/>
      <c r="SDG43" s="15"/>
      <c r="SDH43" s="14"/>
      <c r="SDI43" s="15"/>
      <c r="SDJ43" s="15"/>
      <c r="SDK43" s="15"/>
      <c r="SDL43" s="14"/>
      <c r="SDM43" s="10"/>
      <c r="SDN43" s="15"/>
      <c r="SDO43" s="15"/>
      <c r="SDP43" s="14"/>
      <c r="SDQ43" s="15"/>
      <c r="SDR43" s="15"/>
      <c r="SDS43" s="15"/>
      <c r="SDT43" s="14"/>
      <c r="SDU43" s="15"/>
      <c r="SDV43" s="15"/>
      <c r="SDW43" s="15"/>
      <c r="SDX43" s="14"/>
      <c r="SDY43" s="15"/>
      <c r="SDZ43" s="15"/>
      <c r="SEA43" s="15"/>
      <c r="SEB43" s="14"/>
      <c r="SEC43" s="10"/>
      <c r="SED43" s="15"/>
      <c r="SEE43" s="15"/>
      <c r="SEF43" s="14"/>
      <c r="SEG43" s="15"/>
      <c r="SEH43" s="15"/>
      <c r="SEI43" s="15"/>
      <c r="SEJ43" s="14"/>
      <c r="SEK43" s="15"/>
      <c r="SEL43" s="15"/>
      <c r="SEM43" s="15"/>
      <c r="SEN43" s="14"/>
      <c r="SEO43" s="15"/>
      <c r="SEP43" s="15"/>
      <c r="SEQ43" s="15"/>
      <c r="SER43" s="14"/>
      <c r="SES43" s="10"/>
      <c r="SET43" s="15"/>
      <c r="SEU43" s="15"/>
      <c r="SEV43" s="14"/>
      <c r="SEW43" s="15"/>
      <c r="SEX43" s="15"/>
      <c r="SEY43" s="15"/>
      <c r="SEZ43" s="14"/>
      <c r="SFA43" s="15"/>
      <c r="SFB43" s="15"/>
      <c r="SFC43" s="15"/>
      <c r="SFD43" s="14"/>
      <c r="SFE43" s="15"/>
      <c r="SFF43" s="15"/>
      <c r="SFG43" s="15"/>
      <c r="SFH43" s="14"/>
      <c r="SFI43" s="10"/>
      <c r="SFJ43" s="15"/>
      <c r="SFK43" s="15"/>
      <c r="SFL43" s="14"/>
      <c r="SFM43" s="15"/>
      <c r="SFN43" s="15"/>
      <c r="SFO43" s="15"/>
      <c r="SFP43" s="14"/>
      <c r="SFQ43" s="15"/>
      <c r="SFR43" s="15"/>
      <c r="SFS43" s="15"/>
      <c r="SFT43" s="14"/>
      <c r="SFU43" s="15"/>
      <c r="SFV43" s="15"/>
      <c r="SFW43" s="15"/>
      <c r="SFX43" s="14"/>
      <c r="SFY43" s="10"/>
      <c r="SFZ43" s="15"/>
      <c r="SGA43" s="15"/>
      <c r="SGB43" s="14"/>
      <c r="SGC43" s="15"/>
      <c r="SGD43" s="15"/>
      <c r="SGE43" s="15"/>
      <c r="SGF43" s="14"/>
      <c r="SGG43" s="15"/>
      <c r="SGH43" s="15"/>
      <c r="SGI43" s="15"/>
      <c r="SGJ43" s="14"/>
      <c r="SGK43" s="15"/>
      <c r="SGL43" s="15"/>
      <c r="SGM43" s="15"/>
      <c r="SGN43" s="14"/>
      <c r="SGO43" s="10"/>
      <c r="SGP43" s="15"/>
      <c r="SGQ43" s="15"/>
      <c r="SGR43" s="14"/>
      <c r="SGS43" s="15"/>
      <c r="SGT43" s="15"/>
      <c r="SGU43" s="15"/>
      <c r="SGV43" s="14"/>
      <c r="SGW43" s="15"/>
      <c r="SGX43" s="15"/>
      <c r="SGY43" s="15"/>
      <c r="SGZ43" s="14"/>
      <c r="SHA43" s="15"/>
      <c r="SHB43" s="15"/>
      <c r="SHC43" s="15"/>
      <c r="SHD43" s="14"/>
      <c r="SHE43" s="10"/>
      <c r="SHF43" s="15"/>
      <c r="SHG43" s="15"/>
      <c r="SHH43" s="14"/>
      <c r="SHI43" s="15"/>
      <c r="SHJ43" s="15"/>
      <c r="SHK43" s="15"/>
      <c r="SHL43" s="14"/>
      <c r="SHM43" s="15"/>
      <c r="SHN43" s="15"/>
      <c r="SHO43" s="15"/>
      <c r="SHP43" s="14"/>
      <c r="SHQ43" s="15"/>
      <c r="SHR43" s="15"/>
      <c r="SHS43" s="15"/>
      <c r="SHT43" s="14"/>
      <c r="SHU43" s="10"/>
      <c r="SHV43" s="15"/>
      <c r="SHW43" s="15"/>
      <c r="SHX43" s="14"/>
      <c r="SHY43" s="15"/>
      <c r="SHZ43" s="15"/>
      <c r="SIA43" s="15"/>
      <c r="SIB43" s="14"/>
      <c r="SIC43" s="15"/>
      <c r="SID43" s="15"/>
      <c r="SIE43" s="15"/>
      <c r="SIF43" s="14"/>
      <c r="SIG43" s="15"/>
      <c r="SIH43" s="15"/>
      <c r="SII43" s="15"/>
      <c r="SIJ43" s="14"/>
      <c r="SIK43" s="10"/>
      <c r="SIL43" s="15"/>
      <c r="SIM43" s="15"/>
      <c r="SIN43" s="14"/>
      <c r="SIO43" s="15"/>
      <c r="SIP43" s="15"/>
      <c r="SIQ43" s="15"/>
      <c r="SIR43" s="14"/>
      <c r="SIS43" s="15"/>
      <c r="SIT43" s="15"/>
      <c r="SIU43" s="15"/>
      <c r="SIV43" s="14"/>
      <c r="SIW43" s="15"/>
      <c r="SIX43" s="15"/>
      <c r="SIY43" s="15"/>
      <c r="SIZ43" s="14"/>
      <c r="SJA43" s="10"/>
      <c r="SJB43" s="15"/>
      <c r="SJC43" s="15"/>
      <c r="SJD43" s="14"/>
      <c r="SJE43" s="15"/>
      <c r="SJF43" s="15"/>
      <c r="SJG43" s="15"/>
      <c r="SJH43" s="14"/>
      <c r="SJI43" s="15"/>
      <c r="SJJ43" s="15"/>
      <c r="SJK43" s="15"/>
      <c r="SJL43" s="14"/>
      <c r="SJM43" s="15"/>
      <c r="SJN43" s="15"/>
      <c r="SJO43" s="15"/>
      <c r="SJP43" s="14"/>
      <c r="SJQ43" s="10"/>
      <c r="SJR43" s="15"/>
      <c r="SJS43" s="15"/>
      <c r="SJT43" s="14"/>
      <c r="SJU43" s="15"/>
      <c r="SJV43" s="15"/>
      <c r="SJW43" s="15"/>
      <c r="SJX43" s="14"/>
      <c r="SJY43" s="15"/>
      <c r="SJZ43" s="15"/>
      <c r="SKA43" s="15"/>
      <c r="SKB43" s="14"/>
      <c r="SKC43" s="15"/>
      <c r="SKD43" s="15"/>
      <c r="SKE43" s="15"/>
      <c r="SKF43" s="14"/>
      <c r="SKG43" s="10"/>
      <c r="SKH43" s="15"/>
      <c r="SKI43" s="15"/>
      <c r="SKJ43" s="14"/>
      <c r="SKK43" s="15"/>
      <c r="SKL43" s="15"/>
      <c r="SKM43" s="15"/>
      <c r="SKN43" s="14"/>
      <c r="SKO43" s="15"/>
      <c r="SKP43" s="15"/>
      <c r="SKQ43" s="15"/>
      <c r="SKR43" s="14"/>
      <c r="SKS43" s="15"/>
      <c r="SKT43" s="15"/>
      <c r="SKU43" s="15"/>
      <c r="SKV43" s="14"/>
      <c r="SKW43" s="10"/>
      <c r="SKX43" s="15"/>
      <c r="SKY43" s="15"/>
      <c r="SKZ43" s="14"/>
      <c r="SLA43" s="15"/>
      <c r="SLB43" s="15"/>
      <c r="SLC43" s="15"/>
      <c r="SLD43" s="14"/>
      <c r="SLE43" s="15"/>
      <c r="SLF43" s="15"/>
      <c r="SLG43" s="15"/>
      <c r="SLH43" s="14"/>
      <c r="SLI43" s="15"/>
      <c r="SLJ43" s="15"/>
      <c r="SLK43" s="15"/>
      <c r="SLL43" s="14"/>
      <c r="SLM43" s="10"/>
      <c r="SLN43" s="15"/>
      <c r="SLO43" s="15"/>
      <c r="SLP43" s="14"/>
      <c r="SLQ43" s="15"/>
      <c r="SLR43" s="15"/>
      <c r="SLS43" s="15"/>
      <c r="SLT43" s="14"/>
      <c r="SLU43" s="15"/>
      <c r="SLV43" s="15"/>
      <c r="SLW43" s="15"/>
      <c r="SLX43" s="14"/>
      <c r="SLY43" s="15"/>
      <c r="SLZ43" s="15"/>
      <c r="SMA43" s="15"/>
      <c r="SMB43" s="14"/>
      <c r="SMC43" s="10"/>
      <c r="SMD43" s="15"/>
      <c r="SME43" s="15"/>
      <c r="SMF43" s="14"/>
      <c r="SMG43" s="15"/>
      <c r="SMH43" s="15"/>
      <c r="SMI43" s="15"/>
      <c r="SMJ43" s="14"/>
      <c r="SMK43" s="15"/>
      <c r="SML43" s="15"/>
      <c r="SMM43" s="15"/>
      <c r="SMN43" s="14"/>
      <c r="SMO43" s="15"/>
      <c r="SMP43" s="15"/>
      <c r="SMQ43" s="15"/>
      <c r="SMR43" s="14"/>
      <c r="SMS43" s="10"/>
      <c r="SMT43" s="15"/>
      <c r="SMU43" s="15"/>
      <c r="SMV43" s="14"/>
      <c r="SMW43" s="15"/>
      <c r="SMX43" s="15"/>
      <c r="SMY43" s="15"/>
      <c r="SMZ43" s="14"/>
      <c r="SNA43" s="15"/>
      <c r="SNB43" s="15"/>
      <c r="SNC43" s="15"/>
      <c r="SND43" s="14"/>
      <c r="SNE43" s="15"/>
      <c r="SNF43" s="15"/>
      <c r="SNG43" s="15"/>
      <c r="SNH43" s="14"/>
      <c r="SNI43" s="10"/>
      <c r="SNJ43" s="15"/>
      <c r="SNK43" s="15"/>
      <c r="SNL43" s="14"/>
      <c r="SNM43" s="15"/>
      <c r="SNN43" s="15"/>
      <c r="SNO43" s="15"/>
      <c r="SNP43" s="14"/>
      <c r="SNQ43" s="15"/>
      <c r="SNR43" s="15"/>
      <c r="SNS43" s="15"/>
      <c r="SNT43" s="14"/>
      <c r="SNU43" s="15"/>
      <c r="SNV43" s="15"/>
      <c r="SNW43" s="15"/>
      <c r="SNX43" s="14"/>
      <c r="SNY43" s="10"/>
      <c r="SNZ43" s="15"/>
      <c r="SOA43" s="15"/>
      <c r="SOB43" s="14"/>
      <c r="SOC43" s="15"/>
      <c r="SOD43" s="15"/>
      <c r="SOE43" s="15"/>
      <c r="SOF43" s="14"/>
      <c r="SOG43" s="15"/>
      <c r="SOH43" s="15"/>
      <c r="SOI43" s="15"/>
      <c r="SOJ43" s="14"/>
      <c r="SOK43" s="15"/>
      <c r="SOL43" s="15"/>
      <c r="SOM43" s="15"/>
      <c r="SON43" s="14"/>
      <c r="SOO43" s="10"/>
      <c r="SOP43" s="15"/>
      <c r="SOQ43" s="15"/>
      <c r="SOR43" s="14"/>
      <c r="SOS43" s="15"/>
      <c r="SOT43" s="15"/>
      <c r="SOU43" s="15"/>
      <c r="SOV43" s="14"/>
      <c r="SOW43" s="15"/>
      <c r="SOX43" s="15"/>
      <c r="SOY43" s="15"/>
      <c r="SOZ43" s="14"/>
      <c r="SPA43" s="15"/>
      <c r="SPB43" s="15"/>
      <c r="SPC43" s="15"/>
      <c r="SPD43" s="14"/>
      <c r="SPE43" s="10"/>
      <c r="SPF43" s="15"/>
      <c r="SPG43" s="15"/>
      <c r="SPH43" s="14"/>
      <c r="SPI43" s="15"/>
      <c r="SPJ43" s="15"/>
      <c r="SPK43" s="15"/>
      <c r="SPL43" s="14"/>
      <c r="SPM43" s="15"/>
      <c r="SPN43" s="15"/>
      <c r="SPO43" s="15"/>
      <c r="SPP43" s="14"/>
      <c r="SPQ43" s="15"/>
      <c r="SPR43" s="15"/>
      <c r="SPS43" s="15"/>
      <c r="SPT43" s="14"/>
      <c r="SPU43" s="10"/>
      <c r="SPV43" s="15"/>
      <c r="SPW43" s="15"/>
      <c r="SPX43" s="14"/>
      <c r="SPY43" s="15"/>
      <c r="SPZ43" s="15"/>
      <c r="SQA43" s="15"/>
      <c r="SQB43" s="14"/>
      <c r="SQC43" s="15"/>
      <c r="SQD43" s="15"/>
      <c r="SQE43" s="15"/>
      <c r="SQF43" s="14"/>
      <c r="SQG43" s="15"/>
      <c r="SQH43" s="15"/>
      <c r="SQI43" s="15"/>
      <c r="SQJ43" s="14"/>
      <c r="SQK43" s="10"/>
      <c r="SQL43" s="15"/>
      <c r="SQM43" s="15"/>
      <c r="SQN43" s="14"/>
      <c r="SQO43" s="15"/>
      <c r="SQP43" s="15"/>
      <c r="SQQ43" s="15"/>
      <c r="SQR43" s="14"/>
      <c r="SQS43" s="15"/>
      <c r="SQT43" s="15"/>
      <c r="SQU43" s="15"/>
      <c r="SQV43" s="14"/>
      <c r="SQW43" s="15"/>
      <c r="SQX43" s="15"/>
      <c r="SQY43" s="15"/>
      <c r="SQZ43" s="14"/>
      <c r="SRA43" s="10"/>
      <c r="SRB43" s="15"/>
      <c r="SRC43" s="15"/>
      <c r="SRD43" s="14"/>
      <c r="SRE43" s="15"/>
      <c r="SRF43" s="15"/>
      <c r="SRG43" s="15"/>
      <c r="SRH43" s="14"/>
      <c r="SRI43" s="15"/>
      <c r="SRJ43" s="15"/>
      <c r="SRK43" s="15"/>
      <c r="SRL43" s="14"/>
      <c r="SRM43" s="15"/>
      <c r="SRN43" s="15"/>
      <c r="SRO43" s="15"/>
      <c r="SRP43" s="14"/>
      <c r="SRQ43" s="10"/>
      <c r="SRR43" s="15"/>
      <c r="SRS43" s="15"/>
      <c r="SRT43" s="14"/>
      <c r="SRU43" s="15"/>
      <c r="SRV43" s="15"/>
      <c r="SRW43" s="15"/>
      <c r="SRX43" s="14"/>
      <c r="SRY43" s="15"/>
      <c r="SRZ43" s="15"/>
      <c r="SSA43" s="15"/>
      <c r="SSB43" s="14"/>
      <c r="SSC43" s="15"/>
      <c r="SSD43" s="15"/>
      <c r="SSE43" s="15"/>
      <c r="SSF43" s="14"/>
      <c r="SSG43" s="10"/>
      <c r="SSH43" s="15"/>
      <c r="SSI43" s="15"/>
      <c r="SSJ43" s="14"/>
      <c r="SSK43" s="15"/>
      <c r="SSL43" s="15"/>
      <c r="SSM43" s="15"/>
      <c r="SSN43" s="14"/>
      <c r="SSO43" s="15"/>
      <c r="SSP43" s="15"/>
      <c r="SSQ43" s="15"/>
      <c r="SSR43" s="14"/>
      <c r="SSS43" s="15"/>
      <c r="SST43" s="15"/>
      <c r="SSU43" s="15"/>
      <c r="SSV43" s="14"/>
      <c r="SSW43" s="10"/>
      <c r="SSX43" s="15"/>
      <c r="SSY43" s="15"/>
      <c r="SSZ43" s="14"/>
      <c r="STA43" s="15"/>
      <c r="STB43" s="15"/>
      <c r="STC43" s="15"/>
      <c r="STD43" s="14"/>
      <c r="STE43" s="15"/>
      <c r="STF43" s="15"/>
      <c r="STG43" s="15"/>
      <c r="STH43" s="14"/>
      <c r="STI43" s="15"/>
      <c r="STJ43" s="15"/>
      <c r="STK43" s="15"/>
      <c r="STL43" s="14"/>
      <c r="STM43" s="10"/>
      <c r="STN43" s="15"/>
      <c r="STO43" s="15"/>
      <c r="STP43" s="14"/>
      <c r="STQ43" s="15"/>
      <c r="STR43" s="15"/>
      <c r="STS43" s="15"/>
      <c r="STT43" s="14"/>
      <c r="STU43" s="15"/>
      <c r="STV43" s="15"/>
      <c r="STW43" s="15"/>
      <c r="STX43" s="14"/>
      <c r="STY43" s="15"/>
      <c r="STZ43" s="15"/>
      <c r="SUA43" s="15"/>
      <c r="SUB43" s="14"/>
      <c r="SUC43" s="10"/>
      <c r="SUD43" s="15"/>
      <c r="SUE43" s="15"/>
      <c r="SUF43" s="14"/>
      <c r="SUG43" s="15"/>
      <c r="SUH43" s="15"/>
      <c r="SUI43" s="15"/>
      <c r="SUJ43" s="14"/>
      <c r="SUK43" s="15"/>
      <c r="SUL43" s="15"/>
      <c r="SUM43" s="15"/>
      <c r="SUN43" s="14"/>
      <c r="SUO43" s="15"/>
      <c r="SUP43" s="15"/>
      <c r="SUQ43" s="15"/>
      <c r="SUR43" s="14"/>
      <c r="SUS43" s="10"/>
      <c r="SUT43" s="15"/>
      <c r="SUU43" s="15"/>
      <c r="SUV43" s="14"/>
      <c r="SUW43" s="15"/>
      <c r="SUX43" s="15"/>
      <c r="SUY43" s="15"/>
      <c r="SUZ43" s="14"/>
      <c r="SVA43" s="15"/>
      <c r="SVB43" s="15"/>
      <c r="SVC43" s="15"/>
      <c r="SVD43" s="14"/>
      <c r="SVE43" s="15"/>
      <c r="SVF43" s="15"/>
      <c r="SVG43" s="15"/>
      <c r="SVH43" s="14"/>
      <c r="SVI43" s="10"/>
      <c r="SVJ43" s="15"/>
      <c r="SVK43" s="15"/>
      <c r="SVL43" s="14"/>
      <c r="SVM43" s="15"/>
      <c r="SVN43" s="15"/>
      <c r="SVO43" s="15"/>
      <c r="SVP43" s="14"/>
      <c r="SVQ43" s="15"/>
      <c r="SVR43" s="15"/>
      <c r="SVS43" s="15"/>
      <c r="SVT43" s="14"/>
      <c r="SVU43" s="15"/>
      <c r="SVV43" s="15"/>
      <c r="SVW43" s="15"/>
      <c r="SVX43" s="14"/>
      <c r="SVY43" s="10"/>
      <c r="SVZ43" s="15"/>
      <c r="SWA43" s="15"/>
      <c r="SWB43" s="14"/>
      <c r="SWC43" s="15"/>
      <c r="SWD43" s="15"/>
      <c r="SWE43" s="15"/>
      <c r="SWF43" s="14"/>
      <c r="SWG43" s="15"/>
      <c r="SWH43" s="15"/>
      <c r="SWI43" s="15"/>
      <c r="SWJ43" s="14"/>
      <c r="SWK43" s="15"/>
      <c r="SWL43" s="15"/>
      <c r="SWM43" s="15"/>
      <c r="SWN43" s="14"/>
      <c r="SWO43" s="10"/>
      <c r="SWP43" s="15"/>
      <c r="SWQ43" s="15"/>
      <c r="SWR43" s="14"/>
      <c r="SWS43" s="15"/>
      <c r="SWT43" s="15"/>
      <c r="SWU43" s="15"/>
      <c r="SWV43" s="14"/>
      <c r="SWW43" s="15"/>
      <c r="SWX43" s="15"/>
      <c r="SWY43" s="15"/>
      <c r="SWZ43" s="14"/>
      <c r="SXA43" s="15"/>
      <c r="SXB43" s="15"/>
      <c r="SXC43" s="15"/>
      <c r="SXD43" s="14"/>
      <c r="SXE43" s="10"/>
      <c r="SXF43" s="15"/>
      <c r="SXG43" s="15"/>
      <c r="SXH43" s="14"/>
      <c r="SXI43" s="15"/>
      <c r="SXJ43" s="15"/>
      <c r="SXK43" s="15"/>
      <c r="SXL43" s="14"/>
      <c r="SXM43" s="15"/>
      <c r="SXN43" s="15"/>
      <c r="SXO43" s="15"/>
      <c r="SXP43" s="14"/>
      <c r="SXQ43" s="15"/>
      <c r="SXR43" s="15"/>
      <c r="SXS43" s="15"/>
      <c r="SXT43" s="14"/>
      <c r="SXU43" s="10"/>
      <c r="SXV43" s="15"/>
      <c r="SXW43" s="15"/>
      <c r="SXX43" s="14"/>
      <c r="SXY43" s="15"/>
      <c r="SXZ43" s="15"/>
      <c r="SYA43" s="15"/>
      <c r="SYB43" s="14"/>
      <c r="SYC43" s="15"/>
      <c r="SYD43" s="15"/>
      <c r="SYE43" s="15"/>
      <c r="SYF43" s="14"/>
      <c r="SYG43" s="15"/>
      <c r="SYH43" s="15"/>
      <c r="SYI43" s="15"/>
      <c r="SYJ43" s="14"/>
      <c r="SYK43" s="10"/>
      <c r="SYL43" s="15"/>
      <c r="SYM43" s="15"/>
      <c r="SYN43" s="14"/>
      <c r="SYO43" s="15"/>
      <c r="SYP43" s="15"/>
      <c r="SYQ43" s="15"/>
      <c r="SYR43" s="14"/>
      <c r="SYS43" s="15"/>
      <c r="SYT43" s="15"/>
      <c r="SYU43" s="15"/>
      <c r="SYV43" s="14"/>
      <c r="SYW43" s="15"/>
      <c r="SYX43" s="15"/>
      <c r="SYY43" s="15"/>
      <c r="SYZ43" s="14"/>
      <c r="SZA43" s="10"/>
      <c r="SZB43" s="15"/>
      <c r="SZC43" s="15"/>
      <c r="SZD43" s="14"/>
      <c r="SZE43" s="15"/>
      <c r="SZF43" s="15"/>
      <c r="SZG43" s="15"/>
      <c r="SZH43" s="14"/>
      <c r="SZI43" s="15"/>
      <c r="SZJ43" s="15"/>
      <c r="SZK43" s="15"/>
      <c r="SZL43" s="14"/>
      <c r="SZM43" s="15"/>
      <c r="SZN43" s="15"/>
      <c r="SZO43" s="15"/>
      <c r="SZP43" s="14"/>
      <c r="SZQ43" s="10"/>
      <c r="SZR43" s="15"/>
      <c r="SZS43" s="15"/>
      <c r="SZT43" s="14"/>
      <c r="SZU43" s="15"/>
      <c r="SZV43" s="15"/>
      <c r="SZW43" s="15"/>
      <c r="SZX43" s="14"/>
      <c r="SZY43" s="15"/>
      <c r="SZZ43" s="15"/>
      <c r="TAA43" s="15"/>
      <c r="TAB43" s="14"/>
      <c r="TAC43" s="15"/>
      <c r="TAD43" s="15"/>
      <c r="TAE43" s="15"/>
      <c r="TAF43" s="14"/>
      <c r="TAG43" s="10"/>
      <c r="TAH43" s="15"/>
      <c r="TAI43" s="15"/>
      <c r="TAJ43" s="14"/>
      <c r="TAK43" s="15"/>
      <c r="TAL43" s="15"/>
      <c r="TAM43" s="15"/>
      <c r="TAN43" s="14"/>
      <c r="TAO43" s="15"/>
      <c r="TAP43" s="15"/>
      <c r="TAQ43" s="15"/>
      <c r="TAR43" s="14"/>
      <c r="TAS43" s="15"/>
      <c r="TAT43" s="15"/>
      <c r="TAU43" s="15"/>
      <c r="TAV43" s="14"/>
      <c r="TAW43" s="10"/>
      <c r="TAX43" s="15"/>
      <c r="TAY43" s="15"/>
      <c r="TAZ43" s="14"/>
      <c r="TBA43" s="15"/>
      <c r="TBB43" s="15"/>
      <c r="TBC43" s="15"/>
      <c r="TBD43" s="14"/>
      <c r="TBE43" s="15"/>
      <c r="TBF43" s="15"/>
      <c r="TBG43" s="15"/>
      <c r="TBH43" s="14"/>
      <c r="TBI43" s="15"/>
      <c r="TBJ43" s="15"/>
      <c r="TBK43" s="15"/>
      <c r="TBL43" s="14"/>
      <c r="TBM43" s="10"/>
      <c r="TBN43" s="15"/>
      <c r="TBO43" s="15"/>
      <c r="TBP43" s="14"/>
      <c r="TBQ43" s="15"/>
      <c r="TBR43" s="15"/>
      <c r="TBS43" s="15"/>
      <c r="TBT43" s="14"/>
      <c r="TBU43" s="15"/>
      <c r="TBV43" s="15"/>
      <c r="TBW43" s="15"/>
      <c r="TBX43" s="14"/>
      <c r="TBY43" s="15"/>
      <c r="TBZ43" s="15"/>
      <c r="TCA43" s="15"/>
      <c r="TCB43" s="14"/>
      <c r="TCC43" s="10"/>
      <c r="TCD43" s="15"/>
      <c r="TCE43" s="15"/>
      <c r="TCF43" s="14"/>
      <c r="TCG43" s="15"/>
      <c r="TCH43" s="15"/>
      <c r="TCI43" s="15"/>
      <c r="TCJ43" s="14"/>
      <c r="TCK43" s="15"/>
      <c r="TCL43" s="15"/>
      <c r="TCM43" s="15"/>
      <c r="TCN43" s="14"/>
      <c r="TCO43" s="15"/>
      <c r="TCP43" s="15"/>
      <c r="TCQ43" s="15"/>
      <c r="TCR43" s="14"/>
      <c r="TCS43" s="10"/>
      <c r="TCT43" s="15"/>
      <c r="TCU43" s="15"/>
      <c r="TCV43" s="14"/>
      <c r="TCW43" s="15"/>
      <c r="TCX43" s="15"/>
      <c r="TCY43" s="15"/>
      <c r="TCZ43" s="14"/>
      <c r="TDA43" s="15"/>
      <c r="TDB43" s="15"/>
      <c r="TDC43" s="15"/>
      <c r="TDD43" s="14"/>
      <c r="TDE43" s="15"/>
      <c r="TDF43" s="15"/>
      <c r="TDG43" s="15"/>
      <c r="TDH43" s="14"/>
      <c r="TDI43" s="10"/>
      <c r="TDJ43" s="15"/>
      <c r="TDK43" s="15"/>
      <c r="TDL43" s="14"/>
      <c r="TDM43" s="15"/>
      <c r="TDN43" s="15"/>
      <c r="TDO43" s="15"/>
      <c r="TDP43" s="14"/>
      <c r="TDQ43" s="15"/>
      <c r="TDR43" s="15"/>
      <c r="TDS43" s="15"/>
      <c r="TDT43" s="14"/>
      <c r="TDU43" s="15"/>
      <c r="TDV43" s="15"/>
      <c r="TDW43" s="15"/>
      <c r="TDX43" s="14"/>
      <c r="TDY43" s="10"/>
      <c r="TDZ43" s="15"/>
      <c r="TEA43" s="15"/>
      <c r="TEB43" s="14"/>
      <c r="TEC43" s="15"/>
      <c r="TED43" s="15"/>
      <c r="TEE43" s="15"/>
      <c r="TEF43" s="14"/>
      <c r="TEG43" s="15"/>
      <c r="TEH43" s="15"/>
      <c r="TEI43" s="15"/>
      <c r="TEJ43" s="14"/>
      <c r="TEK43" s="15"/>
      <c r="TEL43" s="15"/>
      <c r="TEM43" s="15"/>
      <c r="TEN43" s="14"/>
      <c r="TEO43" s="10"/>
      <c r="TEP43" s="15"/>
      <c r="TEQ43" s="15"/>
      <c r="TER43" s="14"/>
      <c r="TES43" s="15"/>
      <c r="TET43" s="15"/>
      <c r="TEU43" s="15"/>
      <c r="TEV43" s="14"/>
      <c r="TEW43" s="15"/>
      <c r="TEX43" s="15"/>
      <c r="TEY43" s="15"/>
      <c r="TEZ43" s="14"/>
      <c r="TFA43" s="15"/>
      <c r="TFB43" s="15"/>
      <c r="TFC43" s="15"/>
      <c r="TFD43" s="14"/>
      <c r="TFE43" s="10"/>
      <c r="TFF43" s="15"/>
      <c r="TFG43" s="15"/>
      <c r="TFH43" s="14"/>
      <c r="TFI43" s="15"/>
      <c r="TFJ43" s="15"/>
      <c r="TFK43" s="15"/>
      <c r="TFL43" s="14"/>
      <c r="TFM43" s="15"/>
      <c r="TFN43" s="15"/>
      <c r="TFO43" s="15"/>
      <c r="TFP43" s="14"/>
      <c r="TFQ43" s="15"/>
      <c r="TFR43" s="15"/>
      <c r="TFS43" s="15"/>
      <c r="TFT43" s="14"/>
      <c r="TFU43" s="10"/>
      <c r="TFV43" s="15"/>
      <c r="TFW43" s="15"/>
      <c r="TFX43" s="14"/>
      <c r="TFY43" s="15"/>
      <c r="TFZ43" s="15"/>
      <c r="TGA43" s="15"/>
      <c r="TGB43" s="14"/>
      <c r="TGC43" s="15"/>
      <c r="TGD43" s="15"/>
      <c r="TGE43" s="15"/>
      <c r="TGF43" s="14"/>
      <c r="TGG43" s="15"/>
      <c r="TGH43" s="15"/>
      <c r="TGI43" s="15"/>
      <c r="TGJ43" s="14"/>
      <c r="TGK43" s="10"/>
      <c r="TGL43" s="15"/>
      <c r="TGM43" s="15"/>
      <c r="TGN43" s="14"/>
      <c r="TGO43" s="15"/>
      <c r="TGP43" s="15"/>
      <c r="TGQ43" s="15"/>
      <c r="TGR43" s="14"/>
      <c r="TGS43" s="15"/>
      <c r="TGT43" s="15"/>
      <c r="TGU43" s="15"/>
      <c r="TGV43" s="14"/>
      <c r="TGW43" s="15"/>
      <c r="TGX43" s="15"/>
      <c r="TGY43" s="15"/>
      <c r="TGZ43" s="14"/>
      <c r="THA43" s="10"/>
      <c r="THB43" s="15"/>
      <c r="THC43" s="15"/>
      <c r="THD43" s="14"/>
      <c r="THE43" s="15"/>
      <c r="THF43" s="15"/>
      <c r="THG43" s="15"/>
      <c r="THH43" s="14"/>
      <c r="THI43" s="15"/>
      <c r="THJ43" s="15"/>
      <c r="THK43" s="15"/>
      <c r="THL43" s="14"/>
      <c r="THM43" s="15"/>
      <c r="THN43" s="15"/>
      <c r="THO43" s="15"/>
      <c r="THP43" s="14"/>
      <c r="THQ43" s="10"/>
      <c r="THR43" s="15"/>
      <c r="THS43" s="15"/>
      <c r="THT43" s="14"/>
      <c r="THU43" s="15"/>
      <c r="THV43" s="15"/>
      <c r="THW43" s="15"/>
      <c r="THX43" s="14"/>
      <c r="THY43" s="15"/>
      <c r="THZ43" s="15"/>
      <c r="TIA43" s="15"/>
      <c r="TIB43" s="14"/>
      <c r="TIC43" s="15"/>
      <c r="TID43" s="15"/>
      <c r="TIE43" s="15"/>
      <c r="TIF43" s="14"/>
      <c r="TIG43" s="10"/>
      <c r="TIH43" s="15"/>
      <c r="TII43" s="15"/>
      <c r="TIJ43" s="14"/>
      <c r="TIK43" s="15"/>
      <c r="TIL43" s="15"/>
      <c r="TIM43" s="15"/>
      <c r="TIN43" s="14"/>
      <c r="TIO43" s="15"/>
      <c r="TIP43" s="15"/>
      <c r="TIQ43" s="15"/>
      <c r="TIR43" s="14"/>
      <c r="TIS43" s="15"/>
      <c r="TIT43" s="15"/>
      <c r="TIU43" s="15"/>
      <c r="TIV43" s="14"/>
      <c r="TIW43" s="10"/>
      <c r="TIX43" s="15"/>
      <c r="TIY43" s="15"/>
      <c r="TIZ43" s="14"/>
      <c r="TJA43" s="15"/>
      <c r="TJB43" s="15"/>
      <c r="TJC43" s="15"/>
      <c r="TJD43" s="14"/>
      <c r="TJE43" s="15"/>
      <c r="TJF43" s="15"/>
      <c r="TJG43" s="15"/>
      <c r="TJH43" s="14"/>
      <c r="TJI43" s="15"/>
      <c r="TJJ43" s="15"/>
      <c r="TJK43" s="15"/>
      <c r="TJL43" s="14"/>
      <c r="TJM43" s="10"/>
      <c r="TJN43" s="15"/>
      <c r="TJO43" s="15"/>
      <c r="TJP43" s="14"/>
      <c r="TJQ43" s="15"/>
      <c r="TJR43" s="15"/>
      <c r="TJS43" s="15"/>
      <c r="TJT43" s="14"/>
      <c r="TJU43" s="15"/>
      <c r="TJV43" s="15"/>
      <c r="TJW43" s="15"/>
      <c r="TJX43" s="14"/>
      <c r="TJY43" s="15"/>
      <c r="TJZ43" s="15"/>
      <c r="TKA43" s="15"/>
      <c r="TKB43" s="14"/>
      <c r="TKC43" s="10"/>
      <c r="TKD43" s="15"/>
      <c r="TKE43" s="15"/>
      <c r="TKF43" s="14"/>
      <c r="TKG43" s="15"/>
      <c r="TKH43" s="15"/>
      <c r="TKI43" s="15"/>
      <c r="TKJ43" s="14"/>
      <c r="TKK43" s="15"/>
      <c r="TKL43" s="15"/>
      <c r="TKM43" s="15"/>
      <c r="TKN43" s="14"/>
      <c r="TKO43" s="15"/>
      <c r="TKP43" s="15"/>
      <c r="TKQ43" s="15"/>
      <c r="TKR43" s="14"/>
      <c r="TKS43" s="10"/>
      <c r="TKT43" s="15"/>
      <c r="TKU43" s="15"/>
      <c r="TKV43" s="14"/>
      <c r="TKW43" s="15"/>
      <c r="TKX43" s="15"/>
      <c r="TKY43" s="15"/>
      <c r="TKZ43" s="14"/>
      <c r="TLA43" s="15"/>
      <c r="TLB43" s="15"/>
      <c r="TLC43" s="15"/>
      <c r="TLD43" s="14"/>
      <c r="TLE43" s="15"/>
      <c r="TLF43" s="15"/>
      <c r="TLG43" s="15"/>
      <c r="TLH43" s="14"/>
      <c r="TLI43" s="10"/>
      <c r="TLJ43" s="15"/>
      <c r="TLK43" s="15"/>
      <c r="TLL43" s="14"/>
      <c r="TLM43" s="15"/>
      <c r="TLN43" s="15"/>
      <c r="TLO43" s="15"/>
      <c r="TLP43" s="14"/>
      <c r="TLQ43" s="15"/>
      <c r="TLR43" s="15"/>
      <c r="TLS43" s="15"/>
      <c r="TLT43" s="14"/>
      <c r="TLU43" s="15"/>
      <c r="TLV43" s="15"/>
      <c r="TLW43" s="15"/>
      <c r="TLX43" s="14"/>
      <c r="TLY43" s="10"/>
      <c r="TLZ43" s="15"/>
      <c r="TMA43" s="15"/>
      <c r="TMB43" s="14"/>
      <c r="TMC43" s="15"/>
      <c r="TMD43" s="15"/>
      <c r="TME43" s="15"/>
      <c r="TMF43" s="14"/>
      <c r="TMG43" s="15"/>
      <c r="TMH43" s="15"/>
      <c r="TMI43" s="15"/>
      <c r="TMJ43" s="14"/>
      <c r="TMK43" s="15"/>
      <c r="TML43" s="15"/>
      <c r="TMM43" s="15"/>
      <c r="TMN43" s="14"/>
      <c r="TMO43" s="10"/>
      <c r="TMP43" s="15"/>
      <c r="TMQ43" s="15"/>
      <c r="TMR43" s="14"/>
      <c r="TMS43" s="15"/>
      <c r="TMT43" s="15"/>
      <c r="TMU43" s="15"/>
      <c r="TMV43" s="14"/>
      <c r="TMW43" s="15"/>
      <c r="TMX43" s="15"/>
      <c r="TMY43" s="15"/>
      <c r="TMZ43" s="14"/>
      <c r="TNA43" s="15"/>
      <c r="TNB43" s="15"/>
      <c r="TNC43" s="15"/>
      <c r="TND43" s="14"/>
      <c r="TNE43" s="10"/>
      <c r="TNF43" s="15"/>
      <c r="TNG43" s="15"/>
      <c r="TNH43" s="14"/>
      <c r="TNI43" s="15"/>
      <c r="TNJ43" s="15"/>
      <c r="TNK43" s="15"/>
      <c r="TNL43" s="14"/>
      <c r="TNM43" s="15"/>
      <c r="TNN43" s="15"/>
      <c r="TNO43" s="15"/>
      <c r="TNP43" s="14"/>
      <c r="TNQ43" s="15"/>
      <c r="TNR43" s="15"/>
      <c r="TNS43" s="15"/>
      <c r="TNT43" s="14"/>
      <c r="TNU43" s="10"/>
      <c r="TNV43" s="15"/>
      <c r="TNW43" s="15"/>
      <c r="TNX43" s="14"/>
      <c r="TNY43" s="15"/>
      <c r="TNZ43" s="15"/>
      <c r="TOA43" s="15"/>
      <c r="TOB43" s="14"/>
      <c r="TOC43" s="15"/>
      <c r="TOD43" s="15"/>
      <c r="TOE43" s="15"/>
      <c r="TOF43" s="14"/>
      <c r="TOG43" s="15"/>
      <c r="TOH43" s="15"/>
      <c r="TOI43" s="15"/>
      <c r="TOJ43" s="14"/>
      <c r="TOK43" s="10"/>
      <c r="TOL43" s="15"/>
      <c r="TOM43" s="15"/>
      <c r="TON43" s="14"/>
      <c r="TOO43" s="15"/>
      <c r="TOP43" s="15"/>
      <c r="TOQ43" s="15"/>
      <c r="TOR43" s="14"/>
      <c r="TOS43" s="15"/>
      <c r="TOT43" s="15"/>
      <c r="TOU43" s="15"/>
      <c r="TOV43" s="14"/>
      <c r="TOW43" s="15"/>
      <c r="TOX43" s="15"/>
      <c r="TOY43" s="15"/>
      <c r="TOZ43" s="14"/>
      <c r="TPA43" s="10"/>
      <c r="TPB43" s="15"/>
      <c r="TPC43" s="15"/>
      <c r="TPD43" s="14"/>
      <c r="TPE43" s="15"/>
      <c r="TPF43" s="15"/>
      <c r="TPG43" s="15"/>
      <c r="TPH43" s="14"/>
      <c r="TPI43" s="15"/>
      <c r="TPJ43" s="15"/>
      <c r="TPK43" s="15"/>
      <c r="TPL43" s="14"/>
      <c r="TPM43" s="15"/>
      <c r="TPN43" s="15"/>
      <c r="TPO43" s="15"/>
      <c r="TPP43" s="14"/>
      <c r="TPQ43" s="10"/>
      <c r="TPR43" s="15"/>
      <c r="TPS43" s="15"/>
      <c r="TPT43" s="14"/>
      <c r="TPU43" s="15"/>
      <c r="TPV43" s="15"/>
      <c r="TPW43" s="15"/>
      <c r="TPX43" s="14"/>
      <c r="TPY43" s="15"/>
      <c r="TPZ43" s="15"/>
      <c r="TQA43" s="15"/>
      <c r="TQB43" s="14"/>
      <c r="TQC43" s="15"/>
      <c r="TQD43" s="15"/>
      <c r="TQE43" s="15"/>
      <c r="TQF43" s="14"/>
      <c r="TQG43" s="10"/>
      <c r="TQH43" s="15"/>
      <c r="TQI43" s="15"/>
      <c r="TQJ43" s="14"/>
      <c r="TQK43" s="15"/>
      <c r="TQL43" s="15"/>
      <c r="TQM43" s="15"/>
      <c r="TQN43" s="14"/>
      <c r="TQO43" s="15"/>
      <c r="TQP43" s="15"/>
      <c r="TQQ43" s="15"/>
      <c r="TQR43" s="14"/>
      <c r="TQS43" s="15"/>
      <c r="TQT43" s="15"/>
      <c r="TQU43" s="15"/>
      <c r="TQV43" s="14"/>
      <c r="TQW43" s="10"/>
      <c r="TQX43" s="15"/>
      <c r="TQY43" s="15"/>
      <c r="TQZ43" s="14"/>
      <c r="TRA43" s="15"/>
      <c r="TRB43" s="15"/>
      <c r="TRC43" s="15"/>
      <c r="TRD43" s="14"/>
      <c r="TRE43" s="15"/>
      <c r="TRF43" s="15"/>
      <c r="TRG43" s="15"/>
      <c r="TRH43" s="14"/>
      <c r="TRI43" s="15"/>
      <c r="TRJ43" s="15"/>
      <c r="TRK43" s="15"/>
      <c r="TRL43" s="14"/>
      <c r="TRM43" s="10"/>
      <c r="TRN43" s="15"/>
      <c r="TRO43" s="15"/>
      <c r="TRP43" s="14"/>
      <c r="TRQ43" s="15"/>
      <c r="TRR43" s="15"/>
      <c r="TRS43" s="15"/>
      <c r="TRT43" s="14"/>
      <c r="TRU43" s="15"/>
      <c r="TRV43" s="15"/>
      <c r="TRW43" s="15"/>
      <c r="TRX43" s="14"/>
      <c r="TRY43" s="15"/>
      <c r="TRZ43" s="15"/>
      <c r="TSA43" s="15"/>
      <c r="TSB43" s="14"/>
      <c r="TSC43" s="10"/>
      <c r="TSD43" s="15"/>
      <c r="TSE43" s="15"/>
      <c r="TSF43" s="14"/>
      <c r="TSG43" s="15"/>
      <c r="TSH43" s="15"/>
      <c r="TSI43" s="15"/>
      <c r="TSJ43" s="14"/>
      <c r="TSK43" s="15"/>
      <c r="TSL43" s="15"/>
      <c r="TSM43" s="15"/>
      <c r="TSN43" s="14"/>
      <c r="TSO43" s="15"/>
      <c r="TSP43" s="15"/>
      <c r="TSQ43" s="15"/>
      <c r="TSR43" s="14"/>
      <c r="TSS43" s="10"/>
      <c r="TST43" s="15"/>
      <c r="TSU43" s="15"/>
      <c r="TSV43" s="14"/>
      <c r="TSW43" s="15"/>
      <c r="TSX43" s="15"/>
      <c r="TSY43" s="15"/>
      <c r="TSZ43" s="14"/>
      <c r="TTA43" s="15"/>
      <c r="TTB43" s="15"/>
      <c r="TTC43" s="15"/>
      <c r="TTD43" s="14"/>
      <c r="TTE43" s="15"/>
      <c r="TTF43" s="15"/>
      <c r="TTG43" s="15"/>
      <c r="TTH43" s="14"/>
      <c r="TTI43" s="10"/>
      <c r="TTJ43" s="15"/>
      <c r="TTK43" s="15"/>
      <c r="TTL43" s="14"/>
      <c r="TTM43" s="15"/>
      <c r="TTN43" s="15"/>
      <c r="TTO43" s="15"/>
      <c r="TTP43" s="14"/>
      <c r="TTQ43" s="15"/>
      <c r="TTR43" s="15"/>
      <c r="TTS43" s="15"/>
      <c r="TTT43" s="14"/>
      <c r="TTU43" s="15"/>
      <c r="TTV43" s="15"/>
      <c r="TTW43" s="15"/>
      <c r="TTX43" s="14"/>
      <c r="TTY43" s="10"/>
      <c r="TTZ43" s="15"/>
      <c r="TUA43" s="15"/>
      <c r="TUB43" s="14"/>
      <c r="TUC43" s="15"/>
      <c r="TUD43" s="15"/>
      <c r="TUE43" s="15"/>
      <c r="TUF43" s="14"/>
      <c r="TUG43" s="15"/>
      <c r="TUH43" s="15"/>
      <c r="TUI43" s="15"/>
      <c r="TUJ43" s="14"/>
      <c r="TUK43" s="15"/>
      <c r="TUL43" s="15"/>
      <c r="TUM43" s="15"/>
      <c r="TUN43" s="14"/>
      <c r="TUO43" s="10"/>
      <c r="TUP43" s="15"/>
      <c r="TUQ43" s="15"/>
      <c r="TUR43" s="14"/>
      <c r="TUS43" s="15"/>
      <c r="TUT43" s="15"/>
      <c r="TUU43" s="15"/>
      <c r="TUV43" s="14"/>
      <c r="TUW43" s="15"/>
      <c r="TUX43" s="15"/>
      <c r="TUY43" s="15"/>
      <c r="TUZ43" s="14"/>
      <c r="TVA43" s="15"/>
      <c r="TVB43" s="15"/>
      <c r="TVC43" s="15"/>
      <c r="TVD43" s="14"/>
      <c r="TVE43" s="10"/>
      <c r="TVF43" s="15"/>
      <c r="TVG43" s="15"/>
      <c r="TVH43" s="14"/>
      <c r="TVI43" s="15"/>
      <c r="TVJ43" s="15"/>
      <c r="TVK43" s="15"/>
      <c r="TVL43" s="14"/>
      <c r="TVM43" s="15"/>
      <c r="TVN43" s="15"/>
      <c r="TVO43" s="15"/>
      <c r="TVP43" s="14"/>
      <c r="TVQ43" s="15"/>
      <c r="TVR43" s="15"/>
      <c r="TVS43" s="15"/>
      <c r="TVT43" s="14"/>
      <c r="TVU43" s="10"/>
      <c r="TVV43" s="15"/>
      <c r="TVW43" s="15"/>
      <c r="TVX43" s="14"/>
      <c r="TVY43" s="15"/>
      <c r="TVZ43" s="15"/>
      <c r="TWA43" s="15"/>
      <c r="TWB43" s="14"/>
      <c r="TWC43" s="15"/>
      <c r="TWD43" s="15"/>
      <c r="TWE43" s="15"/>
      <c r="TWF43" s="14"/>
      <c r="TWG43" s="15"/>
      <c r="TWH43" s="15"/>
      <c r="TWI43" s="15"/>
      <c r="TWJ43" s="14"/>
      <c r="TWK43" s="10"/>
      <c r="TWL43" s="15"/>
      <c r="TWM43" s="15"/>
      <c r="TWN43" s="14"/>
      <c r="TWO43" s="15"/>
      <c r="TWP43" s="15"/>
      <c r="TWQ43" s="15"/>
      <c r="TWR43" s="14"/>
      <c r="TWS43" s="15"/>
      <c r="TWT43" s="15"/>
      <c r="TWU43" s="15"/>
      <c r="TWV43" s="14"/>
      <c r="TWW43" s="15"/>
      <c r="TWX43" s="15"/>
      <c r="TWY43" s="15"/>
      <c r="TWZ43" s="14"/>
      <c r="TXA43" s="10"/>
      <c r="TXB43" s="15"/>
      <c r="TXC43" s="15"/>
      <c r="TXD43" s="14"/>
      <c r="TXE43" s="15"/>
      <c r="TXF43" s="15"/>
      <c r="TXG43" s="15"/>
      <c r="TXH43" s="14"/>
      <c r="TXI43" s="15"/>
      <c r="TXJ43" s="15"/>
      <c r="TXK43" s="15"/>
      <c r="TXL43" s="14"/>
      <c r="TXM43" s="15"/>
      <c r="TXN43" s="15"/>
      <c r="TXO43" s="15"/>
      <c r="TXP43" s="14"/>
      <c r="TXQ43" s="10"/>
      <c r="TXR43" s="15"/>
      <c r="TXS43" s="15"/>
      <c r="TXT43" s="14"/>
      <c r="TXU43" s="15"/>
      <c r="TXV43" s="15"/>
      <c r="TXW43" s="15"/>
      <c r="TXX43" s="14"/>
      <c r="TXY43" s="15"/>
      <c r="TXZ43" s="15"/>
      <c r="TYA43" s="15"/>
      <c r="TYB43" s="14"/>
      <c r="TYC43" s="15"/>
      <c r="TYD43" s="15"/>
      <c r="TYE43" s="15"/>
      <c r="TYF43" s="14"/>
      <c r="TYG43" s="10"/>
      <c r="TYH43" s="15"/>
      <c r="TYI43" s="15"/>
      <c r="TYJ43" s="14"/>
      <c r="TYK43" s="15"/>
      <c r="TYL43" s="15"/>
      <c r="TYM43" s="15"/>
      <c r="TYN43" s="14"/>
      <c r="TYO43" s="15"/>
      <c r="TYP43" s="15"/>
      <c r="TYQ43" s="15"/>
      <c r="TYR43" s="14"/>
      <c r="TYS43" s="15"/>
      <c r="TYT43" s="15"/>
      <c r="TYU43" s="15"/>
      <c r="TYV43" s="14"/>
      <c r="TYW43" s="10"/>
      <c r="TYX43" s="15"/>
      <c r="TYY43" s="15"/>
      <c r="TYZ43" s="14"/>
      <c r="TZA43" s="15"/>
      <c r="TZB43" s="15"/>
      <c r="TZC43" s="15"/>
      <c r="TZD43" s="14"/>
      <c r="TZE43" s="15"/>
      <c r="TZF43" s="15"/>
      <c r="TZG43" s="15"/>
      <c r="TZH43" s="14"/>
      <c r="TZI43" s="15"/>
      <c r="TZJ43" s="15"/>
      <c r="TZK43" s="15"/>
      <c r="TZL43" s="14"/>
      <c r="TZM43" s="10"/>
      <c r="TZN43" s="15"/>
      <c r="TZO43" s="15"/>
      <c r="TZP43" s="14"/>
      <c r="TZQ43" s="15"/>
      <c r="TZR43" s="15"/>
      <c r="TZS43" s="15"/>
      <c r="TZT43" s="14"/>
      <c r="TZU43" s="15"/>
      <c r="TZV43" s="15"/>
      <c r="TZW43" s="15"/>
      <c r="TZX43" s="14"/>
      <c r="TZY43" s="15"/>
      <c r="TZZ43" s="15"/>
      <c r="UAA43" s="15"/>
      <c r="UAB43" s="14"/>
      <c r="UAC43" s="10"/>
      <c r="UAD43" s="15"/>
      <c r="UAE43" s="15"/>
      <c r="UAF43" s="14"/>
      <c r="UAG43" s="15"/>
      <c r="UAH43" s="15"/>
      <c r="UAI43" s="15"/>
      <c r="UAJ43" s="14"/>
      <c r="UAK43" s="15"/>
      <c r="UAL43" s="15"/>
      <c r="UAM43" s="15"/>
      <c r="UAN43" s="14"/>
      <c r="UAO43" s="15"/>
      <c r="UAP43" s="15"/>
      <c r="UAQ43" s="15"/>
      <c r="UAR43" s="14"/>
      <c r="UAS43" s="10"/>
      <c r="UAT43" s="15"/>
      <c r="UAU43" s="15"/>
      <c r="UAV43" s="14"/>
      <c r="UAW43" s="15"/>
      <c r="UAX43" s="15"/>
      <c r="UAY43" s="15"/>
      <c r="UAZ43" s="14"/>
      <c r="UBA43" s="15"/>
      <c r="UBB43" s="15"/>
      <c r="UBC43" s="15"/>
      <c r="UBD43" s="14"/>
      <c r="UBE43" s="15"/>
      <c r="UBF43" s="15"/>
      <c r="UBG43" s="15"/>
      <c r="UBH43" s="14"/>
      <c r="UBI43" s="10"/>
      <c r="UBJ43" s="15"/>
      <c r="UBK43" s="15"/>
      <c r="UBL43" s="14"/>
      <c r="UBM43" s="15"/>
      <c r="UBN43" s="15"/>
      <c r="UBO43" s="15"/>
      <c r="UBP43" s="14"/>
      <c r="UBQ43" s="15"/>
      <c r="UBR43" s="15"/>
      <c r="UBS43" s="15"/>
      <c r="UBT43" s="14"/>
      <c r="UBU43" s="15"/>
      <c r="UBV43" s="15"/>
      <c r="UBW43" s="15"/>
      <c r="UBX43" s="14"/>
      <c r="UBY43" s="10"/>
      <c r="UBZ43" s="15"/>
      <c r="UCA43" s="15"/>
      <c r="UCB43" s="14"/>
      <c r="UCC43" s="15"/>
      <c r="UCD43" s="15"/>
      <c r="UCE43" s="15"/>
      <c r="UCF43" s="14"/>
      <c r="UCG43" s="15"/>
      <c r="UCH43" s="15"/>
      <c r="UCI43" s="15"/>
      <c r="UCJ43" s="14"/>
      <c r="UCK43" s="15"/>
      <c r="UCL43" s="15"/>
      <c r="UCM43" s="15"/>
      <c r="UCN43" s="14"/>
      <c r="UCO43" s="10"/>
      <c r="UCP43" s="15"/>
      <c r="UCQ43" s="15"/>
      <c r="UCR43" s="14"/>
      <c r="UCS43" s="15"/>
      <c r="UCT43" s="15"/>
      <c r="UCU43" s="15"/>
      <c r="UCV43" s="14"/>
      <c r="UCW43" s="15"/>
      <c r="UCX43" s="15"/>
      <c r="UCY43" s="15"/>
      <c r="UCZ43" s="14"/>
      <c r="UDA43" s="15"/>
      <c r="UDB43" s="15"/>
      <c r="UDC43" s="15"/>
      <c r="UDD43" s="14"/>
      <c r="UDE43" s="10"/>
      <c r="UDF43" s="15"/>
      <c r="UDG43" s="15"/>
      <c r="UDH43" s="14"/>
      <c r="UDI43" s="15"/>
      <c r="UDJ43" s="15"/>
      <c r="UDK43" s="15"/>
      <c r="UDL43" s="14"/>
      <c r="UDM43" s="15"/>
      <c r="UDN43" s="15"/>
      <c r="UDO43" s="15"/>
      <c r="UDP43" s="14"/>
      <c r="UDQ43" s="15"/>
      <c r="UDR43" s="15"/>
      <c r="UDS43" s="15"/>
      <c r="UDT43" s="14"/>
      <c r="UDU43" s="10"/>
      <c r="UDV43" s="15"/>
      <c r="UDW43" s="15"/>
      <c r="UDX43" s="14"/>
      <c r="UDY43" s="15"/>
      <c r="UDZ43" s="15"/>
      <c r="UEA43" s="15"/>
      <c r="UEB43" s="14"/>
      <c r="UEC43" s="15"/>
      <c r="UED43" s="15"/>
      <c r="UEE43" s="15"/>
      <c r="UEF43" s="14"/>
      <c r="UEG43" s="15"/>
      <c r="UEH43" s="15"/>
      <c r="UEI43" s="15"/>
      <c r="UEJ43" s="14"/>
      <c r="UEK43" s="10"/>
      <c r="UEL43" s="15"/>
      <c r="UEM43" s="15"/>
      <c r="UEN43" s="14"/>
      <c r="UEO43" s="15"/>
      <c r="UEP43" s="15"/>
      <c r="UEQ43" s="15"/>
      <c r="UER43" s="14"/>
      <c r="UES43" s="15"/>
      <c r="UET43" s="15"/>
      <c r="UEU43" s="15"/>
      <c r="UEV43" s="14"/>
      <c r="UEW43" s="15"/>
      <c r="UEX43" s="15"/>
      <c r="UEY43" s="15"/>
      <c r="UEZ43" s="14"/>
      <c r="UFA43" s="10"/>
      <c r="UFB43" s="15"/>
      <c r="UFC43" s="15"/>
      <c r="UFD43" s="14"/>
      <c r="UFE43" s="15"/>
      <c r="UFF43" s="15"/>
      <c r="UFG43" s="15"/>
      <c r="UFH43" s="14"/>
      <c r="UFI43" s="15"/>
      <c r="UFJ43" s="15"/>
      <c r="UFK43" s="15"/>
      <c r="UFL43" s="14"/>
      <c r="UFM43" s="15"/>
      <c r="UFN43" s="15"/>
      <c r="UFO43" s="15"/>
      <c r="UFP43" s="14"/>
      <c r="UFQ43" s="10"/>
      <c r="UFR43" s="15"/>
      <c r="UFS43" s="15"/>
      <c r="UFT43" s="14"/>
      <c r="UFU43" s="15"/>
      <c r="UFV43" s="15"/>
      <c r="UFW43" s="15"/>
      <c r="UFX43" s="14"/>
      <c r="UFY43" s="15"/>
      <c r="UFZ43" s="15"/>
      <c r="UGA43" s="15"/>
      <c r="UGB43" s="14"/>
      <c r="UGC43" s="15"/>
      <c r="UGD43" s="15"/>
      <c r="UGE43" s="15"/>
      <c r="UGF43" s="14"/>
      <c r="UGG43" s="10"/>
      <c r="UGH43" s="15"/>
      <c r="UGI43" s="15"/>
      <c r="UGJ43" s="14"/>
      <c r="UGK43" s="15"/>
      <c r="UGL43" s="15"/>
      <c r="UGM43" s="15"/>
      <c r="UGN43" s="14"/>
      <c r="UGO43" s="15"/>
      <c r="UGP43" s="15"/>
      <c r="UGQ43" s="15"/>
      <c r="UGR43" s="14"/>
      <c r="UGS43" s="15"/>
      <c r="UGT43" s="15"/>
      <c r="UGU43" s="15"/>
      <c r="UGV43" s="14"/>
      <c r="UGW43" s="10"/>
      <c r="UGX43" s="15"/>
      <c r="UGY43" s="15"/>
      <c r="UGZ43" s="14"/>
      <c r="UHA43" s="15"/>
      <c r="UHB43" s="15"/>
      <c r="UHC43" s="15"/>
      <c r="UHD43" s="14"/>
      <c r="UHE43" s="15"/>
      <c r="UHF43" s="15"/>
      <c r="UHG43" s="15"/>
      <c r="UHH43" s="14"/>
      <c r="UHI43" s="15"/>
      <c r="UHJ43" s="15"/>
      <c r="UHK43" s="15"/>
      <c r="UHL43" s="14"/>
      <c r="UHM43" s="10"/>
      <c r="UHN43" s="15"/>
      <c r="UHO43" s="15"/>
      <c r="UHP43" s="14"/>
      <c r="UHQ43" s="15"/>
      <c r="UHR43" s="15"/>
      <c r="UHS43" s="15"/>
      <c r="UHT43" s="14"/>
      <c r="UHU43" s="15"/>
      <c r="UHV43" s="15"/>
      <c r="UHW43" s="15"/>
      <c r="UHX43" s="14"/>
      <c r="UHY43" s="15"/>
      <c r="UHZ43" s="15"/>
      <c r="UIA43" s="15"/>
      <c r="UIB43" s="14"/>
      <c r="UIC43" s="10"/>
      <c r="UID43" s="15"/>
      <c r="UIE43" s="15"/>
      <c r="UIF43" s="14"/>
      <c r="UIG43" s="15"/>
      <c r="UIH43" s="15"/>
      <c r="UII43" s="15"/>
      <c r="UIJ43" s="14"/>
      <c r="UIK43" s="15"/>
      <c r="UIL43" s="15"/>
      <c r="UIM43" s="15"/>
      <c r="UIN43" s="14"/>
      <c r="UIO43" s="15"/>
      <c r="UIP43" s="15"/>
      <c r="UIQ43" s="15"/>
      <c r="UIR43" s="14"/>
      <c r="UIS43" s="10"/>
      <c r="UIT43" s="15"/>
      <c r="UIU43" s="15"/>
      <c r="UIV43" s="14"/>
      <c r="UIW43" s="15"/>
      <c r="UIX43" s="15"/>
      <c r="UIY43" s="15"/>
      <c r="UIZ43" s="14"/>
      <c r="UJA43" s="15"/>
      <c r="UJB43" s="15"/>
      <c r="UJC43" s="15"/>
      <c r="UJD43" s="14"/>
      <c r="UJE43" s="15"/>
      <c r="UJF43" s="15"/>
      <c r="UJG43" s="15"/>
      <c r="UJH43" s="14"/>
      <c r="UJI43" s="10"/>
      <c r="UJJ43" s="15"/>
      <c r="UJK43" s="15"/>
      <c r="UJL43" s="14"/>
      <c r="UJM43" s="15"/>
      <c r="UJN43" s="15"/>
      <c r="UJO43" s="15"/>
      <c r="UJP43" s="14"/>
      <c r="UJQ43" s="15"/>
      <c r="UJR43" s="15"/>
      <c r="UJS43" s="15"/>
      <c r="UJT43" s="14"/>
      <c r="UJU43" s="15"/>
      <c r="UJV43" s="15"/>
      <c r="UJW43" s="15"/>
      <c r="UJX43" s="14"/>
      <c r="UJY43" s="10"/>
      <c r="UJZ43" s="15"/>
      <c r="UKA43" s="15"/>
      <c r="UKB43" s="14"/>
      <c r="UKC43" s="15"/>
      <c r="UKD43" s="15"/>
      <c r="UKE43" s="15"/>
      <c r="UKF43" s="14"/>
      <c r="UKG43" s="15"/>
      <c r="UKH43" s="15"/>
      <c r="UKI43" s="15"/>
      <c r="UKJ43" s="14"/>
      <c r="UKK43" s="15"/>
      <c r="UKL43" s="15"/>
      <c r="UKM43" s="15"/>
      <c r="UKN43" s="14"/>
      <c r="UKO43" s="10"/>
      <c r="UKP43" s="15"/>
      <c r="UKQ43" s="15"/>
      <c r="UKR43" s="14"/>
      <c r="UKS43" s="15"/>
      <c r="UKT43" s="15"/>
      <c r="UKU43" s="15"/>
      <c r="UKV43" s="14"/>
      <c r="UKW43" s="15"/>
      <c r="UKX43" s="15"/>
      <c r="UKY43" s="15"/>
      <c r="UKZ43" s="14"/>
      <c r="ULA43" s="15"/>
      <c r="ULB43" s="15"/>
      <c r="ULC43" s="15"/>
      <c r="ULD43" s="14"/>
      <c r="ULE43" s="10"/>
      <c r="ULF43" s="15"/>
      <c r="ULG43" s="15"/>
      <c r="ULH43" s="14"/>
      <c r="ULI43" s="15"/>
      <c r="ULJ43" s="15"/>
      <c r="ULK43" s="15"/>
      <c r="ULL43" s="14"/>
      <c r="ULM43" s="15"/>
      <c r="ULN43" s="15"/>
      <c r="ULO43" s="15"/>
      <c r="ULP43" s="14"/>
      <c r="ULQ43" s="15"/>
      <c r="ULR43" s="15"/>
      <c r="ULS43" s="15"/>
      <c r="ULT43" s="14"/>
      <c r="ULU43" s="10"/>
      <c r="ULV43" s="15"/>
      <c r="ULW43" s="15"/>
      <c r="ULX43" s="14"/>
      <c r="ULY43" s="15"/>
      <c r="ULZ43" s="15"/>
      <c r="UMA43" s="15"/>
      <c r="UMB43" s="14"/>
      <c r="UMC43" s="15"/>
      <c r="UMD43" s="15"/>
      <c r="UME43" s="15"/>
      <c r="UMF43" s="14"/>
      <c r="UMG43" s="15"/>
      <c r="UMH43" s="15"/>
      <c r="UMI43" s="15"/>
      <c r="UMJ43" s="14"/>
      <c r="UMK43" s="10"/>
      <c r="UML43" s="15"/>
      <c r="UMM43" s="15"/>
      <c r="UMN43" s="14"/>
      <c r="UMO43" s="15"/>
      <c r="UMP43" s="15"/>
      <c r="UMQ43" s="15"/>
      <c r="UMR43" s="14"/>
      <c r="UMS43" s="15"/>
      <c r="UMT43" s="15"/>
      <c r="UMU43" s="15"/>
      <c r="UMV43" s="14"/>
      <c r="UMW43" s="15"/>
      <c r="UMX43" s="15"/>
      <c r="UMY43" s="15"/>
      <c r="UMZ43" s="14"/>
      <c r="UNA43" s="10"/>
      <c r="UNB43" s="15"/>
      <c r="UNC43" s="15"/>
      <c r="UND43" s="14"/>
      <c r="UNE43" s="15"/>
      <c r="UNF43" s="15"/>
      <c r="UNG43" s="15"/>
      <c r="UNH43" s="14"/>
      <c r="UNI43" s="15"/>
      <c r="UNJ43" s="15"/>
      <c r="UNK43" s="15"/>
      <c r="UNL43" s="14"/>
      <c r="UNM43" s="15"/>
      <c r="UNN43" s="15"/>
      <c r="UNO43" s="15"/>
      <c r="UNP43" s="14"/>
      <c r="UNQ43" s="10"/>
      <c r="UNR43" s="15"/>
      <c r="UNS43" s="15"/>
      <c r="UNT43" s="14"/>
      <c r="UNU43" s="15"/>
      <c r="UNV43" s="15"/>
      <c r="UNW43" s="15"/>
      <c r="UNX43" s="14"/>
      <c r="UNY43" s="15"/>
      <c r="UNZ43" s="15"/>
      <c r="UOA43" s="15"/>
      <c r="UOB43" s="14"/>
      <c r="UOC43" s="15"/>
      <c r="UOD43" s="15"/>
      <c r="UOE43" s="15"/>
      <c r="UOF43" s="14"/>
      <c r="UOG43" s="10"/>
      <c r="UOH43" s="15"/>
      <c r="UOI43" s="15"/>
      <c r="UOJ43" s="14"/>
      <c r="UOK43" s="15"/>
      <c r="UOL43" s="15"/>
      <c r="UOM43" s="15"/>
      <c r="UON43" s="14"/>
      <c r="UOO43" s="15"/>
      <c r="UOP43" s="15"/>
      <c r="UOQ43" s="15"/>
      <c r="UOR43" s="14"/>
      <c r="UOS43" s="15"/>
      <c r="UOT43" s="15"/>
      <c r="UOU43" s="15"/>
      <c r="UOV43" s="14"/>
      <c r="UOW43" s="10"/>
      <c r="UOX43" s="15"/>
      <c r="UOY43" s="15"/>
      <c r="UOZ43" s="14"/>
      <c r="UPA43" s="15"/>
      <c r="UPB43" s="15"/>
      <c r="UPC43" s="15"/>
      <c r="UPD43" s="14"/>
      <c r="UPE43" s="15"/>
      <c r="UPF43" s="15"/>
      <c r="UPG43" s="15"/>
      <c r="UPH43" s="14"/>
      <c r="UPI43" s="15"/>
      <c r="UPJ43" s="15"/>
      <c r="UPK43" s="15"/>
      <c r="UPL43" s="14"/>
      <c r="UPM43" s="10"/>
      <c r="UPN43" s="15"/>
      <c r="UPO43" s="15"/>
      <c r="UPP43" s="14"/>
      <c r="UPQ43" s="15"/>
      <c r="UPR43" s="15"/>
      <c r="UPS43" s="15"/>
      <c r="UPT43" s="14"/>
      <c r="UPU43" s="15"/>
      <c r="UPV43" s="15"/>
      <c r="UPW43" s="15"/>
      <c r="UPX43" s="14"/>
      <c r="UPY43" s="15"/>
      <c r="UPZ43" s="15"/>
      <c r="UQA43" s="15"/>
      <c r="UQB43" s="14"/>
      <c r="UQC43" s="10"/>
      <c r="UQD43" s="15"/>
      <c r="UQE43" s="15"/>
      <c r="UQF43" s="14"/>
      <c r="UQG43" s="15"/>
      <c r="UQH43" s="15"/>
      <c r="UQI43" s="15"/>
      <c r="UQJ43" s="14"/>
      <c r="UQK43" s="15"/>
      <c r="UQL43" s="15"/>
      <c r="UQM43" s="15"/>
      <c r="UQN43" s="14"/>
      <c r="UQO43" s="15"/>
      <c r="UQP43" s="15"/>
      <c r="UQQ43" s="15"/>
      <c r="UQR43" s="14"/>
      <c r="UQS43" s="10"/>
      <c r="UQT43" s="15"/>
      <c r="UQU43" s="15"/>
      <c r="UQV43" s="14"/>
      <c r="UQW43" s="15"/>
      <c r="UQX43" s="15"/>
      <c r="UQY43" s="15"/>
      <c r="UQZ43" s="14"/>
      <c r="URA43" s="15"/>
      <c r="URB43" s="15"/>
      <c r="URC43" s="15"/>
      <c r="URD43" s="14"/>
      <c r="URE43" s="15"/>
      <c r="URF43" s="15"/>
      <c r="URG43" s="15"/>
      <c r="URH43" s="14"/>
      <c r="URI43" s="10"/>
      <c r="URJ43" s="15"/>
      <c r="URK43" s="15"/>
      <c r="URL43" s="14"/>
      <c r="URM43" s="15"/>
      <c r="URN43" s="15"/>
      <c r="URO43" s="15"/>
      <c r="URP43" s="14"/>
      <c r="URQ43" s="15"/>
      <c r="URR43" s="15"/>
      <c r="URS43" s="15"/>
      <c r="URT43" s="14"/>
      <c r="URU43" s="15"/>
      <c r="URV43" s="15"/>
      <c r="URW43" s="15"/>
      <c r="URX43" s="14"/>
      <c r="URY43" s="10"/>
      <c r="URZ43" s="15"/>
      <c r="USA43" s="15"/>
      <c r="USB43" s="14"/>
      <c r="USC43" s="15"/>
      <c r="USD43" s="15"/>
      <c r="USE43" s="15"/>
      <c r="USF43" s="14"/>
      <c r="USG43" s="15"/>
      <c r="USH43" s="15"/>
      <c r="USI43" s="15"/>
      <c r="USJ43" s="14"/>
      <c r="USK43" s="15"/>
      <c r="USL43" s="15"/>
      <c r="USM43" s="15"/>
      <c r="USN43" s="14"/>
      <c r="USO43" s="10"/>
      <c r="USP43" s="15"/>
      <c r="USQ43" s="15"/>
      <c r="USR43" s="14"/>
      <c r="USS43" s="15"/>
      <c r="UST43" s="15"/>
      <c r="USU43" s="15"/>
      <c r="USV43" s="14"/>
      <c r="USW43" s="15"/>
      <c r="USX43" s="15"/>
      <c r="USY43" s="15"/>
      <c r="USZ43" s="14"/>
      <c r="UTA43" s="15"/>
      <c r="UTB43" s="15"/>
      <c r="UTC43" s="15"/>
      <c r="UTD43" s="14"/>
      <c r="UTE43" s="10"/>
      <c r="UTF43" s="15"/>
      <c r="UTG43" s="15"/>
      <c r="UTH43" s="14"/>
      <c r="UTI43" s="15"/>
      <c r="UTJ43" s="15"/>
      <c r="UTK43" s="15"/>
      <c r="UTL43" s="14"/>
      <c r="UTM43" s="15"/>
      <c r="UTN43" s="15"/>
      <c r="UTO43" s="15"/>
      <c r="UTP43" s="14"/>
      <c r="UTQ43" s="15"/>
      <c r="UTR43" s="15"/>
      <c r="UTS43" s="15"/>
      <c r="UTT43" s="14"/>
      <c r="UTU43" s="10"/>
      <c r="UTV43" s="15"/>
      <c r="UTW43" s="15"/>
      <c r="UTX43" s="14"/>
      <c r="UTY43" s="15"/>
      <c r="UTZ43" s="15"/>
      <c r="UUA43" s="15"/>
      <c r="UUB43" s="14"/>
      <c r="UUC43" s="15"/>
      <c r="UUD43" s="15"/>
      <c r="UUE43" s="15"/>
      <c r="UUF43" s="14"/>
      <c r="UUG43" s="15"/>
      <c r="UUH43" s="15"/>
      <c r="UUI43" s="15"/>
      <c r="UUJ43" s="14"/>
      <c r="UUK43" s="10"/>
      <c r="UUL43" s="15"/>
      <c r="UUM43" s="15"/>
      <c r="UUN43" s="14"/>
      <c r="UUO43" s="15"/>
      <c r="UUP43" s="15"/>
      <c r="UUQ43" s="15"/>
      <c r="UUR43" s="14"/>
      <c r="UUS43" s="15"/>
      <c r="UUT43" s="15"/>
      <c r="UUU43" s="15"/>
      <c r="UUV43" s="14"/>
      <c r="UUW43" s="15"/>
      <c r="UUX43" s="15"/>
      <c r="UUY43" s="15"/>
      <c r="UUZ43" s="14"/>
      <c r="UVA43" s="10"/>
      <c r="UVB43" s="15"/>
      <c r="UVC43" s="15"/>
      <c r="UVD43" s="14"/>
      <c r="UVE43" s="15"/>
      <c r="UVF43" s="15"/>
      <c r="UVG43" s="15"/>
      <c r="UVH43" s="14"/>
      <c r="UVI43" s="15"/>
      <c r="UVJ43" s="15"/>
      <c r="UVK43" s="15"/>
      <c r="UVL43" s="14"/>
      <c r="UVM43" s="15"/>
      <c r="UVN43" s="15"/>
      <c r="UVO43" s="15"/>
      <c r="UVP43" s="14"/>
      <c r="UVQ43" s="10"/>
      <c r="UVR43" s="15"/>
      <c r="UVS43" s="15"/>
      <c r="UVT43" s="14"/>
      <c r="UVU43" s="15"/>
      <c r="UVV43" s="15"/>
      <c r="UVW43" s="15"/>
      <c r="UVX43" s="14"/>
      <c r="UVY43" s="15"/>
      <c r="UVZ43" s="15"/>
      <c r="UWA43" s="15"/>
      <c r="UWB43" s="14"/>
      <c r="UWC43" s="15"/>
      <c r="UWD43" s="15"/>
      <c r="UWE43" s="15"/>
      <c r="UWF43" s="14"/>
      <c r="UWG43" s="10"/>
      <c r="UWH43" s="15"/>
      <c r="UWI43" s="15"/>
      <c r="UWJ43" s="14"/>
      <c r="UWK43" s="15"/>
      <c r="UWL43" s="15"/>
      <c r="UWM43" s="15"/>
      <c r="UWN43" s="14"/>
      <c r="UWO43" s="15"/>
      <c r="UWP43" s="15"/>
      <c r="UWQ43" s="15"/>
      <c r="UWR43" s="14"/>
      <c r="UWS43" s="15"/>
      <c r="UWT43" s="15"/>
      <c r="UWU43" s="15"/>
      <c r="UWV43" s="14"/>
      <c r="UWW43" s="10"/>
      <c r="UWX43" s="15"/>
      <c r="UWY43" s="15"/>
      <c r="UWZ43" s="14"/>
      <c r="UXA43" s="15"/>
      <c r="UXB43" s="15"/>
      <c r="UXC43" s="15"/>
      <c r="UXD43" s="14"/>
      <c r="UXE43" s="15"/>
      <c r="UXF43" s="15"/>
      <c r="UXG43" s="15"/>
      <c r="UXH43" s="14"/>
      <c r="UXI43" s="15"/>
      <c r="UXJ43" s="15"/>
      <c r="UXK43" s="15"/>
      <c r="UXL43" s="14"/>
      <c r="UXM43" s="10"/>
      <c r="UXN43" s="15"/>
      <c r="UXO43" s="15"/>
      <c r="UXP43" s="14"/>
      <c r="UXQ43" s="15"/>
      <c r="UXR43" s="15"/>
      <c r="UXS43" s="15"/>
      <c r="UXT43" s="14"/>
      <c r="UXU43" s="15"/>
      <c r="UXV43" s="15"/>
      <c r="UXW43" s="15"/>
      <c r="UXX43" s="14"/>
      <c r="UXY43" s="15"/>
      <c r="UXZ43" s="15"/>
      <c r="UYA43" s="15"/>
      <c r="UYB43" s="14"/>
      <c r="UYC43" s="10"/>
      <c r="UYD43" s="15"/>
      <c r="UYE43" s="15"/>
      <c r="UYF43" s="14"/>
      <c r="UYG43" s="15"/>
      <c r="UYH43" s="15"/>
      <c r="UYI43" s="15"/>
      <c r="UYJ43" s="14"/>
      <c r="UYK43" s="15"/>
      <c r="UYL43" s="15"/>
      <c r="UYM43" s="15"/>
      <c r="UYN43" s="14"/>
      <c r="UYO43" s="15"/>
      <c r="UYP43" s="15"/>
      <c r="UYQ43" s="15"/>
      <c r="UYR43" s="14"/>
      <c r="UYS43" s="10"/>
      <c r="UYT43" s="15"/>
      <c r="UYU43" s="15"/>
      <c r="UYV43" s="14"/>
      <c r="UYW43" s="15"/>
      <c r="UYX43" s="15"/>
      <c r="UYY43" s="15"/>
      <c r="UYZ43" s="14"/>
      <c r="UZA43" s="15"/>
      <c r="UZB43" s="15"/>
      <c r="UZC43" s="15"/>
      <c r="UZD43" s="14"/>
      <c r="UZE43" s="15"/>
      <c r="UZF43" s="15"/>
      <c r="UZG43" s="15"/>
      <c r="UZH43" s="14"/>
      <c r="UZI43" s="10"/>
      <c r="UZJ43" s="15"/>
      <c r="UZK43" s="15"/>
      <c r="UZL43" s="14"/>
      <c r="UZM43" s="15"/>
      <c r="UZN43" s="15"/>
      <c r="UZO43" s="15"/>
      <c r="UZP43" s="14"/>
      <c r="UZQ43" s="15"/>
      <c r="UZR43" s="15"/>
      <c r="UZS43" s="15"/>
      <c r="UZT43" s="14"/>
      <c r="UZU43" s="15"/>
      <c r="UZV43" s="15"/>
      <c r="UZW43" s="15"/>
      <c r="UZX43" s="14"/>
      <c r="UZY43" s="10"/>
      <c r="UZZ43" s="15"/>
      <c r="VAA43" s="15"/>
      <c r="VAB43" s="14"/>
      <c r="VAC43" s="15"/>
      <c r="VAD43" s="15"/>
      <c r="VAE43" s="15"/>
      <c r="VAF43" s="14"/>
      <c r="VAG43" s="15"/>
      <c r="VAH43" s="15"/>
      <c r="VAI43" s="15"/>
      <c r="VAJ43" s="14"/>
      <c r="VAK43" s="15"/>
      <c r="VAL43" s="15"/>
      <c r="VAM43" s="15"/>
      <c r="VAN43" s="14"/>
      <c r="VAO43" s="10"/>
      <c r="VAP43" s="15"/>
      <c r="VAQ43" s="15"/>
      <c r="VAR43" s="14"/>
      <c r="VAS43" s="15"/>
      <c r="VAT43" s="15"/>
      <c r="VAU43" s="15"/>
      <c r="VAV43" s="14"/>
      <c r="VAW43" s="15"/>
      <c r="VAX43" s="15"/>
      <c r="VAY43" s="15"/>
      <c r="VAZ43" s="14"/>
      <c r="VBA43" s="15"/>
      <c r="VBB43" s="15"/>
      <c r="VBC43" s="15"/>
      <c r="VBD43" s="14"/>
      <c r="VBE43" s="10"/>
      <c r="VBF43" s="15"/>
      <c r="VBG43" s="15"/>
      <c r="VBH43" s="14"/>
      <c r="VBI43" s="15"/>
      <c r="VBJ43" s="15"/>
      <c r="VBK43" s="15"/>
      <c r="VBL43" s="14"/>
      <c r="VBM43" s="15"/>
      <c r="VBN43" s="15"/>
      <c r="VBO43" s="15"/>
      <c r="VBP43" s="14"/>
      <c r="VBQ43" s="15"/>
      <c r="VBR43" s="15"/>
      <c r="VBS43" s="15"/>
      <c r="VBT43" s="14"/>
      <c r="VBU43" s="10"/>
      <c r="VBV43" s="15"/>
      <c r="VBW43" s="15"/>
      <c r="VBX43" s="14"/>
      <c r="VBY43" s="15"/>
      <c r="VBZ43" s="15"/>
      <c r="VCA43" s="15"/>
      <c r="VCB43" s="14"/>
      <c r="VCC43" s="15"/>
      <c r="VCD43" s="15"/>
      <c r="VCE43" s="15"/>
      <c r="VCF43" s="14"/>
      <c r="VCG43" s="15"/>
      <c r="VCH43" s="15"/>
      <c r="VCI43" s="15"/>
      <c r="VCJ43" s="14"/>
      <c r="VCK43" s="10"/>
      <c r="VCL43" s="15"/>
      <c r="VCM43" s="15"/>
      <c r="VCN43" s="14"/>
      <c r="VCO43" s="15"/>
      <c r="VCP43" s="15"/>
      <c r="VCQ43" s="15"/>
      <c r="VCR43" s="14"/>
      <c r="VCS43" s="15"/>
      <c r="VCT43" s="15"/>
      <c r="VCU43" s="15"/>
      <c r="VCV43" s="14"/>
      <c r="VCW43" s="15"/>
      <c r="VCX43" s="15"/>
      <c r="VCY43" s="15"/>
      <c r="VCZ43" s="14"/>
      <c r="VDA43" s="10"/>
      <c r="VDB43" s="15"/>
      <c r="VDC43" s="15"/>
      <c r="VDD43" s="14"/>
      <c r="VDE43" s="15"/>
      <c r="VDF43" s="15"/>
      <c r="VDG43" s="15"/>
      <c r="VDH43" s="14"/>
      <c r="VDI43" s="15"/>
      <c r="VDJ43" s="15"/>
      <c r="VDK43" s="15"/>
      <c r="VDL43" s="14"/>
      <c r="VDM43" s="15"/>
      <c r="VDN43" s="15"/>
      <c r="VDO43" s="15"/>
      <c r="VDP43" s="14"/>
      <c r="VDQ43" s="10"/>
      <c r="VDR43" s="15"/>
      <c r="VDS43" s="15"/>
      <c r="VDT43" s="14"/>
      <c r="VDU43" s="15"/>
      <c r="VDV43" s="15"/>
      <c r="VDW43" s="15"/>
      <c r="VDX43" s="14"/>
      <c r="VDY43" s="15"/>
      <c r="VDZ43" s="15"/>
      <c r="VEA43" s="15"/>
      <c r="VEB43" s="14"/>
      <c r="VEC43" s="15"/>
      <c r="VED43" s="15"/>
      <c r="VEE43" s="15"/>
      <c r="VEF43" s="14"/>
      <c r="VEG43" s="10"/>
      <c r="VEH43" s="15"/>
      <c r="VEI43" s="15"/>
      <c r="VEJ43" s="14"/>
      <c r="VEK43" s="15"/>
      <c r="VEL43" s="15"/>
      <c r="VEM43" s="15"/>
      <c r="VEN43" s="14"/>
      <c r="VEO43" s="15"/>
      <c r="VEP43" s="15"/>
      <c r="VEQ43" s="15"/>
      <c r="VER43" s="14"/>
      <c r="VES43" s="15"/>
      <c r="VET43" s="15"/>
      <c r="VEU43" s="15"/>
      <c r="VEV43" s="14"/>
      <c r="VEW43" s="10"/>
      <c r="VEX43" s="15"/>
      <c r="VEY43" s="15"/>
      <c r="VEZ43" s="14"/>
      <c r="VFA43" s="15"/>
      <c r="VFB43" s="15"/>
      <c r="VFC43" s="15"/>
      <c r="VFD43" s="14"/>
      <c r="VFE43" s="15"/>
      <c r="VFF43" s="15"/>
      <c r="VFG43" s="15"/>
      <c r="VFH43" s="14"/>
      <c r="VFI43" s="15"/>
      <c r="VFJ43" s="15"/>
      <c r="VFK43" s="15"/>
      <c r="VFL43" s="14"/>
      <c r="VFM43" s="10"/>
      <c r="VFN43" s="15"/>
      <c r="VFO43" s="15"/>
      <c r="VFP43" s="14"/>
      <c r="VFQ43" s="15"/>
      <c r="VFR43" s="15"/>
      <c r="VFS43" s="15"/>
      <c r="VFT43" s="14"/>
      <c r="VFU43" s="15"/>
      <c r="VFV43" s="15"/>
      <c r="VFW43" s="15"/>
      <c r="VFX43" s="14"/>
      <c r="VFY43" s="15"/>
      <c r="VFZ43" s="15"/>
      <c r="VGA43" s="15"/>
      <c r="VGB43" s="14"/>
      <c r="VGC43" s="10"/>
      <c r="VGD43" s="15"/>
      <c r="VGE43" s="15"/>
      <c r="VGF43" s="14"/>
      <c r="VGG43" s="15"/>
      <c r="VGH43" s="15"/>
      <c r="VGI43" s="15"/>
      <c r="VGJ43" s="14"/>
      <c r="VGK43" s="15"/>
      <c r="VGL43" s="15"/>
      <c r="VGM43" s="15"/>
      <c r="VGN43" s="14"/>
      <c r="VGO43" s="15"/>
      <c r="VGP43" s="15"/>
      <c r="VGQ43" s="15"/>
      <c r="VGR43" s="14"/>
      <c r="VGS43" s="10"/>
      <c r="VGT43" s="15"/>
      <c r="VGU43" s="15"/>
      <c r="VGV43" s="14"/>
      <c r="VGW43" s="15"/>
      <c r="VGX43" s="15"/>
      <c r="VGY43" s="15"/>
      <c r="VGZ43" s="14"/>
      <c r="VHA43" s="15"/>
      <c r="VHB43" s="15"/>
      <c r="VHC43" s="15"/>
      <c r="VHD43" s="14"/>
      <c r="VHE43" s="15"/>
      <c r="VHF43" s="15"/>
      <c r="VHG43" s="15"/>
      <c r="VHH43" s="14"/>
      <c r="VHI43" s="10"/>
      <c r="VHJ43" s="15"/>
      <c r="VHK43" s="15"/>
      <c r="VHL43" s="14"/>
      <c r="VHM43" s="15"/>
      <c r="VHN43" s="15"/>
      <c r="VHO43" s="15"/>
      <c r="VHP43" s="14"/>
      <c r="VHQ43" s="15"/>
      <c r="VHR43" s="15"/>
      <c r="VHS43" s="15"/>
      <c r="VHT43" s="14"/>
      <c r="VHU43" s="15"/>
      <c r="VHV43" s="15"/>
      <c r="VHW43" s="15"/>
      <c r="VHX43" s="14"/>
      <c r="VHY43" s="10"/>
      <c r="VHZ43" s="15"/>
      <c r="VIA43" s="15"/>
      <c r="VIB43" s="14"/>
      <c r="VIC43" s="15"/>
      <c r="VID43" s="15"/>
      <c r="VIE43" s="15"/>
      <c r="VIF43" s="14"/>
      <c r="VIG43" s="15"/>
      <c r="VIH43" s="15"/>
      <c r="VII43" s="15"/>
      <c r="VIJ43" s="14"/>
      <c r="VIK43" s="15"/>
      <c r="VIL43" s="15"/>
      <c r="VIM43" s="15"/>
      <c r="VIN43" s="14"/>
      <c r="VIO43" s="10"/>
      <c r="VIP43" s="15"/>
      <c r="VIQ43" s="15"/>
      <c r="VIR43" s="14"/>
      <c r="VIS43" s="15"/>
      <c r="VIT43" s="15"/>
      <c r="VIU43" s="15"/>
      <c r="VIV43" s="14"/>
      <c r="VIW43" s="15"/>
      <c r="VIX43" s="15"/>
      <c r="VIY43" s="15"/>
      <c r="VIZ43" s="14"/>
      <c r="VJA43" s="15"/>
      <c r="VJB43" s="15"/>
      <c r="VJC43" s="15"/>
      <c r="VJD43" s="14"/>
      <c r="VJE43" s="10"/>
      <c r="VJF43" s="15"/>
      <c r="VJG43" s="15"/>
      <c r="VJH43" s="14"/>
      <c r="VJI43" s="15"/>
      <c r="VJJ43" s="15"/>
      <c r="VJK43" s="15"/>
      <c r="VJL43" s="14"/>
      <c r="VJM43" s="15"/>
      <c r="VJN43" s="15"/>
      <c r="VJO43" s="15"/>
      <c r="VJP43" s="14"/>
      <c r="VJQ43" s="15"/>
      <c r="VJR43" s="15"/>
      <c r="VJS43" s="15"/>
      <c r="VJT43" s="14"/>
      <c r="VJU43" s="10"/>
      <c r="VJV43" s="15"/>
      <c r="VJW43" s="15"/>
      <c r="VJX43" s="14"/>
      <c r="VJY43" s="15"/>
      <c r="VJZ43" s="15"/>
      <c r="VKA43" s="15"/>
      <c r="VKB43" s="14"/>
      <c r="VKC43" s="15"/>
      <c r="VKD43" s="15"/>
      <c r="VKE43" s="15"/>
      <c r="VKF43" s="14"/>
      <c r="VKG43" s="15"/>
      <c r="VKH43" s="15"/>
      <c r="VKI43" s="15"/>
      <c r="VKJ43" s="14"/>
      <c r="VKK43" s="10"/>
      <c r="VKL43" s="15"/>
      <c r="VKM43" s="15"/>
      <c r="VKN43" s="14"/>
      <c r="VKO43" s="15"/>
      <c r="VKP43" s="15"/>
      <c r="VKQ43" s="15"/>
      <c r="VKR43" s="14"/>
      <c r="VKS43" s="15"/>
      <c r="VKT43" s="15"/>
      <c r="VKU43" s="15"/>
      <c r="VKV43" s="14"/>
      <c r="VKW43" s="15"/>
      <c r="VKX43" s="15"/>
      <c r="VKY43" s="15"/>
      <c r="VKZ43" s="14"/>
      <c r="VLA43" s="10"/>
      <c r="VLB43" s="15"/>
      <c r="VLC43" s="15"/>
      <c r="VLD43" s="14"/>
      <c r="VLE43" s="15"/>
      <c r="VLF43" s="15"/>
      <c r="VLG43" s="15"/>
      <c r="VLH43" s="14"/>
      <c r="VLI43" s="15"/>
      <c r="VLJ43" s="15"/>
      <c r="VLK43" s="15"/>
      <c r="VLL43" s="14"/>
      <c r="VLM43" s="15"/>
      <c r="VLN43" s="15"/>
      <c r="VLO43" s="15"/>
      <c r="VLP43" s="14"/>
      <c r="VLQ43" s="10"/>
      <c r="VLR43" s="15"/>
      <c r="VLS43" s="15"/>
      <c r="VLT43" s="14"/>
      <c r="VLU43" s="15"/>
      <c r="VLV43" s="15"/>
      <c r="VLW43" s="15"/>
      <c r="VLX43" s="14"/>
      <c r="VLY43" s="15"/>
      <c r="VLZ43" s="15"/>
      <c r="VMA43" s="15"/>
      <c r="VMB43" s="14"/>
      <c r="VMC43" s="15"/>
      <c r="VMD43" s="15"/>
      <c r="VME43" s="15"/>
      <c r="VMF43" s="14"/>
      <c r="VMG43" s="10"/>
      <c r="VMH43" s="15"/>
      <c r="VMI43" s="15"/>
      <c r="VMJ43" s="14"/>
      <c r="VMK43" s="15"/>
      <c r="VML43" s="15"/>
      <c r="VMM43" s="15"/>
      <c r="VMN43" s="14"/>
      <c r="VMO43" s="15"/>
      <c r="VMP43" s="15"/>
      <c r="VMQ43" s="15"/>
      <c r="VMR43" s="14"/>
      <c r="VMS43" s="15"/>
      <c r="VMT43" s="15"/>
      <c r="VMU43" s="15"/>
      <c r="VMV43" s="14"/>
      <c r="VMW43" s="10"/>
      <c r="VMX43" s="15"/>
      <c r="VMY43" s="15"/>
      <c r="VMZ43" s="14"/>
      <c r="VNA43" s="15"/>
      <c r="VNB43" s="15"/>
      <c r="VNC43" s="15"/>
      <c r="VND43" s="14"/>
      <c r="VNE43" s="15"/>
      <c r="VNF43" s="15"/>
      <c r="VNG43" s="15"/>
      <c r="VNH43" s="14"/>
      <c r="VNI43" s="15"/>
      <c r="VNJ43" s="15"/>
      <c r="VNK43" s="15"/>
      <c r="VNL43" s="14"/>
      <c r="VNM43" s="10"/>
      <c r="VNN43" s="15"/>
      <c r="VNO43" s="15"/>
      <c r="VNP43" s="14"/>
      <c r="VNQ43" s="15"/>
      <c r="VNR43" s="15"/>
      <c r="VNS43" s="15"/>
      <c r="VNT43" s="14"/>
      <c r="VNU43" s="15"/>
      <c r="VNV43" s="15"/>
      <c r="VNW43" s="15"/>
      <c r="VNX43" s="14"/>
      <c r="VNY43" s="15"/>
      <c r="VNZ43" s="15"/>
      <c r="VOA43" s="15"/>
      <c r="VOB43" s="14"/>
      <c r="VOC43" s="10"/>
      <c r="VOD43" s="15"/>
      <c r="VOE43" s="15"/>
      <c r="VOF43" s="14"/>
      <c r="VOG43" s="15"/>
      <c r="VOH43" s="15"/>
      <c r="VOI43" s="15"/>
      <c r="VOJ43" s="14"/>
      <c r="VOK43" s="15"/>
      <c r="VOL43" s="15"/>
      <c r="VOM43" s="15"/>
      <c r="VON43" s="14"/>
      <c r="VOO43" s="15"/>
      <c r="VOP43" s="15"/>
      <c r="VOQ43" s="15"/>
      <c r="VOR43" s="14"/>
      <c r="VOS43" s="10"/>
      <c r="VOT43" s="15"/>
      <c r="VOU43" s="15"/>
      <c r="VOV43" s="14"/>
      <c r="VOW43" s="15"/>
      <c r="VOX43" s="15"/>
      <c r="VOY43" s="15"/>
      <c r="VOZ43" s="14"/>
      <c r="VPA43" s="15"/>
      <c r="VPB43" s="15"/>
      <c r="VPC43" s="15"/>
      <c r="VPD43" s="14"/>
      <c r="VPE43" s="15"/>
      <c r="VPF43" s="15"/>
      <c r="VPG43" s="15"/>
      <c r="VPH43" s="14"/>
      <c r="VPI43" s="10"/>
      <c r="VPJ43" s="15"/>
      <c r="VPK43" s="15"/>
      <c r="VPL43" s="14"/>
      <c r="VPM43" s="15"/>
      <c r="VPN43" s="15"/>
      <c r="VPO43" s="15"/>
      <c r="VPP43" s="14"/>
      <c r="VPQ43" s="15"/>
      <c r="VPR43" s="15"/>
      <c r="VPS43" s="15"/>
      <c r="VPT43" s="14"/>
      <c r="VPU43" s="15"/>
      <c r="VPV43" s="15"/>
      <c r="VPW43" s="15"/>
      <c r="VPX43" s="14"/>
      <c r="VPY43" s="10"/>
      <c r="VPZ43" s="15"/>
      <c r="VQA43" s="15"/>
      <c r="VQB43" s="14"/>
      <c r="VQC43" s="15"/>
      <c r="VQD43" s="15"/>
      <c r="VQE43" s="15"/>
      <c r="VQF43" s="14"/>
      <c r="VQG43" s="15"/>
      <c r="VQH43" s="15"/>
      <c r="VQI43" s="15"/>
      <c r="VQJ43" s="14"/>
      <c r="VQK43" s="15"/>
      <c r="VQL43" s="15"/>
      <c r="VQM43" s="15"/>
      <c r="VQN43" s="14"/>
      <c r="VQO43" s="10"/>
      <c r="VQP43" s="15"/>
      <c r="VQQ43" s="15"/>
      <c r="VQR43" s="14"/>
      <c r="VQS43" s="15"/>
      <c r="VQT43" s="15"/>
      <c r="VQU43" s="15"/>
      <c r="VQV43" s="14"/>
      <c r="VQW43" s="15"/>
      <c r="VQX43" s="15"/>
      <c r="VQY43" s="15"/>
      <c r="VQZ43" s="14"/>
      <c r="VRA43" s="15"/>
      <c r="VRB43" s="15"/>
      <c r="VRC43" s="15"/>
      <c r="VRD43" s="14"/>
      <c r="VRE43" s="10"/>
      <c r="VRF43" s="15"/>
      <c r="VRG43" s="15"/>
      <c r="VRH43" s="14"/>
      <c r="VRI43" s="15"/>
      <c r="VRJ43" s="15"/>
      <c r="VRK43" s="15"/>
      <c r="VRL43" s="14"/>
      <c r="VRM43" s="15"/>
      <c r="VRN43" s="15"/>
      <c r="VRO43" s="15"/>
      <c r="VRP43" s="14"/>
      <c r="VRQ43" s="15"/>
      <c r="VRR43" s="15"/>
      <c r="VRS43" s="15"/>
      <c r="VRT43" s="14"/>
      <c r="VRU43" s="10"/>
      <c r="VRV43" s="15"/>
      <c r="VRW43" s="15"/>
      <c r="VRX43" s="14"/>
      <c r="VRY43" s="15"/>
      <c r="VRZ43" s="15"/>
      <c r="VSA43" s="15"/>
      <c r="VSB43" s="14"/>
      <c r="VSC43" s="15"/>
      <c r="VSD43" s="15"/>
      <c r="VSE43" s="15"/>
      <c r="VSF43" s="14"/>
      <c r="VSG43" s="15"/>
      <c r="VSH43" s="15"/>
      <c r="VSI43" s="15"/>
      <c r="VSJ43" s="14"/>
      <c r="VSK43" s="10"/>
      <c r="VSL43" s="15"/>
      <c r="VSM43" s="15"/>
      <c r="VSN43" s="14"/>
      <c r="VSO43" s="15"/>
      <c r="VSP43" s="15"/>
      <c r="VSQ43" s="15"/>
      <c r="VSR43" s="14"/>
      <c r="VSS43" s="15"/>
      <c r="VST43" s="15"/>
      <c r="VSU43" s="15"/>
      <c r="VSV43" s="14"/>
      <c r="VSW43" s="15"/>
      <c r="VSX43" s="15"/>
      <c r="VSY43" s="15"/>
      <c r="VSZ43" s="14"/>
      <c r="VTA43" s="10"/>
      <c r="VTB43" s="15"/>
      <c r="VTC43" s="15"/>
      <c r="VTD43" s="14"/>
      <c r="VTE43" s="15"/>
      <c r="VTF43" s="15"/>
      <c r="VTG43" s="15"/>
      <c r="VTH43" s="14"/>
      <c r="VTI43" s="15"/>
      <c r="VTJ43" s="15"/>
      <c r="VTK43" s="15"/>
      <c r="VTL43" s="14"/>
      <c r="VTM43" s="15"/>
      <c r="VTN43" s="15"/>
      <c r="VTO43" s="15"/>
      <c r="VTP43" s="14"/>
      <c r="VTQ43" s="10"/>
      <c r="VTR43" s="15"/>
      <c r="VTS43" s="15"/>
      <c r="VTT43" s="14"/>
      <c r="VTU43" s="15"/>
      <c r="VTV43" s="15"/>
      <c r="VTW43" s="15"/>
      <c r="VTX43" s="14"/>
      <c r="VTY43" s="15"/>
      <c r="VTZ43" s="15"/>
      <c r="VUA43" s="15"/>
      <c r="VUB43" s="14"/>
      <c r="VUC43" s="15"/>
      <c r="VUD43" s="15"/>
      <c r="VUE43" s="15"/>
      <c r="VUF43" s="14"/>
      <c r="VUG43" s="10"/>
      <c r="VUH43" s="15"/>
      <c r="VUI43" s="15"/>
      <c r="VUJ43" s="14"/>
      <c r="VUK43" s="15"/>
      <c r="VUL43" s="15"/>
      <c r="VUM43" s="15"/>
      <c r="VUN43" s="14"/>
      <c r="VUO43" s="15"/>
      <c r="VUP43" s="15"/>
      <c r="VUQ43" s="15"/>
      <c r="VUR43" s="14"/>
      <c r="VUS43" s="15"/>
      <c r="VUT43" s="15"/>
      <c r="VUU43" s="15"/>
      <c r="VUV43" s="14"/>
      <c r="VUW43" s="10"/>
      <c r="VUX43" s="15"/>
      <c r="VUY43" s="15"/>
      <c r="VUZ43" s="14"/>
      <c r="VVA43" s="15"/>
      <c r="VVB43" s="15"/>
      <c r="VVC43" s="15"/>
      <c r="VVD43" s="14"/>
      <c r="VVE43" s="15"/>
      <c r="VVF43" s="15"/>
      <c r="VVG43" s="15"/>
      <c r="VVH43" s="14"/>
      <c r="VVI43" s="15"/>
      <c r="VVJ43" s="15"/>
      <c r="VVK43" s="15"/>
      <c r="VVL43" s="14"/>
      <c r="VVM43" s="10"/>
      <c r="VVN43" s="15"/>
      <c r="VVO43" s="15"/>
      <c r="VVP43" s="14"/>
      <c r="VVQ43" s="15"/>
      <c r="VVR43" s="15"/>
      <c r="VVS43" s="15"/>
      <c r="VVT43" s="14"/>
      <c r="VVU43" s="15"/>
      <c r="VVV43" s="15"/>
      <c r="VVW43" s="15"/>
      <c r="VVX43" s="14"/>
      <c r="VVY43" s="15"/>
      <c r="VVZ43" s="15"/>
      <c r="VWA43" s="15"/>
      <c r="VWB43" s="14"/>
      <c r="VWC43" s="10"/>
      <c r="VWD43" s="15"/>
      <c r="VWE43" s="15"/>
      <c r="VWF43" s="14"/>
      <c r="VWG43" s="15"/>
      <c r="VWH43" s="15"/>
      <c r="VWI43" s="15"/>
      <c r="VWJ43" s="14"/>
      <c r="VWK43" s="15"/>
      <c r="VWL43" s="15"/>
      <c r="VWM43" s="15"/>
      <c r="VWN43" s="14"/>
      <c r="VWO43" s="15"/>
      <c r="VWP43" s="15"/>
      <c r="VWQ43" s="15"/>
      <c r="VWR43" s="14"/>
      <c r="VWS43" s="10"/>
      <c r="VWT43" s="15"/>
      <c r="VWU43" s="15"/>
      <c r="VWV43" s="14"/>
      <c r="VWW43" s="15"/>
      <c r="VWX43" s="15"/>
      <c r="VWY43" s="15"/>
      <c r="VWZ43" s="14"/>
      <c r="VXA43" s="15"/>
      <c r="VXB43" s="15"/>
      <c r="VXC43" s="15"/>
      <c r="VXD43" s="14"/>
      <c r="VXE43" s="15"/>
      <c r="VXF43" s="15"/>
      <c r="VXG43" s="15"/>
      <c r="VXH43" s="14"/>
      <c r="VXI43" s="10"/>
      <c r="VXJ43" s="15"/>
      <c r="VXK43" s="15"/>
      <c r="VXL43" s="14"/>
      <c r="VXM43" s="15"/>
      <c r="VXN43" s="15"/>
      <c r="VXO43" s="15"/>
      <c r="VXP43" s="14"/>
      <c r="VXQ43" s="15"/>
      <c r="VXR43" s="15"/>
      <c r="VXS43" s="15"/>
      <c r="VXT43" s="14"/>
      <c r="VXU43" s="15"/>
      <c r="VXV43" s="15"/>
      <c r="VXW43" s="15"/>
      <c r="VXX43" s="14"/>
      <c r="VXY43" s="10"/>
      <c r="VXZ43" s="15"/>
      <c r="VYA43" s="15"/>
      <c r="VYB43" s="14"/>
      <c r="VYC43" s="15"/>
      <c r="VYD43" s="15"/>
      <c r="VYE43" s="15"/>
      <c r="VYF43" s="14"/>
      <c r="VYG43" s="15"/>
      <c r="VYH43" s="15"/>
      <c r="VYI43" s="15"/>
      <c r="VYJ43" s="14"/>
      <c r="VYK43" s="15"/>
      <c r="VYL43" s="15"/>
      <c r="VYM43" s="15"/>
      <c r="VYN43" s="14"/>
      <c r="VYO43" s="10"/>
      <c r="VYP43" s="15"/>
      <c r="VYQ43" s="15"/>
      <c r="VYR43" s="14"/>
      <c r="VYS43" s="15"/>
      <c r="VYT43" s="15"/>
      <c r="VYU43" s="15"/>
      <c r="VYV43" s="14"/>
      <c r="VYW43" s="15"/>
      <c r="VYX43" s="15"/>
      <c r="VYY43" s="15"/>
      <c r="VYZ43" s="14"/>
      <c r="VZA43" s="15"/>
      <c r="VZB43" s="15"/>
      <c r="VZC43" s="15"/>
      <c r="VZD43" s="14"/>
      <c r="VZE43" s="10"/>
      <c r="VZF43" s="15"/>
      <c r="VZG43" s="15"/>
      <c r="VZH43" s="14"/>
      <c r="VZI43" s="15"/>
      <c r="VZJ43" s="15"/>
      <c r="VZK43" s="15"/>
      <c r="VZL43" s="14"/>
      <c r="VZM43" s="15"/>
      <c r="VZN43" s="15"/>
      <c r="VZO43" s="15"/>
      <c r="VZP43" s="14"/>
      <c r="VZQ43" s="15"/>
      <c r="VZR43" s="15"/>
      <c r="VZS43" s="15"/>
      <c r="VZT43" s="14"/>
      <c r="VZU43" s="10"/>
      <c r="VZV43" s="15"/>
      <c r="VZW43" s="15"/>
      <c r="VZX43" s="14"/>
      <c r="VZY43" s="15"/>
      <c r="VZZ43" s="15"/>
      <c r="WAA43" s="15"/>
      <c r="WAB43" s="14"/>
      <c r="WAC43" s="15"/>
      <c r="WAD43" s="15"/>
      <c r="WAE43" s="15"/>
      <c r="WAF43" s="14"/>
      <c r="WAG43" s="15"/>
      <c r="WAH43" s="15"/>
      <c r="WAI43" s="15"/>
      <c r="WAJ43" s="14"/>
      <c r="WAK43" s="10"/>
      <c r="WAL43" s="15"/>
      <c r="WAM43" s="15"/>
      <c r="WAN43" s="14"/>
      <c r="WAO43" s="15"/>
      <c r="WAP43" s="15"/>
      <c r="WAQ43" s="15"/>
      <c r="WAR43" s="14"/>
      <c r="WAS43" s="15"/>
      <c r="WAT43" s="15"/>
      <c r="WAU43" s="15"/>
      <c r="WAV43" s="14"/>
      <c r="WAW43" s="15"/>
      <c r="WAX43" s="15"/>
      <c r="WAY43" s="15"/>
      <c r="WAZ43" s="14"/>
      <c r="WBA43" s="10"/>
      <c r="WBB43" s="15"/>
      <c r="WBC43" s="15"/>
      <c r="WBD43" s="14"/>
      <c r="WBE43" s="15"/>
      <c r="WBF43" s="15"/>
      <c r="WBG43" s="15"/>
      <c r="WBH43" s="14"/>
      <c r="WBI43" s="15"/>
      <c r="WBJ43" s="15"/>
      <c r="WBK43" s="15"/>
      <c r="WBL43" s="14"/>
      <c r="WBM43" s="15"/>
      <c r="WBN43" s="15"/>
      <c r="WBO43" s="15"/>
      <c r="WBP43" s="14"/>
      <c r="WBQ43" s="10"/>
      <c r="WBR43" s="15"/>
      <c r="WBS43" s="15"/>
      <c r="WBT43" s="14"/>
      <c r="WBU43" s="15"/>
      <c r="WBV43" s="15"/>
      <c r="WBW43" s="15"/>
      <c r="WBX43" s="14"/>
      <c r="WBY43" s="15"/>
      <c r="WBZ43" s="15"/>
      <c r="WCA43" s="15"/>
      <c r="WCB43" s="14"/>
      <c r="WCC43" s="15"/>
      <c r="WCD43" s="15"/>
      <c r="WCE43" s="15"/>
      <c r="WCF43" s="14"/>
      <c r="WCG43" s="10"/>
      <c r="WCH43" s="15"/>
      <c r="WCI43" s="15"/>
      <c r="WCJ43" s="14"/>
      <c r="WCK43" s="15"/>
      <c r="WCL43" s="15"/>
      <c r="WCM43" s="15"/>
      <c r="WCN43" s="14"/>
      <c r="WCO43" s="15"/>
      <c r="WCP43" s="15"/>
      <c r="WCQ43" s="15"/>
      <c r="WCR43" s="14"/>
      <c r="WCS43" s="15"/>
      <c r="WCT43" s="15"/>
      <c r="WCU43" s="15"/>
      <c r="WCV43" s="14"/>
      <c r="WCW43" s="10"/>
      <c r="WCX43" s="15"/>
      <c r="WCY43" s="15"/>
      <c r="WCZ43" s="14"/>
      <c r="WDA43" s="15"/>
      <c r="WDB43" s="15"/>
      <c r="WDC43" s="15"/>
      <c r="WDD43" s="14"/>
      <c r="WDE43" s="15"/>
      <c r="WDF43" s="15"/>
      <c r="WDG43" s="15"/>
      <c r="WDH43" s="14"/>
      <c r="WDI43" s="15"/>
      <c r="WDJ43" s="15"/>
      <c r="WDK43" s="15"/>
      <c r="WDL43" s="14"/>
      <c r="WDM43" s="10"/>
      <c r="WDN43" s="15"/>
      <c r="WDO43" s="15"/>
      <c r="WDP43" s="14"/>
      <c r="WDQ43" s="15"/>
      <c r="WDR43" s="15"/>
      <c r="WDS43" s="15"/>
      <c r="WDT43" s="14"/>
      <c r="WDU43" s="15"/>
      <c r="WDV43" s="15"/>
      <c r="WDW43" s="15"/>
      <c r="WDX43" s="14"/>
      <c r="WDY43" s="15"/>
      <c r="WDZ43" s="15"/>
      <c r="WEA43" s="15"/>
      <c r="WEB43" s="14"/>
      <c r="WEC43" s="10"/>
      <c r="WED43" s="15"/>
      <c r="WEE43" s="15"/>
      <c r="WEF43" s="14"/>
      <c r="WEG43" s="15"/>
      <c r="WEH43" s="15"/>
      <c r="WEI43" s="15"/>
      <c r="WEJ43" s="14"/>
      <c r="WEK43" s="15"/>
      <c r="WEL43" s="15"/>
      <c r="WEM43" s="15"/>
      <c r="WEN43" s="14"/>
      <c r="WEO43" s="15"/>
      <c r="WEP43" s="15"/>
      <c r="WEQ43" s="15"/>
      <c r="WER43" s="14"/>
      <c r="WES43" s="10"/>
      <c r="WET43" s="15"/>
      <c r="WEU43" s="15"/>
      <c r="WEV43" s="14"/>
      <c r="WEW43" s="15"/>
      <c r="WEX43" s="15"/>
      <c r="WEY43" s="15"/>
      <c r="WEZ43" s="14"/>
      <c r="WFA43" s="15"/>
      <c r="WFB43" s="15"/>
      <c r="WFC43" s="15"/>
      <c r="WFD43" s="14"/>
      <c r="WFE43" s="15"/>
      <c r="WFF43" s="15"/>
      <c r="WFG43" s="15"/>
      <c r="WFH43" s="14"/>
      <c r="WFI43" s="10"/>
      <c r="WFJ43" s="15"/>
      <c r="WFK43" s="15"/>
      <c r="WFL43" s="14"/>
      <c r="WFM43" s="15"/>
      <c r="WFN43" s="15"/>
      <c r="WFO43" s="15"/>
      <c r="WFP43" s="14"/>
      <c r="WFQ43" s="15"/>
      <c r="WFR43" s="15"/>
      <c r="WFS43" s="15"/>
      <c r="WFT43" s="14"/>
      <c r="WFU43" s="15"/>
      <c r="WFV43" s="15"/>
      <c r="WFW43" s="15"/>
      <c r="WFX43" s="14"/>
      <c r="WFY43" s="10"/>
      <c r="WFZ43" s="15"/>
      <c r="WGA43" s="15"/>
      <c r="WGB43" s="14"/>
      <c r="WGC43" s="15"/>
      <c r="WGD43" s="15"/>
      <c r="WGE43" s="15"/>
      <c r="WGF43" s="14"/>
      <c r="WGG43" s="15"/>
      <c r="WGH43" s="15"/>
      <c r="WGI43" s="15"/>
      <c r="WGJ43" s="14"/>
      <c r="WGK43" s="15"/>
      <c r="WGL43" s="15"/>
      <c r="WGM43" s="15"/>
      <c r="WGN43" s="14"/>
      <c r="WGO43" s="10"/>
      <c r="WGP43" s="15"/>
      <c r="WGQ43" s="15"/>
      <c r="WGR43" s="14"/>
      <c r="WGS43" s="15"/>
      <c r="WGT43" s="15"/>
      <c r="WGU43" s="15"/>
      <c r="WGV43" s="14"/>
      <c r="WGW43" s="15"/>
      <c r="WGX43" s="15"/>
      <c r="WGY43" s="15"/>
      <c r="WGZ43" s="14"/>
      <c r="WHA43" s="15"/>
      <c r="WHB43" s="15"/>
      <c r="WHC43" s="15"/>
      <c r="WHD43" s="14"/>
      <c r="WHE43" s="10"/>
      <c r="WHF43" s="15"/>
      <c r="WHG43" s="15"/>
      <c r="WHH43" s="14"/>
      <c r="WHI43" s="15"/>
      <c r="WHJ43" s="15"/>
      <c r="WHK43" s="15"/>
      <c r="WHL43" s="14"/>
      <c r="WHM43" s="15"/>
      <c r="WHN43" s="15"/>
      <c r="WHO43" s="15"/>
      <c r="WHP43" s="14"/>
      <c r="WHQ43" s="15"/>
      <c r="WHR43" s="15"/>
      <c r="WHS43" s="15"/>
      <c r="WHT43" s="14"/>
      <c r="WHU43" s="10"/>
      <c r="WHV43" s="15"/>
      <c r="WHW43" s="15"/>
      <c r="WHX43" s="14"/>
      <c r="WHY43" s="15"/>
      <c r="WHZ43" s="15"/>
      <c r="WIA43" s="15"/>
      <c r="WIB43" s="14"/>
      <c r="WIC43" s="15"/>
      <c r="WID43" s="15"/>
      <c r="WIE43" s="15"/>
      <c r="WIF43" s="14"/>
      <c r="WIG43" s="15"/>
      <c r="WIH43" s="15"/>
      <c r="WII43" s="15"/>
      <c r="WIJ43" s="14"/>
      <c r="WIK43" s="10"/>
      <c r="WIL43" s="15"/>
      <c r="WIM43" s="15"/>
      <c r="WIN43" s="14"/>
      <c r="WIO43" s="15"/>
      <c r="WIP43" s="15"/>
      <c r="WIQ43" s="15"/>
      <c r="WIR43" s="14"/>
      <c r="WIS43" s="15"/>
      <c r="WIT43" s="15"/>
      <c r="WIU43" s="15"/>
      <c r="WIV43" s="14"/>
      <c r="WIW43" s="15"/>
      <c r="WIX43" s="15"/>
      <c r="WIY43" s="15"/>
      <c r="WIZ43" s="14"/>
      <c r="WJA43" s="10"/>
      <c r="WJB43" s="15"/>
      <c r="WJC43" s="15"/>
      <c r="WJD43" s="14"/>
      <c r="WJE43" s="15"/>
      <c r="WJF43" s="15"/>
      <c r="WJG43" s="15"/>
      <c r="WJH43" s="14"/>
      <c r="WJI43" s="15"/>
      <c r="WJJ43" s="15"/>
      <c r="WJK43" s="15"/>
      <c r="WJL43" s="14"/>
      <c r="WJM43" s="15"/>
      <c r="WJN43" s="15"/>
      <c r="WJO43" s="15"/>
      <c r="WJP43" s="14"/>
      <c r="WJQ43" s="10"/>
      <c r="WJR43" s="15"/>
      <c r="WJS43" s="15"/>
      <c r="WJT43" s="14"/>
      <c r="WJU43" s="15"/>
      <c r="WJV43" s="15"/>
      <c r="WJW43" s="15"/>
      <c r="WJX43" s="14"/>
      <c r="WJY43" s="15"/>
      <c r="WJZ43" s="15"/>
      <c r="WKA43" s="15"/>
      <c r="WKB43" s="14"/>
      <c r="WKC43" s="15"/>
      <c r="WKD43" s="15"/>
      <c r="WKE43" s="15"/>
      <c r="WKF43" s="14"/>
      <c r="WKG43" s="10"/>
      <c r="WKH43" s="15"/>
      <c r="WKI43" s="15"/>
      <c r="WKJ43" s="14"/>
      <c r="WKK43" s="15"/>
      <c r="WKL43" s="15"/>
      <c r="WKM43" s="15"/>
      <c r="WKN43" s="14"/>
      <c r="WKO43" s="15"/>
      <c r="WKP43" s="15"/>
      <c r="WKQ43" s="15"/>
      <c r="WKR43" s="14"/>
      <c r="WKS43" s="15"/>
      <c r="WKT43" s="15"/>
      <c r="WKU43" s="15"/>
      <c r="WKV43" s="14"/>
      <c r="WKW43" s="10"/>
      <c r="WKX43" s="15"/>
      <c r="WKY43" s="15"/>
      <c r="WKZ43" s="14"/>
      <c r="WLA43" s="15"/>
      <c r="WLB43" s="15"/>
      <c r="WLC43" s="15"/>
      <c r="WLD43" s="14"/>
      <c r="WLE43" s="15"/>
      <c r="WLF43" s="15"/>
      <c r="WLG43" s="15"/>
      <c r="WLH43" s="14"/>
      <c r="WLI43" s="15"/>
      <c r="WLJ43" s="15"/>
      <c r="WLK43" s="15"/>
      <c r="WLL43" s="14"/>
      <c r="WLM43" s="10"/>
      <c r="WLN43" s="15"/>
      <c r="WLO43" s="15"/>
      <c r="WLP43" s="14"/>
      <c r="WLQ43" s="15"/>
      <c r="WLR43" s="15"/>
      <c r="WLS43" s="15"/>
      <c r="WLT43" s="14"/>
      <c r="WLU43" s="15"/>
      <c r="WLV43" s="15"/>
      <c r="WLW43" s="15"/>
      <c r="WLX43" s="14"/>
      <c r="WLY43" s="15"/>
      <c r="WLZ43" s="15"/>
      <c r="WMA43" s="15"/>
      <c r="WMB43" s="14"/>
      <c r="WMC43" s="10"/>
      <c r="WMD43" s="15"/>
      <c r="WME43" s="15"/>
      <c r="WMF43" s="14"/>
      <c r="WMG43" s="15"/>
      <c r="WMH43" s="15"/>
      <c r="WMI43" s="15"/>
      <c r="WMJ43" s="14"/>
      <c r="WMK43" s="15"/>
      <c r="WML43" s="15"/>
      <c r="WMM43" s="15"/>
      <c r="WMN43" s="14"/>
      <c r="WMO43" s="15"/>
      <c r="WMP43" s="15"/>
      <c r="WMQ43" s="15"/>
      <c r="WMR43" s="14"/>
      <c r="WMS43" s="10"/>
      <c r="WMT43" s="15"/>
      <c r="WMU43" s="15"/>
      <c r="WMV43" s="14"/>
      <c r="WMW43" s="15"/>
      <c r="WMX43" s="15"/>
      <c r="WMY43" s="15"/>
      <c r="WMZ43" s="14"/>
      <c r="WNA43" s="15"/>
      <c r="WNB43" s="15"/>
      <c r="WNC43" s="15"/>
      <c r="WND43" s="14"/>
      <c r="WNE43" s="15"/>
      <c r="WNF43" s="15"/>
      <c r="WNG43" s="15"/>
      <c r="WNH43" s="14"/>
      <c r="WNI43" s="10"/>
      <c r="WNJ43" s="15"/>
      <c r="WNK43" s="15"/>
      <c r="WNL43" s="14"/>
      <c r="WNM43" s="15"/>
      <c r="WNN43" s="15"/>
      <c r="WNO43" s="15"/>
      <c r="WNP43" s="14"/>
      <c r="WNQ43" s="15"/>
      <c r="WNR43" s="15"/>
      <c r="WNS43" s="15"/>
      <c r="WNT43" s="14"/>
      <c r="WNU43" s="15"/>
      <c r="WNV43" s="15"/>
      <c r="WNW43" s="15"/>
      <c r="WNX43" s="14"/>
      <c r="WNY43" s="10"/>
      <c r="WNZ43" s="15"/>
      <c r="WOA43" s="15"/>
      <c r="WOB43" s="14"/>
      <c r="WOC43" s="15"/>
      <c r="WOD43" s="15"/>
      <c r="WOE43" s="15"/>
      <c r="WOF43" s="14"/>
      <c r="WOG43" s="15"/>
      <c r="WOH43" s="15"/>
      <c r="WOI43" s="15"/>
      <c r="WOJ43" s="14"/>
      <c r="WOK43" s="15"/>
      <c r="WOL43" s="15"/>
      <c r="WOM43" s="15"/>
      <c r="WON43" s="14"/>
      <c r="WOO43" s="10"/>
      <c r="WOP43" s="15"/>
      <c r="WOQ43" s="15"/>
      <c r="WOR43" s="14"/>
      <c r="WOS43" s="15"/>
      <c r="WOT43" s="15"/>
      <c r="WOU43" s="15"/>
      <c r="WOV43" s="14"/>
      <c r="WOW43" s="15"/>
      <c r="WOX43" s="15"/>
      <c r="WOY43" s="15"/>
      <c r="WOZ43" s="14"/>
      <c r="WPA43" s="15"/>
      <c r="WPB43" s="15"/>
      <c r="WPC43" s="15"/>
      <c r="WPD43" s="14"/>
      <c r="WPE43" s="10"/>
      <c r="WPF43" s="15"/>
      <c r="WPG43" s="15"/>
      <c r="WPH43" s="14"/>
      <c r="WPI43" s="15"/>
      <c r="WPJ43" s="15"/>
      <c r="WPK43" s="15"/>
      <c r="WPL43" s="14"/>
      <c r="WPM43" s="15"/>
      <c r="WPN43" s="15"/>
      <c r="WPO43" s="15"/>
      <c r="WPP43" s="14"/>
      <c r="WPQ43" s="15"/>
      <c r="WPR43" s="15"/>
      <c r="WPS43" s="15"/>
      <c r="WPT43" s="14"/>
      <c r="WPU43" s="10"/>
      <c r="WPV43" s="15"/>
      <c r="WPW43" s="15"/>
      <c r="WPX43" s="14"/>
      <c r="WPY43" s="15"/>
      <c r="WPZ43" s="15"/>
      <c r="WQA43" s="15"/>
      <c r="WQB43" s="14"/>
      <c r="WQC43" s="15"/>
      <c r="WQD43" s="15"/>
      <c r="WQE43" s="15"/>
      <c r="WQF43" s="14"/>
      <c r="WQG43" s="15"/>
      <c r="WQH43" s="15"/>
      <c r="WQI43" s="15"/>
      <c r="WQJ43" s="14"/>
      <c r="WQK43" s="10"/>
      <c r="WQL43" s="15"/>
      <c r="WQM43" s="15"/>
      <c r="WQN43" s="14"/>
      <c r="WQO43" s="15"/>
      <c r="WQP43" s="15"/>
      <c r="WQQ43" s="15"/>
      <c r="WQR43" s="14"/>
      <c r="WQS43" s="15"/>
      <c r="WQT43" s="15"/>
      <c r="WQU43" s="15"/>
      <c r="WQV43" s="14"/>
      <c r="WQW43" s="15"/>
      <c r="WQX43" s="15"/>
      <c r="WQY43" s="15"/>
      <c r="WQZ43" s="14"/>
      <c r="WRA43" s="10"/>
      <c r="WRB43" s="15"/>
      <c r="WRC43" s="15"/>
      <c r="WRD43" s="14"/>
      <c r="WRE43" s="15"/>
      <c r="WRF43" s="15"/>
      <c r="WRG43" s="15"/>
      <c r="WRH43" s="14"/>
      <c r="WRI43" s="15"/>
      <c r="WRJ43" s="15"/>
      <c r="WRK43" s="15"/>
      <c r="WRL43" s="14"/>
      <c r="WRM43" s="15"/>
      <c r="WRN43" s="15"/>
      <c r="WRO43" s="15"/>
      <c r="WRP43" s="14"/>
      <c r="WRQ43" s="10"/>
      <c r="WRR43" s="15"/>
      <c r="WRS43" s="15"/>
      <c r="WRT43" s="14"/>
      <c r="WRU43" s="15"/>
      <c r="WRV43" s="15"/>
      <c r="WRW43" s="15"/>
      <c r="WRX43" s="14"/>
      <c r="WRY43" s="15"/>
      <c r="WRZ43" s="15"/>
      <c r="WSA43" s="15"/>
      <c r="WSB43" s="14"/>
      <c r="WSC43" s="15"/>
      <c r="WSD43" s="15"/>
      <c r="WSE43" s="15"/>
      <c r="WSF43" s="14"/>
      <c r="WSG43" s="10"/>
      <c r="WSH43" s="15"/>
      <c r="WSI43" s="15"/>
      <c r="WSJ43" s="14"/>
      <c r="WSK43" s="15"/>
      <c r="WSL43" s="15"/>
      <c r="WSM43" s="15"/>
      <c r="WSN43" s="14"/>
      <c r="WSO43" s="15"/>
      <c r="WSP43" s="15"/>
      <c r="WSQ43" s="15"/>
      <c r="WSR43" s="14"/>
      <c r="WSS43" s="15"/>
      <c r="WST43" s="15"/>
      <c r="WSU43" s="15"/>
      <c r="WSV43" s="14"/>
      <c r="WSW43" s="10"/>
      <c r="WSX43" s="15"/>
      <c r="WSY43" s="15"/>
      <c r="WSZ43" s="14"/>
      <c r="WTA43" s="15"/>
      <c r="WTB43" s="15"/>
      <c r="WTC43" s="15"/>
      <c r="WTD43" s="14"/>
      <c r="WTE43" s="15"/>
      <c r="WTF43" s="15"/>
      <c r="WTG43" s="15"/>
      <c r="WTH43" s="14"/>
      <c r="WTI43" s="15"/>
      <c r="WTJ43" s="15"/>
      <c r="WTK43" s="15"/>
      <c r="WTL43" s="14"/>
      <c r="WTM43" s="10"/>
      <c r="WTN43" s="15"/>
      <c r="WTO43" s="15"/>
      <c r="WTP43" s="14"/>
      <c r="WTQ43" s="15"/>
      <c r="WTR43" s="15"/>
      <c r="WTS43" s="15"/>
      <c r="WTT43" s="14"/>
      <c r="WTU43" s="15"/>
      <c r="WTV43" s="15"/>
      <c r="WTW43" s="15"/>
      <c r="WTX43" s="14"/>
      <c r="WTY43" s="15"/>
      <c r="WTZ43" s="15"/>
      <c r="WUA43" s="15"/>
      <c r="WUB43" s="14"/>
      <c r="WUC43" s="10"/>
      <c r="WUD43" s="15"/>
      <c r="WUE43" s="15"/>
      <c r="WUF43" s="14"/>
      <c r="WUG43" s="15"/>
      <c r="WUH43" s="15"/>
      <c r="WUI43" s="15"/>
      <c r="WUJ43" s="14"/>
      <c r="WUK43" s="15"/>
      <c r="WUL43" s="15"/>
      <c r="WUM43" s="15"/>
      <c r="WUN43" s="14"/>
      <c r="WUO43" s="15"/>
      <c r="WUP43" s="15"/>
      <c r="WUQ43" s="15"/>
      <c r="WUR43" s="14"/>
      <c r="WUS43" s="10"/>
      <c r="WUT43" s="15"/>
      <c r="WUU43" s="15"/>
      <c r="WUV43" s="14"/>
      <c r="WUW43" s="15"/>
      <c r="WUX43" s="15"/>
      <c r="WUY43" s="15"/>
      <c r="WUZ43" s="14"/>
      <c r="WVA43" s="15"/>
      <c r="WVB43" s="15"/>
      <c r="WVC43" s="15"/>
      <c r="WVD43" s="14"/>
      <c r="WVE43" s="15"/>
      <c r="WVF43" s="15"/>
      <c r="WVG43" s="15"/>
      <c r="WVH43" s="14"/>
      <c r="WVI43" s="10"/>
      <c r="WVJ43" s="15"/>
      <c r="WVK43" s="15"/>
      <c r="WVL43" s="14"/>
      <c r="WVM43" s="15"/>
      <c r="WVN43" s="15"/>
      <c r="WVO43" s="15"/>
      <c r="WVP43" s="14"/>
      <c r="WVQ43" s="15"/>
      <c r="WVR43" s="15"/>
      <c r="WVS43" s="15"/>
      <c r="WVT43" s="14"/>
      <c r="WVU43" s="15"/>
      <c r="WVV43" s="15"/>
      <c r="WVW43" s="15"/>
      <c r="WVX43" s="14"/>
      <c r="WVY43" s="10"/>
      <c r="WVZ43" s="15"/>
      <c r="WWA43" s="15"/>
      <c r="WWB43" s="14"/>
      <c r="WWC43" s="15"/>
      <c r="WWD43" s="15"/>
      <c r="WWE43" s="15"/>
      <c r="WWF43" s="14"/>
      <c r="WWG43" s="15"/>
      <c r="WWH43" s="15"/>
      <c r="WWI43" s="15"/>
      <c r="WWJ43" s="14"/>
      <c r="WWK43" s="15"/>
      <c r="WWL43" s="15"/>
      <c r="WWM43" s="15"/>
      <c r="WWN43" s="14"/>
      <c r="WWO43" s="10"/>
      <c r="WWP43" s="15"/>
      <c r="WWQ43" s="15"/>
      <c r="WWR43" s="14"/>
      <c r="WWS43" s="15"/>
      <c r="WWT43" s="15"/>
      <c r="WWU43" s="15"/>
      <c r="WWV43" s="14"/>
      <c r="WWW43" s="15"/>
      <c r="WWX43" s="15"/>
      <c r="WWY43" s="15"/>
      <c r="WWZ43" s="14"/>
      <c r="WXA43" s="15"/>
      <c r="WXB43" s="15"/>
      <c r="WXC43" s="15"/>
      <c r="WXD43" s="14"/>
      <c r="WXE43" s="10"/>
      <c r="WXF43" s="15"/>
      <c r="WXG43" s="15"/>
      <c r="WXH43" s="14"/>
      <c r="WXI43" s="15"/>
      <c r="WXJ43" s="15"/>
      <c r="WXK43" s="15"/>
      <c r="WXL43" s="14"/>
      <c r="WXM43" s="15"/>
      <c r="WXN43" s="15"/>
      <c r="WXO43" s="15"/>
      <c r="WXP43" s="14"/>
      <c r="WXQ43" s="15"/>
      <c r="WXR43" s="15"/>
      <c r="WXS43" s="15"/>
      <c r="WXT43" s="14"/>
      <c r="WXU43" s="10"/>
      <c r="WXV43" s="15"/>
      <c r="WXW43" s="15"/>
      <c r="WXX43" s="14"/>
      <c r="WXY43" s="15"/>
      <c r="WXZ43" s="15"/>
      <c r="WYA43" s="15"/>
      <c r="WYB43" s="14"/>
      <c r="WYC43" s="15"/>
      <c r="WYD43" s="15"/>
      <c r="WYE43" s="15"/>
      <c r="WYF43" s="14"/>
      <c r="WYG43" s="15"/>
      <c r="WYH43" s="15"/>
      <c r="WYI43" s="15"/>
      <c r="WYJ43" s="14"/>
      <c r="WYK43" s="10"/>
      <c r="WYL43" s="15"/>
      <c r="WYM43" s="15"/>
      <c r="WYN43" s="14"/>
      <c r="WYO43" s="15"/>
      <c r="WYP43" s="15"/>
      <c r="WYQ43" s="15"/>
      <c r="WYR43" s="14"/>
      <c r="WYS43" s="15"/>
      <c r="WYT43" s="15"/>
      <c r="WYU43" s="15"/>
      <c r="WYV43" s="14"/>
      <c r="WYW43" s="15"/>
      <c r="WYX43" s="15"/>
      <c r="WYY43" s="15"/>
      <c r="WYZ43" s="14"/>
      <c r="WZA43" s="10"/>
      <c r="WZB43" s="15"/>
      <c r="WZC43" s="15"/>
      <c r="WZD43" s="14"/>
      <c r="WZE43" s="15"/>
      <c r="WZF43" s="15"/>
      <c r="WZG43" s="15"/>
      <c r="WZH43" s="14"/>
      <c r="WZI43" s="15"/>
      <c r="WZJ43" s="15"/>
      <c r="WZK43" s="15"/>
      <c r="WZL43" s="14"/>
      <c r="WZM43" s="15"/>
      <c r="WZN43" s="15"/>
      <c r="WZO43" s="15"/>
      <c r="WZP43" s="14"/>
      <c r="WZQ43" s="10"/>
      <c r="WZR43" s="15"/>
      <c r="WZS43" s="15"/>
      <c r="WZT43" s="14"/>
      <c r="WZU43" s="15"/>
      <c r="WZV43" s="15"/>
      <c r="WZW43" s="15"/>
      <c r="WZX43" s="14"/>
      <c r="WZY43" s="15"/>
      <c r="WZZ43" s="15"/>
      <c r="XAA43" s="15"/>
      <c r="XAB43" s="14"/>
      <c r="XAC43" s="15"/>
      <c r="XAD43" s="15"/>
      <c r="XAE43" s="15"/>
      <c r="XAF43" s="14"/>
      <c r="XAG43" s="10"/>
      <c r="XAH43" s="15"/>
      <c r="XAI43" s="15"/>
      <c r="XAJ43" s="14"/>
      <c r="XAK43" s="15"/>
      <c r="XAL43" s="15"/>
      <c r="XAM43" s="15"/>
      <c r="XAN43" s="14"/>
      <c r="XAO43" s="15"/>
      <c r="XAP43" s="15"/>
      <c r="XAQ43" s="15"/>
      <c r="XAR43" s="14"/>
      <c r="XAS43" s="15"/>
      <c r="XAT43" s="15"/>
      <c r="XAU43" s="15"/>
      <c r="XAV43" s="14"/>
      <c r="XAW43" s="10"/>
      <c r="XAX43" s="15"/>
      <c r="XAY43" s="15"/>
      <c r="XAZ43" s="14"/>
      <c r="XBA43" s="15"/>
      <c r="XBB43" s="15"/>
      <c r="XBC43" s="15"/>
      <c r="XBD43" s="14"/>
      <c r="XBE43" s="15"/>
      <c r="XBF43" s="15"/>
      <c r="XBG43" s="15"/>
      <c r="XBH43" s="14"/>
      <c r="XBI43" s="15"/>
      <c r="XBJ43" s="15"/>
      <c r="XBK43" s="15"/>
      <c r="XBL43" s="14"/>
      <c r="XBM43" s="10"/>
      <c r="XBN43" s="15"/>
      <c r="XBO43" s="15"/>
      <c r="XBP43" s="14"/>
      <c r="XBQ43" s="15"/>
      <c r="XBR43" s="15"/>
      <c r="XBS43" s="15"/>
      <c r="XBT43" s="14"/>
      <c r="XBU43" s="15"/>
      <c r="XBV43" s="15"/>
      <c r="XBW43" s="15"/>
      <c r="XBX43" s="14"/>
      <c r="XBY43" s="15"/>
      <c r="XBZ43" s="15"/>
      <c r="XCA43" s="15"/>
      <c r="XCB43" s="14"/>
      <c r="XCC43" s="10"/>
      <c r="XCD43" s="15"/>
      <c r="XCE43" s="15"/>
      <c r="XCF43" s="14"/>
      <c r="XCG43" s="15"/>
      <c r="XCH43" s="15"/>
      <c r="XCI43" s="15"/>
      <c r="XCJ43" s="14"/>
      <c r="XCK43" s="15"/>
      <c r="XCL43" s="15"/>
      <c r="XCM43" s="15"/>
      <c r="XCN43" s="14"/>
      <c r="XCO43" s="15"/>
      <c r="XCP43" s="15"/>
      <c r="XCQ43" s="15"/>
      <c r="XCR43" s="14"/>
      <c r="XCS43" s="10"/>
      <c r="XCT43" s="15"/>
      <c r="XCU43" s="15"/>
      <c r="XCV43" s="14"/>
      <c r="XCW43" s="15"/>
      <c r="XCX43" s="15"/>
      <c r="XCY43" s="15"/>
      <c r="XCZ43" s="14"/>
      <c r="XDA43" s="15"/>
      <c r="XDB43" s="15"/>
      <c r="XDC43" s="15"/>
      <c r="XDD43" s="14"/>
      <c r="XDE43" s="15"/>
      <c r="XDF43" s="15"/>
      <c r="XDG43" s="15"/>
      <c r="XDH43" s="14"/>
      <c r="XDI43" s="10"/>
      <c r="XDJ43" s="15"/>
      <c r="XDK43" s="15"/>
      <c r="XDL43" s="14"/>
      <c r="XDM43" s="15"/>
      <c r="XDN43" s="15"/>
      <c r="XDO43" s="15"/>
      <c r="XDP43" s="14"/>
      <c r="XDQ43" s="15"/>
      <c r="XDR43" s="15"/>
      <c r="XDS43" s="15"/>
      <c r="XDT43" s="14"/>
      <c r="XDU43" s="15"/>
      <c r="XDV43" s="15"/>
      <c r="XDW43" s="15"/>
      <c r="XDX43" s="14"/>
      <c r="XDY43" s="10"/>
      <c r="XDZ43" s="15"/>
      <c r="XEA43" s="15"/>
      <c r="XEB43" s="14"/>
      <c r="XEC43" s="15"/>
      <c r="XED43" s="15"/>
      <c r="XEE43" s="15"/>
      <c r="XEF43" s="14"/>
      <c r="XEG43" s="15"/>
      <c r="XEH43" s="15"/>
      <c r="XEI43" s="15"/>
      <c r="XEJ43" s="14"/>
      <c r="XEK43" s="15"/>
      <c r="XEL43" s="15"/>
      <c r="XEM43" s="15"/>
      <c r="XEN43" s="14"/>
      <c r="XEO43" s="10"/>
      <c r="XEP43" s="15"/>
      <c r="XEQ43" s="15"/>
      <c r="XER43" s="14"/>
      <c r="XES43" s="15"/>
      <c r="XET43" s="15"/>
      <c r="XEU43" s="15"/>
      <c r="XEV43" s="14"/>
      <c r="XEW43" s="15"/>
      <c r="XEX43" s="15"/>
      <c r="XEY43" s="15"/>
      <c r="XEZ43" s="14"/>
      <c r="XFA43" s="15"/>
      <c r="XFB43" s="15"/>
      <c r="XFC43" s="15"/>
      <c r="XFD43" s="14"/>
    </row>
    <row r="44" spans="1:16384" customFormat="1">
      <c r="A44" s="10" t="s">
        <v>359</v>
      </c>
      <c r="B44" s="125" cm="1">
        <f t="array" ref="B44">SUM(SUMIFS(B$9:B$40,$A$9:$A$40,{"Falkirk","Stirling","Clackmannanshire"}))</f>
        <v>7475</v>
      </c>
      <c r="C44" s="125" cm="1">
        <f t="array" ref="C44">SUM(SUMIFS(C$9:C$40,$A$9:$A$40,{"Falkirk","Stirling","Clackmannanshire"}))</f>
        <v>193489.44819235429</v>
      </c>
      <c r="D44" s="316">
        <f t="shared" si="0"/>
        <v>3.8632597642062909</v>
      </c>
      <c r="E44" s="14"/>
      <c r="F44" s="125" cm="1">
        <f t="array" ref="F44">SUM(SUMIFS(F$9:F$40,$A$9:$A$40,{"Falkirk","Stirling","Clackmannanshire"}))</f>
        <v>5350</v>
      </c>
      <c r="G44" s="125" cm="1">
        <f t="array" ref="G44">SUM(SUMIFS(G$9:G$40,$A$9:$A$40,{"Falkirk","Stirling","Clackmannanshire"}))</f>
        <v>193627.3291925466</v>
      </c>
      <c r="H44" s="316">
        <f t="shared" si="1"/>
        <v>2.7630397125809969</v>
      </c>
      <c r="I44" s="14"/>
      <c r="J44" s="125" cm="1">
        <f t="array" ref="J44">SUM(SUMIFS(J$9:J$40,$A$9:$A$40,{"Falkirk","Stirling","Clackmannanshire"}))</f>
        <v>5260</v>
      </c>
      <c r="K44" s="125" cm="1">
        <f t="array" ref="K44">SUM(SUMIFS(K$9:K$40,$A$9:$A$40,{"Falkirk","Stirling","Clackmannanshire"}))</f>
        <v>191757.39861161858</v>
      </c>
      <c r="L44" s="316">
        <f t="shared" si="2"/>
        <v>2.7430493102659859</v>
      </c>
      <c r="M44" s="14"/>
      <c r="N44" s="125" cm="1">
        <f t="array" ref="N44">SUM(SUMIFS(N$9:N$40,$A$9:$A$40,{"Falkirk","Stirling","Clackmannanshire"}))</f>
        <v>5300</v>
      </c>
      <c r="O44" s="125" cm="1">
        <f t="array" ref="O44">SUM(SUMIFS(O$9:O$40,$A$9:$A$40,{"Falkirk","Stirling","Clackmannanshire"}))</f>
        <v>195534.74378881988</v>
      </c>
      <c r="P44" s="316">
        <f t="shared" si="3"/>
        <v>2.7105157361313088</v>
      </c>
      <c r="Q44" s="10"/>
      <c r="R44" s="125"/>
      <c r="S44" s="125"/>
      <c r="T44" s="316"/>
      <c r="U44" s="14"/>
      <c r="V44" s="125"/>
      <c r="W44" s="125"/>
      <c r="X44" s="316"/>
      <c r="Y44" s="14"/>
      <c r="Z44" s="125"/>
      <c r="AA44" s="125"/>
      <c r="AB44" s="316"/>
      <c r="AC44" s="14"/>
      <c r="AD44" s="125"/>
      <c r="AE44" s="125"/>
      <c r="AF44" s="316"/>
      <c r="AG44" s="10"/>
      <c r="AH44" s="125"/>
      <c r="AI44" s="125"/>
      <c r="AJ44" s="316"/>
      <c r="AK44" s="14"/>
      <c r="AL44" s="125"/>
      <c r="AM44" s="125"/>
      <c r="AN44" s="316"/>
      <c r="AO44" s="14"/>
      <c r="AP44" s="125"/>
      <c r="AQ44" s="125"/>
      <c r="AR44" s="316"/>
      <c r="AS44" s="14"/>
      <c r="AT44" s="125"/>
      <c r="AU44" s="125"/>
      <c r="AV44" s="316"/>
      <c r="AW44" s="10"/>
      <c r="AX44" s="125"/>
      <c r="AY44" s="125"/>
      <c r="AZ44" s="316"/>
      <c r="BA44" s="14"/>
      <c r="BB44" s="125"/>
      <c r="BC44" s="125"/>
      <c r="BD44" s="316"/>
      <c r="BE44" s="14"/>
      <c r="BF44" s="125"/>
      <c r="BG44" s="125"/>
      <c r="BH44" s="316"/>
      <c r="BI44" s="14"/>
      <c r="BJ44" s="125"/>
      <c r="BK44" s="125"/>
      <c r="BL44" s="316"/>
      <c r="BM44" s="10"/>
      <c r="BN44" s="125"/>
      <c r="BO44" s="125"/>
      <c r="BP44" s="316"/>
      <c r="BQ44" s="14"/>
      <c r="BR44" s="125"/>
      <c r="BS44" s="125"/>
      <c r="BT44" s="316"/>
      <c r="BU44" s="14"/>
      <c r="BV44" s="125"/>
      <c r="BW44" s="125"/>
      <c r="BX44" s="316"/>
      <c r="BY44" s="14"/>
      <c r="BZ44" s="125"/>
      <c r="CA44" s="125"/>
      <c r="CB44" s="316"/>
      <c r="CC44" s="10"/>
      <c r="CD44" s="125"/>
      <c r="CE44" s="125"/>
      <c r="CF44" s="316"/>
      <c r="CG44" s="14"/>
      <c r="CH44" s="125"/>
      <c r="CI44" s="125"/>
      <c r="CJ44" s="316"/>
      <c r="CK44" s="14"/>
      <c r="CL44" s="125"/>
      <c r="CM44" s="125"/>
      <c r="CN44" s="316"/>
      <c r="CO44" s="14"/>
      <c r="CP44" s="125"/>
      <c r="CQ44" s="125"/>
      <c r="CR44" s="316"/>
      <c r="CS44" s="10"/>
      <c r="CT44" s="125"/>
      <c r="CU44" s="125"/>
      <c r="CV44" s="316"/>
      <c r="CW44" s="14"/>
      <c r="CX44" s="125"/>
      <c r="CY44" s="125"/>
      <c r="CZ44" s="316"/>
      <c r="DA44" s="14"/>
      <c r="DB44" s="125"/>
      <c r="DC44" s="125"/>
      <c r="DD44" s="316"/>
      <c r="DE44" s="14"/>
      <c r="DF44" s="125"/>
      <c r="DG44" s="125"/>
      <c r="DH44" s="316"/>
      <c r="DI44" s="10"/>
      <c r="DJ44" s="125"/>
      <c r="DK44" s="125"/>
      <c r="DL44" s="316"/>
      <c r="DM44" s="14"/>
      <c r="DN44" s="125"/>
      <c r="DO44" s="125"/>
      <c r="DP44" s="316"/>
      <c r="DQ44" s="14"/>
      <c r="DR44" s="125"/>
      <c r="DS44" s="125"/>
      <c r="DT44" s="316"/>
      <c r="DU44" s="14"/>
      <c r="DV44" s="125"/>
      <c r="DW44" s="125"/>
      <c r="DX44" s="316"/>
      <c r="DY44" s="10"/>
      <c r="DZ44" s="125"/>
      <c r="EA44" s="125"/>
      <c r="EB44" s="316"/>
      <c r="EC44" s="14"/>
      <c r="ED44" s="125"/>
      <c r="EE44" s="125"/>
      <c r="EF44" s="316"/>
      <c r="EG44" s="14"/>
      <c r="EH44" s="125"/>
      <c r="EI44" s="125"/>
      <c r="EJ44" s="316"/>
      <c r="EK44" s="14"/>
      <c r="EL44" s="125"/>
      <c r="EM44" s="125"/>
      <c r="EN44" s="316"/>
      <c r="EO44" s="10"/>
      <c r="EP44" s="125"/>
      <c r="EQ44" s="125"/>
      <c r="ER44" s="316"/>
      <c r="ES44" s="14"/>
      <c r="ET44" s="125"/>
      <c r="EU44" s="125"/>
      <c r="EV44" s="316"/>
      <c r="EW44" s="14"/>
      <c r="EX44" s="125"/>
      <c r="EY44" s="125"/>
      <c r="EZ44" s="316"/>
      <c r="FA44" s="14"/>
      <c r="FB44" s="125"/>
      <c r="FC44" s="125"/>
      <c r="FD44" s="316"/>
      <c r="FE44" s="10"/>
      <c r="FF44" s="125"/>
      <c r="FG44" s="125"/>
      <c r="FH44" s="316"/>
      <c r="FI44" s="14"/>
      <c r="FJ44" s="125"/>
      <c r="FK44" s="125"/>
      <c r="FL44" s="316"/>
      <c r="FM44" s="14"/>
      <c r="FN44" s="125"/>
      <c r="FO44" s="125"/>
      <c r="FP44" s="316"/>
      <c r="FQ44" s="14"/>
      <c r="FR44" s="125"/>
      <c r="FS44" s="125"/>
      <c r="FT44" s="316"/>
      <c r="FU44" s="10"/>
      <c r="FV44" s="125"/>
      <c r="FW44" s="125"/>
      <c r="FX44" s="316"/>
      <c r="FY44" s="14"/>
      <c r="FZ44" s="125"/>
      <c r="GA44" s="125"/>
      <c r="GB44" s="316"/>
      <c r="GC44" s="14"/>
      <c r="GD44" s="125"/>
      <c r="GE44" s="125"/>
      <c r="GF44" s="316"/>
      <c r="GG44" s="14"/>
      <c r="GH44" s="125"/>
      <c r="GI44" s="125"/>
      <c r="GJ44" s="316"/>
      <c r="GK44" s="10"/>
      <c r="GL44" s="125"/>
      <c r="GM44" s="125"/>
      <c r="GN44" s="316"/>
      <c r="GO44" s="14"/>
      <c r="GP44" s="125"/>
      <c r="GQ44" s="125"/>
      <c r="GR44" s="316"/>
      <c r="GS44" s="14"/>
      <c r="GT44" s="125"/>
      <c r="GU44" s="125"/>
      <c r="GV44" s="316"/>
      <c r="GW44" s="14"/>
      <c r="GX44" s="125"/>
      <c r="GY44" s="125"/>
      <c r="GZ44" s="316"/>
      <c r="HA44" s="10"/>
      <c r="HB44" s="125"/>
      <c r="HC44" s="125"/>
      <c r="HD44" s="316"/>
      <c r="HE44" s="14"/>
      <c r="HF44" s="125"/>
      <c r="HG44" s="125"/>
      <c r="HH44" s="316"/>
      <c r="HI44" s="14"/>
      <c r="HJ44" s="125"/>
      <c r="HK44" s="125"/>
      <c r="HL44" s="316"/>
      <c r="HM44" s="14"/>
      <c r="HN44" s="125"/>
      <c r="HO44" s="125"/>
      <c r="HP44" s="316"/>
      <c r="HQ44" s="10"/>
      <c r="HR44" s="125"/>
      <c r="HS44" s="125"/>
      <c r="HT44" s="316"/>
      <c r="HU44" s="14"/>
      <c r="HV44" s="125"/>
      <c r="HW44" s="125"/>
      <c r="HX44" s="316"/>
      <c r="HY44" s="14"/>
      <c r="HZ44" s="125"/>
      <c r="IA44" s="125"/>
      <c r="IB44" s="316"/>
      <c r="IC44" s="14"/>
      <c r="ID44" s="125"/>
      <c r="IE44" s="125"/>
      <c r="IF44" s="316"/>
      <c r="IG44" s="10"/>
      <c r="IH44" s="125"/>
      <c r="II44" s="125"/>
      <c r="IJ44" s="316"/>
      <c r="IK44" s="14"/>
      <c r="IL44" s="125"/>
      <c r="IM44" s="125"/>
      <c r="IN44" s="316"/>
      <c r="IO44" s="14"/>
      <c r="IP44" s="125"/>
      <c r="IQ44" s="125"/>
      <c r="IR44" s="316"/>
      <c r="IS44" s="14"/>
      <c r="IT44" s="125"/>
      <c r="IU44" s="125"/>
      <c r="IV44" s="316"/>
      <c r="IW44" s="10"/>
      <c r="IX44" s="125"/>
      <c r="IY44" s="125"/>
      <c r="IZ44" s="316"/>
      <c r="JA44" s="14"/>
      <c r="JB44" s="125"/>
      <c r="JC44" s="125"/>
      <c r="JD44" s="316"/>
      <c r="JE44" s="14"/>
      <c r="JF44" s="125"/>
      <c r="JG44" s="125"/>
      <c r="JH44" s="316"/>
      <c r="JI44" s="14"/>
      <c r="JJ44" s="125"/>
      <c r="JK44" s="125"/>
      <c r="JL44" s="316"/>
      <c r="JM44" s="10"/>
      <c r="JN44" s="125"/>
      <c r="JO44" s="125"/>
      <c r="JP44" s="316"/>
      <c r="JQ44" s="14"/>
      <c r="JR44" s="125"/>
      <c r="JS44" s="125"/>
      <c r="JT44" s="316"/>
      <c r="JU44" s="14"/>
      <c r="JV44" s="125"/>
      <c r="JW44" s="125"/>
      <c r="JX44" s="316"/>
      <c r="JY44" s="14"/>
      <c r="JZ44" s="125"/>
      <c r="KA44" s="125"/>
      <c r="KB44" s="316"/>
      <c r="KC44" s="10"/>
      <c r="KD44" s="125"/>
      <c r="KE44" s="125"/>
      <c r="KF44" s="316"/>
      <c r="KG44" s="14"/>
      <c r="KH44" s="125"/>
      <c r="KI44" s="125"/>
      <c r="KJ44" s="316"/>
      <c r="KK44" s="14"/>
      <c r="KL44" s="125"/>
      <c r="KM44" s="125"/>
      <c r="KN44" s="316"/>
      <c r="KO44" s="14"/>
      <c r="KP44" s="125"/>
      <c r="KQ44" s="125"/>
      <c r="KR44" s="316"/>
      <c r="KS44" s="10"/>
      <c r="KT44" s="125"/>
      <c r="KU44" s="125"/>
      <c r="KV44" s="316"/>
      <c r="KW44" s="14"/>
      <c r="KX44" s="125"/>
      <c r="KY44" s="125"/>
      <c r="KZ44" s="316"/>
      <c r="LA44" s="14"/>
      <c r="LB44" s="125"/>
      <c r="LC44" s="125"/>
      <c r="LD44" s="316"/>
      <c r="LE44" s="14"/>
      <c r="LF44" s="125"/>
      <c r="LG44" s="125"/>
      <c r="LH44" s="316"/>
      <c r="LI44" s="10"/>
      <c r="LJ44" s="125"/>
      <c r="LK44" s="125"/>
      <c r="LL44" s="316"/>
      <c r="LM44" s="14"/>
      <c r="LN44" s="125"/>
      <c r="LO44" s="125"/>
      <c r="LP44" s="316"/>
      <c r="LQ44" s="14"/>
      <c r="LR44" s="125"/>
      <c r="LS44" s="125"/>
      <c r="LT44" s="316"/>
      <c r="LU44" s="14"/>
      <c r="LV44" s="125"/>
      <c r="LW44" s="125"/>
      <c r="LX44" s="316"/>
      <c r="LY44" s="10"/>
      <c r="LZ44" s="125"/>
      <c r="MA44" s="125"/>
      <c r="MB44" s="316"/>
      <c r="MC44" s="14"/>
      <c r="MD44" s="125"/>
      <c r="ME44" s="125"/>
      <c r="MF44" s="316"/>
      <c r="MG44" s="14"/>
      <c r="MH44" s="125"/>
      <c r="MI44" s="125"/>
      <c r="MJ44" s="316"/>
      <c r="MK44" s="14"/>
      <c r="ML44" s="125"/>
      <c r="MM44" s="125"/>
      <c r="MN44" s="316"/>
      <c r="MO44" s="10"/>
      <c r="MP44" s="125"/>
      <c r="MQ44" s="125"/>
      <c r="MR44" s="316"/>
      <c r="MS44" s="14"/>
      <c r="MT44" s="125"/>
      <c r="MU44" s="125"/>
      <c r="MV44" s="316"/>
      <c r="MW44" s="14"/>
      <c r="MX44" s="125"/>
      <c r="MY44" s="125"/>
      <c r="MZ44" s="316"/>
      <c r="NA44" s="14"/>
      <c r="NB44" s="125"/>
      <c r="NC44" s="125"/>
      <c r="ND44" s="316"/>
      <c r="NE44" s="10"/>
      <c r="NF44" s="125"/>
      <c r="NG44" s="125"/>
      <c r="NH44" s="316"/>
      <c r="NI44" s="14"/>
      <c r="NJ44" s="125"/>
      <c r="NK44" s="125"/>
      <c r="NL44" s="316"/>
      <c r="NM44" s="14"/>
      <c r="NN44" s="125"/>
      <c r="NO44" s="125"/>
      <c r="NP44" s="316"/>
      <c r="NQ44" s="14"/>
      <c r="NR44" s="125"/>
      <c r="NS44" s="125"/>
      <c r="NT44" s="316"/>
      <c r="NU44" s="10"/>
      <c r="NV44" s="125"/>
      <c r="NW44" s="125"/>
      <c r="NX44" s="316"/>
      <c r="NY44" s="14"/>
      <c r="NZ44" s="125"/>
      <c r="OA44" s="125"/>
      <c r="OB44" s="316"/>
      <c r="OC44" s="14"/>
      <c r="OD44" s="125"/>
      <c r="OE44" s="125"/>
      <c r="OF44" s="316"/>
      <c r="OG44" s="14"/>
      <c r="OH44" s="125"/>
      <c r="OI44" s="125"/>
      <c r="OJ44" s="316"/>
      <c r="OK44" s="10"/>
      <c r="OL44" s="125"/>
      <c r="OM44" s="125"/>
      <c r="ON44" s="316"/>
      <c r="OO44" s="14"/>
      <c r="OP44" s="125"/>
      <c r="OQ44" s="125"/>
      <c r="OR44" s="316"/>
      <c r="OS44" s="14"/>
      <c r="OT44" s="125"/>
      <c r="OU44" s="125"/>
      <c r="OV44" s="316"/>
      <c r="OW44" s="14"/>
      <c r="OX44" s="125"/>
      <c r="OY44" s="125"/>
      <c r="OZ44" s="316"/>
      <c r="PA44" s="10"/>
      <c r="PB44" s="125"/>
      <c r="PC44" s="125"/>
      <c r="PD44" s="316"/>
      <c r="PE44" s="14"/>
      <c r="PF44" s="125"/>
      <c r="PG44" s="125"/>
      <c r="PH44" s="316"/>
      <c r="PI44" s="14"/>
      <c r="PJ44" s="125"/>
      <c r="PK44" s="125"/>
      <c r="PL44" s="316"/>
      <c r="PM44" s="14"/>
      <c r="PN44" s="125"/>
      <c r="PO44" s="125"/>
      <c r="PP44" s="316"/>
      <c r="PQ44" s="10"/>
      <c r="PR44" s="125"/>
      <c r="PS44" s="125"/>
      <c r="PT44" s="316"/>
      <c r="PU44" s="14"/>
      <c r="PV44" s="125"/>
      <c r="PW44" s="125"/>
      <c r="PX44" s="316"/>
      <c r="PY44" s="14"/>
      <c r="PZ44" s="125"/>
      <c r="QA44" s="125"/>
      <c r="QB44" s="316"/>
      <c r="QC44" s="14"/>
      <c r="QD44" s="125"/>
      <c r="QE44" s="125"/>
      <c r="QF44" s="316"/>
      <c r="QG44" s="10"/>
      <c r="QH44" s="125"/>
      <c r="QI44" s="125"/>
      <c r="QJ44" s="316"/>
      <c r="QK44" s="14"/>
      <c r="QL44" s="125"/>
      <c r="QM44" s="125"/>
      <c r="QN44" s="316"/>
      <c r="QO44" s="14"/>
      <c r="QP44" s="125"/>
      <c r="QQ44" s="125"/>
      <c r="QR44" s="316"/>
      <c r="QS44" s="14"/>
      <c r="QT44" s="125"/>
      <c r="QU44" s="125"/>
      <c r="QV44" s="316"/>
      <c r="QW44" s="10"/>
      <c r="QX44" s="125"/>
      <c r="QY44" s="125"/>
      <c r="QZ44" s="316"/>
      <c r="RA44" s="14"/>
      <c r="RB44" s="125"/>
      <c r="RC44" s="125"/>
      <c r="RD44" s="316"/>
      <c r="RE44" s="14"/>
      <c r="RF44" s="125"/>
      <c r="RG44" s="125"/>
      <c r="RH44" s="316"/>
      <c r="RI44" s="14"/>
      <c r="RJ44" s="125"/>
      <c r="RK44" s="125"/>
      <c r="RL44" s="316"/>
      <c r="RM44" s="10"/>
      <c r="RN44" s="125"/>
      <c r="RO44" s="125"/>
      <c r="RP44" s="316"/>
      <c r="RQ44" s="14"/>
      <c r="RR44" s="125"/>
      <c r="RS44" s="125"/>
      <c r="RT44" s="316"/>
      <c r="RU44" s="14"/>
      <c r="RV44" s="125"/>
      <c r="RW44" s="125"/>
      <c r="RX44" s="316"/>
      <c r="RY44" s="14"/>
      <c r="RZ44" s="125"/>
      <c r="SA44" s="125"/>
      <c r="SB44" s="316"/>
      <c r="SC44" s="10"/>
      <c r="SD44" s="125"/>
      <c r="SE44" s="125"/>
      <c r="SF44" s="316"/>
      <c r="SG44" s="14"/>
      <c r="SH44" s="125"/>
      <c r="SI44" s="125"/>
      <c r="SJ44" s="316"/>
      <c r="SK44" s="14"/>
      <c r="SL44" s="125"/>
      <c r="SM44" s="125"/>
      <c r="SN44" s="316"/>
      <c r="SO44" s="14"/>
      <c r="SP44" s="125"/>
      <c r="SQ44" s="125"/>
      <c r="SR44" s="316"/>
      <c r="SS44" s="10"/>
      <c r="ST44" s="125"/>
      <c r="SU44" s="125"/>
      <c r="SV44" s="316"/>
      <c r="SW44" s="14"/>
      <c r="SX44" s="125"/>
      <c r="SY44" s="125"/>
      <c r="SZ44" s="316"/>
      <c r="TA44" s="14"/>
      <c r="TB44" s="125"/>
      <c r="TC44" s="125"/>
      <c r="TD44" s="316"/>
      <c r="TE44" s="14"/>
      <c r="TF44" s="125"/>
      <c r="TG44" s="125"/>
      <c r="TH44" s="316"/>
      <c r="TI44" s="10"/>
      <c r="TJ44" s="125"/>
      <c r="TK44" s="125"/>
      <c r="TL44" s="316"/>
      <c r="TM44" s="14"/>
      <c r="TN44" s="125"/>
      <c r="TO44" s="125"/>
      <c r="TP44" s="316"/>
      <c r="TQ44" s="14"/>
      <c r="TR44" s="125"/>
      <c r="TS44" s="125"/>
      <c r="TT44" s="316"/>
      <c r="TU44" s="14"/>
      <c r="TV44" s="125"/>
      <c r="TW44" s="125"/>
      <c r="TX44" s="316"/>
      <c r="TY44" s="10"/>
      <c r="TZ44" s="125"/>
      <c r="UA44" s="125"/>
      <c r="UB44" s="316"/>
      <c r="UC44" s="14"/>
      <c r="UD44" s="125"/>
      <c r="UE44" s="125"/>
      <c r="UF44" s="316"/>
      <c r="UG44" s="14"/>
      <c r="UH44" s="125"/>
      <c r="UI44" s="125"/>
      <c r="UJ44" s="316"/>
      <c r="UK44" s="14"/>
      <c r="UL44" s="125"/>
      <c r="UM44" s="125"/>
      <c r="UN44" s="316"/>
      <c r="UO44" s="10"/>
      <c r="UP44" s="125"/>
      <c r="UQ44" s="125"/>
      <c r="UR44" s="316"/>
      <c r="US44" s="14"/>
      <c r="UT44" s="125"/>
      <c r="UU44" s="125"/>
      <c r="UV44" s="316"/>
      <c r="UW44" s="14"/>
      <c r="UX44" s="125"/>
      <c r="UY44" s="125"/>
      <c r="UZ44" s="316"/>
      <c r="VA44" s="14"/>
      <c r="VB44" s="125"/>
      <c r="VC44" s="125"/>
      <c r="VD44" s="316"/>
      <c r="VE44" s="10"/>
      <c r="VF44" s="125"/>
      <c r="VG44" s="125"/>
      <c r="VH44" s="316"/>
      <c r="VI44" s="14"/>
      <c r="VJ44" s="125"/>
      <c r="VK44" s="125"/>
      <c r="VL44" s="316"/>
      <c r="VM44" s="14"/>
      <c r="VN44" s="125"/>
      <c r="VO44" s="125"/>
      <c r="VP44" s="316"/>
      <c r="VQ44" s="14"/>
      <c r="VR44" s="125"/>
      <c r="VS44" s="125"/>
      <c r="VT44" s="316"/>
      <c r="VU44" s="10"/>
      <c r="VV44" s="125"/>
      <c r="VW44" s="125"/>
      <c r="VX44" s="316"/>
      <c r="VY44" s="14"/>
      <c r="VZ44" s="125"/>
      <c r="WA44" s="125"/>
      <c r="WB44" s="316"/>
      <c r="WC44" s="14"/>
      <c r="WD44" s="125"/>
      <c r="WE44" s="125"/>
      <c r="WF44" s="316"/>
      <c r="WG44" s="14"/>
      <c r="WH44" s="125"/>
      <c r="WI44" s="125"/>
      <c r="WJ44" s="316"/>
      <c r="WK44" s="10"/>
      <c r="WL44" s="125"/>
      <c r="WM44" s="125"/>
      <c r="WN44" s="316"/>
      <c r="WO44" s="14"/>
      <c r="WP44" s="125"/>
      <c r="WQ44" s="125"/>
      <c r="WR44" s="316"/>
      <c r="WS44" s="14"/>
      <c r="WT44" s="125"/>
      <c r="WU44" s="125"/>
      <c r="WV44" s="316"/>
      <c r="WW44" s="14"/>
      <c r="WX44" s="125"/>
      <c r="WY44" s="125"/>
      <c r="WZ44" s="316"/>
      <c r="XA44" s="10"/>
      <c r="XB44" s="125"/>
      <c r="XC44" s="125"/>
      <c r="XD44" s="316"/>
      <c r="XE44" s="14"/>
      <c r="XF44" s="125"/>
      <c r="XG44" s="125"/>
      <c r="XH44" s="316"/>
      <c r="XI44" s="14"/>
      <c r="XJ44" s="125"/>
      <c r="XK44" s="125"/>
      <c r="XL44" s="316"/>
      <c r="XM44" s="14"/>
      <c r="XN44" s="125"/>
      <c r="XO44" s="125"/>
      <c r="XP44" s="316"/>
      <c r="XQ44" s="10"/>
      <c r="XR44" s="125"/>
      <c r="XS44" s="125"/>
      <c r="XT44" s="316"/>
      <c r="XU44" s="14"/>
      <c r="XV44" s="125"/>
      <c r="XW44" s="125"/>
      <c r="XX44" s="316"/>
      <c r="XY44" s="14"/>
      <c r="XZ44" s="125"/>
      <c r="YA44" s="125"/>
      <c r="YB44" s="316"/>
      <c r="YC44" s="14"/>
      <c r="YD44" s="125"/>
      <c r="YE44" s="125"/>
      <c r="YF44" s="316"/>
      <c r="YG44" s="10"/>
      <c r="YH44" s="125"/>
      <c r="YI44" s="125"/>
      <c r="YJ44" s="316"/>
      <c r="YK44" s="14"/>
      <c r="YL44" s="125"/>
      <c r="YM44" s="125"/>
      <c r="YN44" s="316"/>
      <c r="YO44" s="14"/>
      <c r="YP44" s="125"/>
      <c r="YQ44" s="125"/>
      <c r="YR44" s="316"/>
      <c r="YS44" s="14"/>
      <c r="YT44" s="125"/>
      <c r="YU44" s="125"/>
      <c r="YV44" s="316"/>
      <c r="YW44" s="10"/>
      <c r="YX44" s="125"/>
      <c r="YY44" s="125"/>
      <c r="YZ44" s="316"/>
      <c r="ZA44" s="14"/>
      <c r="ZB44" s="125"/>
      <c r="ZC44" s="125"/>
      <c r="ZD44" s="316"/>
      <c r="ZE44" s="14"/>
      <c r="ZF44" s="125"/>
      <c r="ZG44" s="125"/>
      <c r="ZH44" s="316"/>
      <c r="ZI44" s="14"/>
      <c r="ZJ44" s="125"/>
      <c r="ZK44" s="125"/>
      <c r="ZL44" s="316"/>
      <c r="ZM44" s="10"/>
      <c r="ZN44" s="125"/>
      <c r="ZO44" s="125"/>
      <c r="ZP44" s="316"/>
      <c r="ZQ44" s="14"/>
      <c r="ZR44" s="125"/>
      <c r="ZS44" s="125"/>
      <c r="ZT44" s="316"/>
      <c r="ZU44" s="14"/>
      <c r="ZV44" s="125"/>
      <c r="ZW44" s="125"/>
      <c r="ZX44" s="316"/>
      <c r="ZY44" s="14"/>
      <c r="ZZ44" s="125"/>
      <c r="AAA44" s="125"/>
      <c r="AAB44" s="316"/>
      <c r="AAC44" s="10"/>
      <c r="AAD44" s="125"/>
      <c r="AAE44" s="125"/>
      <c r="AAF44" s="316"/>
      <c r="AAG44" s="14"/>
      <c r="AAH44" s="125"/>
      <c r="AAI44" s="125"/>
      <c r="AAJ44" s="316"/>
      <c r="AAK44" s="14"/>
      <c r="AAL44" s="125"/>
      <c r="AAM44" s="125"/>
      <c r="AAN44" s="316"/>
      <c r="AAO44" s="14"/>
      <c r="AAP44" s="125"/>
      <c r="AAQ44" s="125"/>
      <c r="AAR44" s="316"/>
      <c r="AAS44" s="10"/>
      <c r="AAT44" s="125"/>
      <c r="AAU44" s="125"/>
      <c r="AAV44" s="316"/>
      <c r="AAW44" s="14"/>
      <c r="AAX44" s="125"/>
      <c r="AAY44" s="125"/>
      <c r="AAZ44" s="316"/>
      <c r="ABA44" s="14"/>
      <c r="ABB44" s="125"/>
      <c r="ABC44" s="125"/>
      <c r="ABD44" s="316"/>
      <c r="ABE44" s="14"/>
      <c r="ABF44" s="125"/>
      <c r="ABG44" s="125"/>
      <c r="ABH44" s="316"/>
      <c r="ABI44" s="10"/>
      <c r="ABJ44" s="125"/>
      <c r="ABK44" s="125"/>
      <c r="ABL44" s="316"/>
      <c r="ABM44" s="14"/>
      <c r="ABN44" s="125"/>
      <c r="ABO44" s="125"/>
      <c r="ABP44" s="316"/>
      <c r="ABQ44" s="14"/>
      <c r="ABR44" s="125"/>
      <c r="ABS44" s="125"/>
      <c r="ABT44" s="316"/>
      <c r="ABU44" s="14"/>
      <c r="ABV44" s="125"/>
      <c r="ABW44" s="125"/>
      <c r="ABX44" s="316"/>
      <c r="ABY44" s="10"/>
      <c r="ABZ44" s="125"/>
      <c r="ACA44" s="125"/>
      <c r="ACB44" s="316"/>
      <c r="ACC44" s="14"/>
      <c r="ACD44" s="125"/>
      <c r="ACE44" s="125"/>
      <c r="ACF44" s="316"/>
      <c r="ACG44" s="14"/>
      <c r="ACH44" s="125"/>
      <c r="ACI44" s="125"/>
      <c r="ACJ44" s="316"/>
      <c r="ACK44" s="14"/>
      <c r="ACL44" s="125"/>
      <c r="ACM44" s="125"/>
      <c r="ACN44" s="316"/>
      <c r="ACO44" s="10"/>
      <c r="ACP44" s="125"/>
      <c r="ACQ44" s="125"/>
      <c r="ACR44" s="316"/>
      <c r="ACS44" s="14"/>
      <c r="ACT44" s="125"/>
      <c r="ACU44" s="125"/>
      <c r="ACV44" s="316"/>
      <c r="ACW44" s="14"/>
      <c r="ACX44" s="125"/>
      <c r="ACY44" s="125"/>
      <c r="ACZ44" s="316"/>
      <c r="ADA44" s="14"/>
      <c r="ADB44" s="125"/>
      <c r="ADC44" s="125"/>
      <c r="ADD44" s="316"/>
      <c r="ADE44" s="10"/>
      <c r="ADF44" s="125"/>
      <c r="ADG44" s="125"/>
      <c r="ADH44" s="316"/>
      <c r="ADI44" s="14"/>
      <c r="ADJ44" s="125"/>
      <c r="ADK44" s="125"/>
      <c r="ADL44" s="316"/>
      <c r="ADM44" s="14"/>
      <c r="ADN44" s="125"/>
      <c r="ADO44" s="125"/>
      <c r="ADP44" s="316"/>
      <c r="ADQ44" s="14"/>
      <c r="ADR44" s="125"/>
      <c r="ADS44" s="125"/>
      <c r="ADT44" s="316"/>
      <c r="ADU44" s="10"/>
      <c r="ADV44" s="125"/>
      <c r="ADW44" s="125"/>
      <c r="ADX44" s="316"/>
      <c r="ADY44" s="14"/>
      <c r="ADZ44" s="125"/>
      <c r="AEA44" s="125"/>
      <c r="AEB44" s="316"/>
      <c r="AEC44" s="14"/>
      <c r="AED44" s="125"/>
      <c r="AEE44" s="125"/>
      <c r="AEF44" s="316"/>
      <c r="AEG44" s="14"/>
      <c r="AEH44" s="125"/>
      <c r="AEI44" s="125"/>
      <c r="AEJ44" s="316"/>
      <c r="AEK44" s="10"/>
      <c r="AEL44" s="125"/>
      <c r="AEM44" s="125"/>
      <c r="AEN44" s="316"/>
      <c r="AEO44" s="14"/>
      <c r="AEP44" s="125"/>
      <c r="AEQ44" s="125"/>
      <c r="AER44" s="316"/>
      <c r="AES44" s="14"/>
      <c r="AET44" s="125"/>
      <c r="AEU44" s="125"/>
      <c r="AEV44" s="316"/>
      <c r="AEW44" s="14"/>
      <c r="AEX44" s="125"/>
      <c r="AEY44" s="125"/>
      <c r="AEZ44" s="316"/>
      <c r="AFA44" s="10"/>
      <c r="AFB44" s="125"/>
      <c r="AFC44" s="125"/>
      <c r="AFD44" s="316"/>
      <c r="AFE44" s="14"/>
      <c r="AFF44" s="125"/>
      <c r="AFG44" s="125"/>
      <c r="AFH44" s="316"/>
      <c r="AFI44" s="14"/>
      <c r="AFJ44" s="125"/>
      <c r="AFK44" s="125"/>
      <c r="AFL44" s="316"/>
      <c r="AFM44" s="14"/>
      <c r="AFN44" s="125"/>
      <c r="AFO44" s="125"/>
      <c r="AFP44" s="316"/>
      <c r="AFQ44" s="10"/>
      <c r="AFR44" s="125"/>
      <c r="AFS44" s="125"/>
      <c r="AFT44" s="316"/>
      <c r="AFU44" s="14"/>
      <c r="AFV44" s="125"/>
      <c r="AFW44" s="125"/>
      <c r="AFX44" s="316"/>
      <c r="AFY44" s="14"/>
      <c r="AFZ44" s="125"/>
      <c r="AGA44" s="125"/>
      <c r="AGB44" s="316"/>
      <c r="AGC44" s="14"/>
      <c r="AGD44" s="125"/>
      <c r="AGE44" s="125"/>
      <c r="AGF44" s="316"/>
      <c r="AGG44" s="10"/>
      <c r="AGH44" s="125"/>
      <c r="AGI44" s="125"/>
      <c r="AGJ44" s="316"/>
      <c r="AGK44" s="14"/>
      <c r="AGL44" s="125"/>
      <c r="AGM44" s="125"/>
      <c r="AGN44" s="316"/>
      <c r="AGO44" s="14"/>
      <c r="AGP44" s="125"/>
      <c r="AGQ44" s="125"/>
      <c r="AGR44" s="316"/>
      <c r="AGS44" s="14"/>
      <c r="AGT44" s="125"/>
      <c r="AGU44" s="125"/>
      <c r="AGV44" s="316"/>
      <c r="AGW44" s="10"/>
      <c r="AGX44" s="125"/>
      <c r="AGY44" s="125"/>
      <c r="AGZ44" s="316"/>
      <c r="AHA44" s="14"/>
      <c r="AHB44" s="125"/>
      <c r="AHC44" s="125"/>
      <c r="AHD44" s="316"/>
      <c r="AHE44" s="14"/>
      <c r="AHF44" s="125"/>
      <c r="AHG44" s="125"/>
      <c r="AHH44" s="316"/>
      <c r="AHI44" s="14"/>
      <c r="AHJ44" s="125"/>
      <c r="AHK44" s="125"/>
      <c r="AHL44" s="316"/>
      <c r="AHM44" s="10"/>
      <c r="AHN44" s="125"/>
      <c r="AHO44" s="125"/>
      <c r="AHP44" s="316"/>
      <c r="AHQ44" s="14"/>
      <c r="AHR44" s="125"/>
      <c r="AHS44" s="125"/>
      <c r="AHT44" s="316"/>
      <c r="AHU44" s="14"/>
      <c r="AHV44" s="125"/>
      <c r="AHW44" s="125"/>
      <c r="AHX44" s="316"/>
      <c r="AHY44" s="14"/>
      <c r="AHZ44" s="125"/>
      <c r="AIA44" s="125"/>
      <c r="AIB44" s="316"/>
      <c r="AIC44" s="10"/>
      <c r="AID44" s="125"/>
      <c r="AIE44" s="125"/>
      <c r="AIF44" s="316"/>
      <c r="AIG44" s="14"/>
      <c r="AIH44" s="125"/>
      <c r="AII44" s="125"/>
      <c r="AIJ44" s="316"/>
      <c r="AIK44" s="14"/>
      <c r="AIL44" s="125"/>
      <c r="AIM44" s="125"/>
      <c r="AIN44" s="316"/>
      <c r="AIO44" s="14"/>
      <c r="AIP44" s="125"/>
      <c r="AIQ44" s="125"/>
      <c r="AIR44" s="316"/>
      <c r="AIS44" s="10"/>
      <c r="AIT44" s="125"/>
      <c r="AIU44" s="125"/>
      <c r="AIV44" s="316"/>
      <c r="AIW44" s="14"/>
      <c r="AIX44" s="125"/>
      <c r="AIY44" s="125"/>
      <c r="AIZ44" s="316"/>
      <c r="AJA44" s="14"/>
      <c r="AJB44" s="125"/>
      <c r="AJC44" s="125"/>
      <c r="AJD44" s="316"/>
      <c r="AJE44" s="14"/>
      <c r="AJF44" s="125"/>
      <c r="AJG44" s="125"/>
      <c r="AJH44" s="316"/>
      <c r="AJI44" s="10"/>
      <c r="AJJ44" s="125"/>
      <c r="AJK44" s="125"/>
      <c r="AJL44" s="316"/>
      <c r="AJM44" s="14"/>
      <c r="AJN44" s="125"/>
      <c r="AJO44" s="125"/>
      <c r="AJP44" s="316"/>
      <c r="AJQ44" s="14"/>
      <c r="AJR44" s="125"/>
      <c r="AJS44" s="125"/>
      <c r="AJT44" s="316"/>
      <c r="AJU44" s="14"/>
      <c r="AJV44" s="125"/>
      <c r="AJW44" s="125"/>
      <c r="AJX44" s="316"/>
      <c r="AJY44" s="10"/>
      <c r="AJZ44" s="125"/>
      <c r="AKA44" s="125"/>
      <c r="AKB44" s="316"/>
      <c r="AKC44" s="14"/>
      <c r="AKD44" s="125"/>
      <c r="AKE44" s="125"/>
      <c r="AKF44" s="316"/>
      <c r="AKG44" s="14"/>
      <c r="AKH44" s="125"/>
      <c r="AKI44" s="125"/>
      <c r="AKJ44" s="316"/>
      <c r="AKK44" s="14"/>
      <c r="AKL44" s="125"/>
      <c r="AKM44" s="125"/>
      <c r="AKN44" s="316"/>
      <c r="AKO44" s="10"/>
      <c r="AKP44" s="125"/>
      <c r="AKQ44" s="125"/>
      <c r="AKR44" s="316"/>
      <c r="AKS44" s="14"/>
      <c r="AKT44" s="125"/>
      <c r="AKU44" s="125"/>
      <c r="AKV44" s="316"/>
      <c r="AKW44" s="14"/>
      <c r="AKX44" s="125"/>
      <c r="AKY44" s="125"/>
      <c r="AKZ44" s="316"/>
      <c r="ALA44" s="14"/>
      <c r="ALB44" s="125"/>
      <c r="ALC44" s="125"/>
      <c r="ALD44" s="316"/>
      <c r="ALE44" s="10"/>
      <c r="ALF44" s="125"/>
      <c r="ALG44" s="125"/>
      <c r="ALH44" s="316"/>
      <c r="ALI44" s="14"/>
      <c r="ALJ44" s="125"/>
      <c r="ALK44" s="125"/>
      <c r="ALL44" s="316"/>
      <c r="ALM44" s="14"/>
      <c r="ALN44" s="125"/>
      <c r="ALO44" s="125"/>
      <c r="ALP44" s="316"/>
      <c r="ALQ44" s="14"/>
      <c r="ALR44" s="125"/>
      <c r="ALS44" s="125"/>
      <c r="ALT44" s="316"/>
      <c r="ALU44" s="10"/>
      <c r="ALV44" s="125"/>
      <c r="ALW44" s="125"/>
      <c r="ALX44" s="316"/>
      <c r="ALY44" s="14"/>
      <c r="ALZ44" s="125"/>
      <c r="AMA44" s="125"/>
      <c r="AMB44" s="316"/>
      <c r="AMC44" s="14"/>
      <c r="AMD44" s="125"/>
      <c r="AME44" s="125"/>
      <c r="AMF44" s="316"/>
      <c r="AMG44" s="14"/>
      <c r="AMH44" s="125"/>
      <c r="AMI44" s="125"/>
      <c r="AMJ44" s="316"/>
      <c r="AMK44" s="10"/>
      <c r="AML44" s="125"/>
      <c r="AMM44" s="125"/>
      <c r="AMN44" s="316"/>
      <c r="AMO44" s="14"/>
      <c r="AMP44" s="125"/>
      <c r="AMQ44" s="125"/>
      <c r="AMR44" s="316"/>
      <c r="AMS44" s="14"/>
      <c r="AMT44" s="125"/>
      <c r="AMU44" s="125"/>
      <c r="AMV44" s="316"/>
      <c r="AMW44" s="14"/>
      <c r="AMX44" s="125"/>
      <c r="AMY44" s="125"/>
      <c r="AMZ44" s="316"/>
      <c r="ANA44" s="10"/>
      <c r="ANB44" s="125"/>
      <c r="ANC44" s="125"/>
      <c r="AND44" s="316"/>
      <c r="ANE44" s="14"/>
      <c r="ANF44" s="125"/>
      <c r="ANG44" s="125"/>
      <c r="ANH44" s="316"/>
      <c r="ANI44" s="14"/>
      <c r="ANJ44" s="125"/>
      <c r="ANK44" s="125"/>
      <c r="ANL44" s="316"/>
      <c r="ANM44" s="14"/>
      <c r="ANN44" s="125"/>
      <c r="ANO44" s="125"/>
      <c r="ANP44" s="316"/>
      <c r="ANQ44" s="10"/>
      <c r="ANR44" s="125"/>
      <c r="ANS44" s="125"/>
      <c r="ANT44" s="316"/>
      <c r="ANU44" s="14"/>
      <c r="ANV44" s="125"/>
      <c r="ANW44" s="125"/>
      <c r="ANX44" s="316"/>
      <c r="ANY44" s="14"/>
      <c r="ANZ44" s="125"/>
      <c r="AOA44" s="125"/>
      <c r="AOB44" s="316"/>
      <c r="AOC44" s="14"/>
      <c r="AOD44" s="125"/>
      <c r="AOE44" s="125"/>
      <c r="AOF44" s="316"/>
      <c r="AOG44" s="10"/>
      <c r="AOH44" s="125"/>
      <c r="AOI44" s="125"/>
      <c r="AOJ44" s="316"/>
      <c r="AOK44" s="14"/>
      <c r="AOL44" s="125"/>
      <c r="AOM44" s="125"/>
      <c r="AON44" s="316"/>
      <c r="AOO44" s="14"/>
      <c r="AOP44" s="125"/>
      <c r="AOQ44" s="125"/>
      <c r="AOR44" s="316"/>
      <c r="AOS44" s="14"/>
      <c r="AOT44" s="125"/>
      <c r="AOU44" s="125"/>
      <c r="AOV44" s="316"/>
      <c r="AOW44" s="10"/>
      <c r="AOX44" s="125"/>
      <c r="AOY44" s="125"/>
      <c r="AOZ44" s="316"/>
      <c r="APA44" s="14"/>
      <c r="APB44" s="125"/>
      <c r="APC44" s="125"/>
      <c r="APD44" s="316"/>
      <c r="APE44" s="14"/>
      <c r="APF44" s="125"/>
      <c r="APG44" s="125"/>
      <c r="APH44" s="316"/>
      <c r="API44" s="14"/>
      <c r="APJ44" s="125"/>
      <c r="APK44" s="125"/>
      <c r="APL44" s="316"/>
      <c r="APM44" s="10"/>
      <c r="APN44" s="125"/>
      <c r="APO44" s="125"/>
      <c r="APP44" s="316"/>
      <c r="APQ44" s="14"/>
      <c r="APR44" s="125"/>
      <c r="APS44" s="125"/>
      <c r="APT44" s="316"/>
      <c r="APU44" s="14"/>
      <c r="APV44" s="125"/>
      <c r="APW44" s="125"/>
      <c r="APX44" s="316"/>
      <c r="APY44" s="14"/>
      <c r="APZ44" s="125"/>
      <c r="AQA44" s="125"/>
      <c r="AQB44" s="316"/>
      <c r="AQC44" s="10"/>
      <c r="AQD44" s="125"/>
      <c r="AQE44" s="125"/>
      <c r="AQF44" s="316"/>
      <c r="AQG44" s="14"/>
      <c r="AQH44" s="125"/>
      <c r="AQI44" s="125"/>
      <c r="AQJ44" s="316"/>
      <c r="AQK44" s="14"/>
      <c r="AQL44" s="125"/>
      <c r="AQM44" s="125"/>
      <c r="AQN44" s="316"/>
      <c r="AQO44" s="14"/>
      <c r="AQP44" s="125"/>
      <c r="AQQ44" s="125"/>
      <c r="AQR44" s="316"/>
      <c r="AQS44" s="10"/>
      <c r="AQT44" s="125"/>
      <c r="AQU44" s="125"/>
      <c r="AQV44" s="316"/>
      <c r="AQW44" s="14"/>
      <c r="AQX44" s="125"/>
      <c r="AQY44" s="125"/>
      <c r="AQZ44" s="316"/>
      <c r="ARA44" s="14"/>
      <c r="ARB44" s="125"/>
      <c r="ARC44" s="125"/>
      <c r="ARD44" s="316"/>
      <c r="ARE44" s="14"/>
      <c r="ARF44" s="125"/>
      <c r="ARG44" s="125"/>
      <c r="ARH44" s="316"/>
      <c r="ARI44" s="10"/>
      <c r="ARJ44" s="125"/>
      <c r="ARK44" s="125"/>
      <c r="ARL44" s="316"/>
      <c r="ARM44" s="14"/>
      <c r="ARN44" s="125"/>
      <c r="ARO44" s="125"/>
      <c r="ARP44" s="316"/>
      <c r="ARQ44" s="14"/>
      <c r="ARR44" s="125"/>
      <c r="ARS44" s="125"/>
      <c r="ART44" s="316"/>
      <c r="ARU44" s="14"/>
      <c r="ARV44" s="125"/>
      <c r="ARW44" s="125"/>
      <c r="ARX44" s="316"/>
      <c r="ARY44" s="10"/>
      <c r="ARZ44" s="125"/>
      <c r="ASA44" s="125"/>
      <c r="ASB44" s="316"/>
      <c r="ASC44" s="14"/>
      <c r="ASD44" s="125"/>
      <c r="ASE44" s="125"/>
      <c r="ASF44" s="316"/>
      <c r="ASG44" s="14"/>
      <c r="ASH44" s="125"/>
      <c r="ASI44" s="125"/>
      <c r="ASJ44" s="316"/>
      <c r="ASK44" s="14"/>
      <c r="ASL44" s="125"/>
      <c r="ASM44" s="125"/>
      <c r="ASN44" s="316"/>
      <c r="ASO44" s="10"/>
      <c r="ASP44" s="125"/>
      <c r="ASQ44" s="125"/>
      <c r="ASR44" s="316"/>
      <c r="ASS44" s="14"/>
      <c r="AST44" s="125"/>
      <c r="ASU44" s="125"/>
      <c r="ASV44" s="316"/>
      <c r="ASW44" s="14"/>
      <c r="ASX44" s="125"/>
      <c r="ASY44" s="125"/>
      <c r="ASZ44" s="316"/>
      <c r="ATA44" s="14"/>
      <c r="ATB44" s="125"/>
      <c r="ATC44" s="125"/>
      <c r="ATD44" s="316"/>
      <c r="ATE44" s="10"/>
      <c r="ATF44" s="125"/>
      <c r="ATG44" s="125"/>
      <c r="ATH44" s="316"/>
      <c r="ATI44" s="14"/>
      <c r="ATJ44" s="125"/>
      <c r="ATK44" s="125"/>
      <c r="ATL44" s="316"/>
      <c r="ATM44" s="14"/>
      <c r="ATN44" s="125"/>
      <c r="ATO44" s="125"/>
      <c r="ATP44" s="316"/>
      <c r="ATQ44" s="14"/>
      <c r="ATR44" s="125"/>
      <c r="ATS44" s="125"/>
      <c r="ATT44" s="316"/>
      <c r="ATU44" s="10"/>
      <c r="ATV44" s="125"/>
      <c r="ATW44" s="125"/>
      <c r="ATX44" s="316"/>
      <c r="ATY44" s="14"/>
      <c r="ATZ44" s="125"/>
      <c r="AUA44" s="125"/>
      <c r="AUB44" s="316"/>
      <c r="AUC44" s="14"/>
      <c r="AUD44" s="125"/>
      <c r="AUE44" s="125"/>
      <c r="AUF44" s="316"/>
      <c r="AUG44" s="14"/>
      <c r="AUH44" s="125"/>
      <c r="AUI44" s="125"/>
      <c r="AUJ44" s="316"/>
      <c r="AUK44" s="10"/>
      <c r="AUL44" s="125"/>
      <c r="AUM44" s="125"/>
      <c r="AUN44" s="316"/>
      <c r="AUO44" s="14"/>
      <c r="AUP44" s="125"/>
      <c r="AUQ44" s="125"/>
      <c r="AUR44" s="316"/>
      <c r="AUS44" s="14"/>
      <c r="AUT44" s="125"/>
      <c r="AUU44" s="125"/>
      <c r="AUV44" s="316"/>
      <c r="AUW44" s="14"/>
      <c r="AUX44" s="125"/>
      <c r="AUY44" s="125"/>
      <c r="AUZ44" s="316"/>
      <c r="AVA44" s="10"/>
      <c r="AVB44" s="125"/>
      <c r="AVC44" s="125"/>
      <c r="AVD44" s="316"/>
      <c r="AVE44" s="14"/>
      <c r="AVF44" s="125"/>
      <c r="AVG44" s="125"/>
      <c r="AVH44" s="316"/>
      <c r="AVI44" s="14"/>
      <c r="AVJ44" s="125"/>
      <c r="AVK44" s="125"/>
      <c r="AVL44" s="316"/>
      <c r="AVM44" s="14"/>
      <c r="AVN44" s="125"/>
      <c r="AVO44" s="125"/>
      <c r="AVP44" s="316"/>
      <c r="AVQ44" s="10"/>
      <c r="AVR44" s="125"/>
      <c r="AVS44" s="125"/>
      <c r="AVT44" s="316"/>
      <c r="AVU44" s="14"/>
      <c r="AVV44" s="125"/>
      <c r="AVW44" s="125"/>
      <c r="AVX44" s="316"/>
      <c r="AVY44" s="14"/>
      <c r="AVZ44" s="125"/>
      <c r="AWA44" s="125"/>
      <c r="AWB44" s="316"/>
      <c r="AWC44" s="14"/>
      <c r="AWD44" s="125"/>
      <c r="AWE44" s="125"/>
      <c r="AWF44" s="316"/>
      <c r="AWG44" s="10"/>
      <c r="AWH44" s="125"/>
      <c r="AWI44" s="125"/>
      <c r="AWJ44" s="316"/>
      <c r="AWK44" s="14"/>
      <c r="AWL44" s="125"/>
      <c r="AWM44" s="125"/>
      <c r="AWN44" s="316"/>
      <c r="AWO44" s="14"/>
      <c r="AWP44" s="125"/>
      <c r="AWQ44" s="125"/>
      <c r="AWR44" s="316"/>
      <c r="AWS44" s="14"/>
      <c r="AWT44" s="125"/>
      <c r="AWU44" s="125"/>
      <c r="AWV44" s="316"/>
      <c r="AWW44" s="10"/>
      <c r="AWX44" s="125"/>
      <c r="AWY44" s="125"/>
      <c r="AWZ44" s="316"/>
      <c r="AXA44" s="14"/>
      <c r="AXB44" s="125"/>
      <c r="AXC44" s="125"/>
      <c r="AXD44" s="316"/>
      <c r="AXE44" s="14"/>
      <c r="AXF44" s="125"/>
      <c r="AXG44" s="125"/>
      <c r="AXH44" s="316"/>
      <c r="AXI44" s="14"/>
      <c r="AXJ44" s="125"/>
      <c r="AXK44" s="125"/>
      <c r="AXL44" s="316"/>
      <c r="AXM44" s="10"/>
      <c r="AXN44" s="125"/>
      <c r="AXO44" s="125"/>
      <c r="AXP44" s="316"/>
      <c r="AXQ44" s="14"/>
      <c r="AXR44" s="125"/>
      <c r="AXS44" s="125"/>
      <c r="AXT44" s="316"/>
      <c r="AXU44" s="14"/>
      <c r="AXV44" s="125"/>
      <c r="AXW44" s="125"/>
      <c r="AXX44" s="316"/>
      <c r="AXY44" s="14"/>
      <c r="AXZ44" s="125"/>
      <c r="AYA44" s="125"/>
      <c r="AYB44" s="316"/>
      <c r="AYC44" s="10"/>
      <c r="AYD44" s="125"/>
      <c r="AYE44" s="125"/>
      <c r="AYF44" s="316"/>
      <c r="AYG44" s="14"/>
      <c r="AYH44" s="125"/>
      <c r="AYI44" s="125"/>
      <c r="AYJ44" s="316"/>
      <c r="AYK44" s="14"/>
      <c r="AYL44" s="125"/>
      <c r="AYM44" s="125"/>
      <c r="AYN44" s="316"/>
      <c r="AYO44" s="14"/>
      <c r="AYP44" s="125"/>
      <c r="AYQ44" s="125"/>
      <c r="AYR44" s="316"/>
      <c r="AYS44" s="10"/>
      <c r="AYT44" s="125"/>
      <c r="AYU44" s="125"/>
      <c r="AYV44" s="316"/>
      <c r="AYW44" s="14"/>
      <c r="AYX44" s="125"/>
      <c r="AYY44" s="125"/>
      <c r="AYZ44" s="316"/>
      <c r="AZA44" s="14"/>
      <c r="AZB44" s="125"/>
      <c r="AZC44" s="125"/>
      <c r="AZD44" s="316"/>
      <c r="AZE44" s="14"/>
      <c r="AZF44" s="125"/>
      <c r="AZG44" s="125"/>
      <c r="AZH44" s="316"/>
      <c r="AZI44" s="10"/>
      <c r="AZJ44" s="125"/>
      <c r="AZK44" s="125"/>
      <c r="AZL44" s="316"/>
      <c r="AZM44" s="14"/>
      <c r="AZN44" s="125"/>
      <c r="AZO44" s="125"/>
      <c r="AZP44" s="316"/>
      <c r="AZQ44" s="14"/>
      <c r="AZR44" s="125"/>
      <c r="AZS44" s="125"/>
      <c r="AZT44" s="316"/>
      <c r="AZU44" s="14"/>
      <c r="AZV44" s="125"/>
      <c r="AZW44" s="125"/>
      <c r="AZX44" s="316"/>
      <c r="AZY44" s="10"/>
      <c r="AZZ44" s="125"/>
      <c r="BAA44" s="125"/>
      <c r="BAB44" s="316"/>
      <c r="BAC44" s="14"/>
      <c r="BAD44" s="125"/>
      <c r="BAE44" s="125"/>
      <c r="BAF44" s="316"/>
      <c r="BAG44" s="14"/>
      <c r="BAH44" s="125"/>
      <c r="BAI44" s="125"/>
      <c r="BAJ44" s="316"/>
      <c r="BAK44" s="14"/>
      <c r="BAL44" s="125"/>
      <c r="BAM44" s="125"/>
      <c r="BAN44" s="316"/>
      <c r="BAO44" s="10"/>
      <c r="BAP44" s="125"/>
      <c r="BAQ44" s="125"/>
      <c r="BAR44" s="316"/>
      <c r="BAS44" s="14"/>
      <c r="BAT44" s="125"/>
      <c r="BAU44" s="125"/>
      <c r="BAV44" s="316"/>
      <c r="BAW44" s="14"/>
      <c r="BAX44" s="125"/>
      <c r="BAY44" s="125"/>
      <c r="BAZ44" s="316"/>
      <c r="BBA44" s="14"/>
      <c r="BBB44" s="125"/>
      <c r="BBC44" s="125"/>
      <c r="BBD44" s="316"/>
      <c r="BBE44" s="10"/>
      <c r="BBF44" s="125"/>
      <c r="BBG44" s="125"/>
      <c r="BBH44" s="316"/>
      <c r="BBI44" s="14"/>
      <c r="BBJ44" s="125"/>
      <c r="BBK44" s="125"/>
      <c r="BBL44" s="316"/>
      <c r="BBM44" s="14"/>
      <c r="BBN44" s="125"/>
      <c r="BBO44" s="125"/>
      <c r="BBP44" s="316"/>
      <c r="BBQ44" s="14"/>
      <c r="BBR44" s="125"/>
      <c r="BBS44" s="125"/>
      <c r="BBT44" s="316"/>
      <c r="BBU44" s="10"/>
      <c r="BBV44" s="125"/>
      <c r="BBW44" s="125"/>
      <c r="BBX44" s="316"/>
      <c r="BBY44" s="14"/>
      <c r="BBZ44" s="125"/>
      <c r="BCA44" s="125"/>
      <c r="BCB44" s="316"/>
      <c r="BCC44" s="14"/>
      <c r="BCD44" s="125"/>
      <c r="BCE44" s="125"/>
      <c r="BCF44" s="316"/>
      <c r="BCG44" s="14"/>
      <c r="BCH44" s="125"/>
      <c r="BCI44" s="125"/>
      <c r="BCJ44" s="316"/>
      <c r="BCK44" s="10"/>
      <c r="BCL44" s="125"/>
      <c r="BCM44" s="125"/>
      <c r="BCN44" s="316"/>
      <c r="BCO44" s="14"/>
      <c r="BCP44" s="125"/>
      <c r="BCQ44" s="125"/>
      <c r="BCR44" s="316"/>
      <c r="BCS44" s="14"/>
      <c r="BCT44" s="125"/>
      <c r="BCU44" s="125"/>
      <c r="BCV44" s="316"/>
      <c r="BCW44" s="14"/>
      <c r="BCX44" s="125"/>
      <c r="BCY44" s="125"/>
      <c r="BCZ44" s="316"/>
      <c r="BDA44" s="10"/>
      <c r="BDB44" s="125"/>
      <c r="BDC44" s="125"/>
      <c r="BDD44" s="316"/>
      <c r="BDE44" s="14"/>
      <c r="BDF44" s="125"/>
      <c r="BDG44" s="125"/>
      <c r="BDH44" s="316"/>
      <c r="BDI44" s="14"/>
      <c r="BDJ44" s="125"/>
      <c r="BDK44" s="125"/>
      <c r="BDL44" s="316"/>
      <c r="BDM44" s="14"/>
      <c r="BDN44" s="125"/>
      <c r="BDO44" s="125"/>
      <c r="BDP44" s="316"/>
      <c r="BDQ44" s="10"/>
      <c r="BDR44" s="125"/>
      <c r="BDS44" s="125"/>
      <c r="BDT44" s="316"/>
      <c r="BDU44" s="14"/>
      <c r="BDV44" s="125"/>
      <c r="BDW44" s="125"/>
      <c r="BDX44" s="316"/>
      <c r="BDY44" s="14"/>
      <c r="BDZ44" s="125"/>
      <c r="BEA44" s="125"/>
      <c r="BEB44" s="316"/>
      <c r="BEC44" s="14"/>
      <c r="BED44" s="125"/>
      <c r="BEE44" s="125"/>
      <c r="BEF44" s="316"/>
      <c r="BEG44" s="10"/>
      <c r="BEH44" s="125"/>
      <c r="BEI44" s="125"/>
      <c r="BEJ44" s="316"/>
      <c r="BEK44" s="14"/>
      <c r="BEL44" s="125"/>
      <c r="BEM44" s="125"/>
      <c r="BEN44" s="316"/>
      <c r="BEO44" s="14"/>
      <c r="BEP44" s="125"/>
      <c r="BEQ44" s="125"/>
      <c r="BER44" s="316"/>
      <c r="BES44" s="14"/>
      <c r="BET44" s="125"/>
      <c r="BEU44" s="125"/>
      <c r="BEV44" s="316"/>
      <c r="BEW44" s="10"/>
      <c r="BEX44" s="125"/>
      <c r="BEY44" s="125"/>
      <c r="BEZ44" s="316"/>
      <c r="BFA44" s="14"/>
      <c r="BFB44" s="125"/>
      <c r="BFC44" s="125"/>
      <c r="BFD44" s="316"/>
      <c r="BFE44" s="14"/>
      <c r="BFF44" s="125"/>
      <c r="BFG44" s="125"/>
      <c r="BFH44" s="316"/>
      <c r="BFI44" s="14"/>
      <c r="BFJ44" s="125"/>
      <c r="BFK44" s="125"/>
      <c r="BFL44" s="316"/>
      <c r="BFM44" s="10"/>
      <c r="BFN44" s="125"/>
      <c r="BFO44" s="125"/>
      <c r="BFP44" s="316"/>
      <c r="BFQ44" s="14"/>
      <c r="BFR44" s="125"/>
      <c r="BFS44" s="125"/>
      <c r="BFT44" s="316"/>
      <c r="BFU44" s="14"/>
      <c r="BFV44" s="125"/>
      <c r="BFW44" s="125"/>
      <c r="BFX44" s="316"/>
      <c r="BFY44" s="14"/>
      <c r="BFZ44" s="125"/>
      <c r="BGA44" s="125"/>
      <c r="BGB44" s="316"/>
      <c r="BGC44" s="10"/>
      <c r="BGD44" s="125"/>
      <c r="BGE44" s="125"/>
      <c r="BGF44" s="316"/>
      <c r="BGG44" s="14"/>
      <c r="BGH44" s="125"/>
      <c r="BGI44" s="125"/>
      <c r="BGJ44" s="316"/>
      <c r="BGK44" s="14"/>
      <c r="BGL44" s="125"/>
      <c r="BGM44" s="125"/>
      <c r="BGN44" s="316"/>
      <c r="BGO44" s="14"/>
      <c r="BGP44" s="125"/>
      <c r="BGQ44" s="125"/>
      <c r="BGR44" s="316"/>
      <c r="BGS44" s="10"/>
      <c r="BGT44" s="125"/>
      <c r="BGU44" s="125"/>
      <c r="BGV44" s="316"/>
      <c r="BGW44" s="14"/>
      <c r="BGX44" s="125"/>
      <c r="BGY44" s="125"/>
      <c r="BGZ44" s="316"/>
      <c r="BHA44" s="14"/>
      <c r="BHB44" s="125"/>
      <c r="BHC44" s="125"/>
      <c r="BHD44" s="316"/>
      <c r="BHE44" s="14"/>
      <c r="BHF44" s="125"/>
      <c r="BHG44" s="125"/>
      <c r="BHH44" s="316"/>
      <c r="BHI44" s="10"/>
      <c r="BHJ44" s="125"/>
      <c r="BHK44" s="125"/>
      <c r="BHL44" s="316"/>
      <c r="BHM44" s="14"/>
      <c r="BHN44" s="125"/>
      <c r="BHO44" s="125"/>
      <c r="BHP44" s="316"/>
      <c r="BHQ44" s="14"/>
      <c r="BHR44" s="125"/>
      <c r="BHS44" s="125"/>
      <c r="BHT44" s="316"/>
      <c r="BHU44" s="14"/>
      <c r="BHV44" s="125"/>
      <c r="BHW44" s="125"/>
      <c r="BHX44" s="316"/>
      <c r="BHY44" s="10"/>
      <c r="BHZ44" s="125"/>
      <c r="BIA44" s="125"/>
      <c r="BIB44" s="316"/>
      <c r="BIC44" s="14"/>
      <c r="BID44" s="125"/>
      <c r="BIE44" s="125"/>
      <c r="BIF44" s="316"/>
      <c r="BIG44" s="14"/>
      <c r="BIH44" s="125"/>
      <c r="BII44" s="125"/>
      <c r="BIJ44" s="316"/>
      <c r="BIK44" s="14"/>
      <c r="BIL44" s="125"/>
      <c r="BIM44" s="125"/>
      <c r="BIN44" s="316"/>
      <c r="BIO44" s="10"/>
      <c r="BIP44" s="125"/>
      <c r="BIQ44" s="125"/>
      <c r="BIR44" s="316"/>
      <c r="BIS44" s="14"/>
      <c r="BIT44" s="125"/>
      <c r="BIU44" s="125"/>
      <c r="BIV44" s="316"/>
      <c r="BIW44" s="14"/>
      <c r="BIX44" s="125"/>
      <c r="BIY44" s="125"/>
      <c r="BIZ44" s="316"/>
      <c r="BJA44" s="14"/>
      <c r="BJB44" s="125"/>
      <c r="BJC44" s="125"/>
      <c r="BJD44" s="316"/>
      <c r="BJE44" s="10"/>
      <c r="BJF44" s="125"/>
      <c r="BJG44" s="125"/>
      <c r="BJH44" s="316"/>
      <c r="BJI44" s="14"/>
      <c r="BJJ44" s="125"/>
      <c r="BJK44" s="125"/>
      <c r="BJL44" s="316"/>
      <c r="BJM44" s="14"/>
      <c r="BJN44" s="125"/>
      <c r="BJO44" s="125"/>
      <c r="BJP44" s="316"/>
      <c r="BJQ44" s="14"/>
      <c r="BJR44" s="125"/>
      <c r="BJS44" s="125"/>
      <c r="BJT44" s="316"/>
      <c r="BJU44" s="10"/>
      <c r="BJV44" s="125"/>
      <c r="BJW44" s="125"/>
      <c r="BJX44" s="316"/>
      <c r="BJY44" s="14"/>
      <c r="BJZ44" s="125"/>
      <c r="BKA44" s="125"/>
      <c r="BKB44" s="316"/>
      <c r="BKC44" s="14"/>
      <c r="BKD44" s="125"/>
      <c r="BKE44" s="125"/>
      <c r="BKF44" s="316"/>
      <c r="BKG44" s="14"/>
      <c r="BKH44" s="125"/>
      <c r="BKI44" s="125"/>
      <c r="BKJ44" s="316"/>
      <c r="BKK44" s="10"/>
      <c r="BKL44" s="125"/>
      <c r="BKM44" s="125"/>
      <c r="BKN44" s="316"/>
      <c r="BKO44" s="14"/>
      <c r="BKP44" s="125"/>
      <c r="BKQ44" s="125"/>
      <c r="BKR44" s="316"/>
      <c r="BKS44" s="14"/>
      <c r="BKT44" s="125"/>
      <c r="BKU44" s="125"/>
      <c r="BKV44" s="316"/>
      <c r="BKW44" s="14"/>
      <c r="BKX44" s="125"/>
      <c r="BKY44" s="125"/>
      <c r="BKZ44" s="316"/>
      <c r="BLA44" s="10"/>
      <c r="BLB44" s="125"/>
      <c r="BLC44" s="125"/>
      <c r="BLD44" s="316"/>
      <c r="BLE44" s="14"/>
      <c r="BLF44" s="125"/>
      <c r="BLG44" s="125"/>
      <c r="BLH44" s="316"/>
      <c r="BLI44" s="14"/>
      <c r="BLJ44" s="125"/>
      <c r="BLK44" s="125"/>
      <c r="BLL44" s="316"/>
      <c r="BLM44" s="14"/>
      <c r="BLN44" s="125"/>
      <c r="BLO44" s="125"/>
      <c r="BLP44" s="316"/>
      <c r="BLQ44" s="10"/>
      <c r="BLR44" s="125"/>
      <c r="BLS44" s="125"/>
      <c r="BLT44" s="316"/>
      <c r="BLU44" s="14"/>
      <c r="BLV44" s="125"/>
      <c r="BLW44" s="125"/>
      <c r="BLX44" s="316"/>
      <c r="BLY44" s="14"/>
      <c r="BLZ44" s="125"/>
      <c r="BMA44" s="125"/>
      <c r="BMB44" s="316"/>
      <c r="BMC44" s="14"/>
      <c r="BMD44" s="125"/>
      <c r="BME44" s="125"/>
      <c r="BMF44" s="316"/>
      <c r="BMG44" s="10"/>
      <c r="BMH44" s="125"/>
      <c r="BMI44" s="125"/>
      <c r="BMJ44" s="316"/>
      <c r="BMK44" s="14"/>
      <c r="BML44" s="125"/>
      <c r="BMM44" s="125"/>
      <c r="BMN44" s="316"/>
      <c r="BMO44" s="14"/>
      <c r="BMP44" s="125"/>
      <c r="BMQ44" s="125"/>
      <c r="BMR44" s="316"/>
      <c r="BMS44" s="14"/>
      <c r="BMT44" s="125"/>
      <c r="BMU44" s="125"/>
      <c r="BMV44" s="316"/>
      <c r="BMW44" s="10"/>
      <c r="BMX44" s="125"/>
      <c r="BMY44" s="125"/>
      <c r="BMZ44" s="316"/>
      <c r="BNA44" s="14"/>
      <c r="BNB44" s="125"/>
      <c r="BNC44" s="125"/>
      <c r="BND44" s="316"/>
      <c r="BNE44" s="14"/>
      <c r="BNF44" s="125"/>
      <c r="BNG44" s="125"/>
      <c r="BNH44" s="316"/>
      <c r="BNI44" s="14"/>
      <c r="BNJ44" s="125"/>
      <c r="BNK44" s="125"/>
      <c r="BNL44" s="316"/>
      <c r="BNM44" s="10"/>
      <c r="BNN44" s="125"/>
      <c r="BNO44" s="125"/>
      <c r="BNP44" s="316"/>
      <c r="BNQ44" s="14"/>
      <c r="BNR44" s="125"/>
      <c r="BNS44" s="125"/>
      <c r="BNT44" s="316"/>
      <c r="BNU44" s="14"/>
      <c r="BNV44" s="125"/>
      <c r="BNW44" s="125"/>
      <c r="BNX44" s="316"/>
      <c r="BNY44" s="14"/>
      <c r="BNZ44" s="125"/>
      <c r="BOA44" s="125"/>
      <c r="BOB44" s="316"/>
      <c r="BOC44" s="10"/>
      <c r="BOD44" s="125"/>
      <c r="BOE44" s="125"/>
      <c r="BOF44" s="316"/>
      <c r="BOG44" s="14"/>
      <c r="BOH44" s="125"/>
      <c r="BOI44" s="125"/>
      <c r="BOJ44" s="316"/>
      <c r="BOK44" s="14"/>
      <c r="BOL44" s="125"/>
      <c r="BOM44" s="125"/>
      <c r="BON44" s="316"/>
      <c r="BOO44" s="14"/>
      <c r="BOP44" s="125"/>
      <c r="BOQ44" s="125"/>
      <c r="BOR44" s="316"/>
      <c r="BOS44" s="10"/>
      <c r="BOT44" s="125"/>
      <c r="BOU44" s="125"/>
      <c r="BOV44" s="316"/>
      <c r="BOW44" s="14"/>
      <c r="BOX44" s="125"/>
      <c r="BOY44" s="125"/>
      <c r="BOZ44" s="316"/>
      <c r="BPA44" s="14"/>
      <c r="BPB44" s="125"/>
      <c r="BPC44" s="125"/>
      <c r="BPD44" s="316"/>
      <c r="BPE44" s="14"/>
      <c r="BPF44" s="125"/>
      <c r="BPG44" s="125"/>
      <c r="BPH44" s="316"/>
      <c r="BPI44" s="10"/>
      <c r="BPJ44" s="125"/>
      <c r="BPK44" s="125"/>
      <c r="BPL44" s="316"/>
      <c r="BPM44" s="14"/>
      <c r="BPN44" s="125"/>
      <c r="BPO44" s="125"/>
      <c r="BPP44" s="316"/>
      <c r="BPQ44" s="14"/>
      <c r="BPR44" s="125"/>
      <c r="BPS44" s="125"/>
      <c r="BPT44" s="316"/>
      <c r="BPU44" s="14"/>
      <c r="BPV44" s="125"/>
      <c r="BPW44" s="125"/>
      <c r="BPX44" s="316"/>
      <c r="BPY44" s="10"/>
      <c r="BPZ44" s="125"/>
      <c r="BQA44" s="125"/>
      <c r="BQB44" s="316"/>
      <c r="BQC44" s="14"/>
      <c r="BQD44" s="125"/>
      <c r="BQE44" s="125"/>
      <c r="BQF44" s="316"/>
      <c r="BQG44" s="14"/>
      <c r="BQH44" s="125"/>
      <c r="BQI44" s="125"/>
      <c r="BQJ44" s="316"/>
      <c r="BQK44" s="14"/>
      <c r="BQL44" s="125"/>
      <c r="BQM44" s="125"/>
      <c r="BQN44" s="316"/>
      <c r="BQO44" s="10"/>
      <c r="BQP44" s="125"/>
      <c r="BQQ44" s="125"/>
      <c r="BQR44" s="316"/>
      <c r="BQS44" s="14"/>
      <c r="BQT44" s="125"/>
      <c r="BQU44" s="125"/>
      <c r="BQV44" s="316"/>
      <c r="BQW44" s="14"/>
      <c r="BQX44" s="125"/>
      <c r="BQY44" s="125"/>
      <c r="BQZ44" s="316"/>
      <c r="BRA44" s="14"/>
      <c r="BRB44" s="125"/>
      <c r="BRC44" s="125"/>
      <c r="BRD44" s="316"/>
      <c r="BRE44" s="10"/>
      <c r="BRF44" s="125"/>
      <c r="BRG44" s="125"/>
      <c r="BRH44" s="316"/>
      <c r="BRI44" s="14"/>
      <c r="BRJ44" s="125"/>
      <c r="BRK44" s="125"/>
      <c r="BRL44" s="316"/>
      <c r="BRM44" s="14"/>
      <c r="BRN44" s="125"/>
      <c r="BRO44" s="125"/>
      <c r="BRP44" s="316"/>
      <c r="BRQ44" s="14"/>
      <c r="BRR44" s="125"/>
      <c r="BRS44" s="125"/>
      <c r="BRT44" s="316"/>
      <c r="BRU44" s="10"/>
      <c r="BRV44" s="125"/>
      <c r="BRW44" s="125"/>
      <c r="BRX44" s="316"/>
      <c r="BRY44" s="14"/>
      <c r="BRZ44" s="125"/>
      <c r="BSA44" s="125"/>
      <c r="BSB44" s="316"/>
      <c r="BSC44" s="14"/>
      <c r="BSD44" s="125"/>
      <c r="BSE44" s="125"/>
      <c r="BSF44" s="316"/>
      <c r="BSG44" s="14"/>
      <c r="BSH44" s="125"/>
      <c r="BSI44" s="125"/>
      <c r="BSJ44" s="316"/>
      <c r="BSK44" s="10"/>
      <c r="BSL44" s="125"/>
      <c r="BSM44" s="125"/>
      <c r="BSN44" s="316"/>
      <c r="BSO44" s="14"/>
      <c r="BSP44" s="125"/>
      <c r="BSQ44" s="125"/>
      <c r="BSR44" s="316"/>
      <c r="BSS44" s="14"/>
      <c r="BST44" s="125"/>
      <c r="BSU44" s="125"/>
      <c r="BSV44" s="316"/>
      <c r="BSW44" s="14"/>
      <c r="BSX44" s="125"/>
      <c r="BSY44" s="125"/>
      <c r="BSZ44" s="316"/>
      <c r="BTA44" s="10"/>
      <c r="BTB44" s="125"/>
      <c r="BTC44" s="125"/>
      <c r="BTD44" s="316"/>
      <c r="BTE44" s="14"/>
      <c r="BTF44" s="125"/>
      <c r="BTG44" s="125"/>
      <c r="BTH44" s="316"/>
      <c r="BTI44" s="14"/>
      <c r="BTJ44" s="125"/>
      <c r="BTK44" s="125"/>
      <c r="BTL44" s="316"/>
      <c r="BTM44" s="14"/>
      <c r="BTN44" s="125"/>
      <c r="BTO44" s="125"/>
      <c r="BTP44" s="316"/>
      <c r="BTQ44" s="10"/>
      <c r="BTR44" s="125"/>
      <c r="BTS44" s="125"/>
      <c r="BTT44" s="316"/>
      <c r="BTU44" s="14"/>
      <c r="BTV44" s="125"/>
      <c r="BTW44" s="125"/>
      <c r="BTX44" s="316"/>
      <c r="BTY44" s="14"/>
      <c r="BTZ44" s="125"/>
      <c r="BUA44" s="125"/>
      <c r="BUB44" s="316"/>
      <c r="BUC44" s="14"/>
      <c r="BUD44" s="125"/>
      <c r="BUE44" s="125"/>
      <c r="BUF44" s="316"/>
      <c r="BUG44" s="10"/>
      <c r="BUH44" s="125"/>
      <c r="BUI44" s="125"/>
      <c r="BUJ44" s="316"/>
      <c r="BUK44" s="14"/>
      <c r="BUL44" s="125"/>
      <c r="BUM44" s="125"/>
      <c r="BUN44" s="316"/>
      <c r="BUO44" s="14"/>
      <c r="BUP44" s="125"/>
      <c r="BUQ44" s="125"/>
      <c r="BUR44" s="316"/>
      <c r="BUS44" s="14"/>
      <c r="BUT44" s="125"/>
      <c r="BUU44" s="125"/>
      <c r="BUV44" s="316"/>
      <c r="BUW44" s="10"/>
      <c r="BUX44" s="125"/>
      <c r="BUY44" s="125"/>
      <c r="BUZ44" s="316"/>
      <c r="BVA44" s="14"/>
      <c r="BVB44" s="125"/>
      <c r="BVC44" s="125"/>
      <c r="BVD44" s="316"/>
      <c r="BVE44" s="14"/>
      <c r="BVF44" s="125"/>
      <c r="BVG44" s="125"/>
      <c r="BVH44" s="316"/>
      <c r="BVI44" s="14"/>
      <c r="BVJ44" s="125"/>
      <c r="BVK44" s="125"/>
      <c r="BVL44" s="316"/>
      <c r="BVM44" s="10"/>
      <c r="BVN44" s="125"/>
      <c r="BVO44" s="125"/>
      <c r="BVP44" s="316"/>
      <c r="BVQ44" s="14"/>
      <c r="BVR44" s="125"/>
      <c r="BVS44" s="125"/>
      <c r="BVT44" s="316"/>
      <c r="BVU44" s="14"/>
      <c r="BVV44" s="125"/>
      <c r="BVW44" s="125"/>
      <c r="BVX44" s="316"/>
      <c r="BVY44" s="14"/>
      <c r="BVZ44" s="125"/>
      <c r="BWA44" s="125"/>
      <c r="BWB44" s="316"/>
      <c r="BWC44" s="10"/>
      <c r="BWD44" s="125"/>
      <c r="BWE44" s="125"/>
      <c r="BWF44" s="316"/>
      <c r="BWG44" s="14"/>
      <c r="BWH44" s="125"/>
      <c r="BWI44" s="125"/>
      <c r="BWJ44" s="316"/>
      <c r="BWK44" s="14"/>
      <c r="BWL44" s="125"/>
      <c r="BWM44" s="125"/>
      <c r="BWN44" s="316"/>
      <c r="BWO44" s="14"/>
      <c r="BWP44" s="125"/>
      <c r="BWQ44" s="125"/>
      <c r="BWR44" s="316"/>
      <c r="BWS44" s="10"/>
      <c r="BWT44" s="125"/>
      <c r="BWU44" s="125"/>
      <c r="BWV44" s="316"/>
      <c r="BWW44" s="14"/>
      <c r="BWX44" s="125"/>
      <c r="BWY44" s="125"/>
      <c r="BWZ44" s="316"/>
      <c r="BXA44" s="14"/>
      <c r="BXB44" s="125"/>
      <c r="BXC44" s="125"/>
      <c r="BXD44" s="316"/>
      <c r="BXE44" s="14"/>
      <c r="BXF44" s="125"/>
      <c r="BXG44" s="125"/>
      <c r="BXH44" s="316"/>
      <c r="BXI44" s="10"/>
      <c r="BXJ44" s="125"/>
      <c r="BXK44" s="125"/>
      <c r="BXL44" s="316"/>
      <c r="BXM44" s="14"/>
      <c r="BXN44" s="125"/>
      <c r="BXO44" s="125"/>
      <c r="BXP44" s="316"/>
      <c r="BXQ44" s="14"/>
      <c r="BXR44" s="125"/>
      <c r="BXS44" s="125"/>
      <c r="BXT44" s="316"/>
      <c r="BXU44" s="14"/>
      <c r="BXV44" s="125"/>
      <c r="BXW44" s="125"/>
      <c r="BXX44" s="316"/>
      <c r="BXY44" s="10"/>
      <c r="BXZ44" s="125"/>
      <c r="BYA44" s="125"/>
      <c r="BYB44" s="316"/>
      <c r="BYC44" s="14"/>
      <c r="BYD44" s="125"/>
      <c r="BYE44" s="125"/>
      <c r="BYF44" s="316"/>
      <c r="BYG44" s="14"/>
      <c r="BYH44" s="125"/>
      <c r="BYI44" s="125"/>
      <c r="BYJ44" s="316"/>
      <c r="BYK44" s="14"/>
      <c r="BYL44" s="125"/>
      <c r="BYM44" s="125"/>
      <c r="BYN44" s="316"/>
      <c r="BYO44" s="10"/>
      <c r="BYP44" s="125"/>
      <c r="BYQ44" s="125"/>
      <c r="BYR44" s="316"/>
      <c r="BYS44" s="14"/>
      <c r="BYT44" s="125"/>
      <c r="BYU44" s="125"/>
      <c r="BYV44" s="316"/>
      <c r="BYW44" s="14"/>
      <c r="BYX44" s="125"/>
      <c r="BYY44" s="125"/>
      <c r="BYZ44" s="316"/>
      <c r="BZA44" s="14"/>
      <c r="BZB44" s="125"/>
      <c r="BZC44" s="125"/>
      <c r="BZD44" s="316"/>
      <c r="BZE44" s="10"/>
      <c r="BZF44" s="125"/>
      <c r="BZG44" s="125"/>
      <c r="BZH44" s="316"/>
      <c r="BZI44" s="14"/>
      <c r="BZJ44" s="125"/>
      <c r="BZK44" s="125"/>
      <c r="BZL44" s="316"/>
      <c r="BZM44" s="14"/>
      <c r="BZN44" s="125"/>
      <c r="BZO44" s="125"/>
      <c r="BZP44" s="316"/>
      <c r="BZQ44" s="14"/>
      <c r="BZR44" s="125"/>
      <c r="BZS44" s="125"/>
      <c r="BZT44" s="316"/>
      <c r="BZU44" s="10"/>
      <c r="BZV44" s="125"/>
      <c r="BZW44" s="125"/>
      <c r="BZX44" s="316"/>
      <c r="BZY44" s="14"/>
      <c r="BZZ44" s="125"/>
      <c r="CAA44" s="125"/>
      <c r="CAB44" s="316"/>
      <c r="CAC44" s="14"/>
      <c r="CAD44" s="125"/>
      <c r="CAE44" s="125"/>
      <c r="CAF44" s="316"/>
      <c r="CAG44" s="14"/>
      <c r="CAH44" s="125"/>
      <c r="CAI44" s="125"/>
      <c r="CAJ44" s="316"/>
      <c r="CAK44" s="10"/>
      <c r="CAL44" s="125"/>
      <c r="CAM44" s="125"/>
      <c r="CAN44" s="316"/>
      <c r="CAO44" s="14"/>
      <c r="CAP44" s="125"/>
      <c r="CAQ44" s="125"/>
      <c r="CAR44" s="316"/>
      <c r="CAS44" s="14"/>
      <c r="CAT44" s="125"/>
      <c r="CAU44" s="125"/>
      <c r="CAV44" s="316"/>
      <c r="CAW44" s="14"/>
      <c r="CAX44" s="125"/>
      <c r="CAY44" s="125"/>
      <c r="CAZ44" s="316"/>
      <c r="CBA44" s="10"/>
      <c r="CBB44" s="125"/>
      <c r="CBC44" s="125"/>
      <c r="CBD44" s="316"/>
      <c r="CBE44" s="14"/>
      <c r="CBF44" s="125"/>
      <c r="CBG44" s="125"/>
      <c r="CBH44" s="316"/>
      <c r="CBI44" s="14"/>
      <c r="CBJ44" s="125"/>
      <c r="CBK44" s="125"/>
      <c r="CBL44" s="316"/>
      <c r="CBM44" s="14"/>
      <c r="CBN44" s="125"/>
      <c r="CBO44" s="125"/>
      <c r="CBP44" s="316"/>
      <c r="CBQ44" s="10"/>
      <c r="CBR44" s="125"/>
      <c r="CBS44" s="125"/>
      <c r="CBT44" s="316"/>
      <c r="CBU44" s="14"/>
      <c r="CBV44" s="125"/>
      <c r="CBW44" s="125"/>
      <c r="CBX44" s="316"/>
      <c r="CBY44" s="14"/>
      <c r="CBZ44" s="125"/>
      <c r="CCA44" s="125"/>
      <c r="CCB44" s="316"/>
      <c r="CCC44" s="14"/>
      <c r="CCD44" s="125"/>
      <c r="CCE44" s="125"/>
      <c r="CCF44" s="316"/>
      <c r="CCG44" s="10"/>
      <c r="CCH44" s="125"/>
      <c r="CCI44" s="125"/>
      <c r="CCJ44" s="316"/>
      <c r="CCK44" s="14"/>
      <c r="CCL44" s="125"/>
      <c r="CCM44" s="125"/>
      <c r="CCN44" s="316"/>
      <c r="CCO44" s="14"/>
      <c r="CCP44" s="125"/>
      <c r="CCQ44" s="125"/>
      <c r="CCR44" s="316"/>
      <c r="CCS44" s="14"/>
      <c r="CCT44" s="125"/>
      <c r="CCU44" s="125"/>
      <c r="CCV44" s="316"/>
      <c r="CCW44" s="10"/>
      <c r="CCX44" s="125"/>
      <c r="CCY44" s="125"/>
      <c r="CCZ44" s="316"/>
      <c r="CDA44" s="14"/>
      <c r="CDB44" s="125"/>
      <c r="CDC44" s="125"/>
      <c r="CDD44" s="316"/>
      <c r="CDE44" s="14"/>
      <c r="CDF44" s="125"/>
      <c r="CDG44" s="125"/>
      <c r="CDH44" s="316"/>
      <c r="CDI44" s="14"/>
      <c r="CDJ44" s="125"/>
      <c r="CDK44" s="125"/>
      <c r="CDL44" s="316"/>
      <c r="CDM44" s="10"/>
      <c r="CDN44" s="125"/>
      <c r="CDO44" s="125"/>
      <c r="CDP44" s="316"/>
      <c r="CDQ44" s="14"/>
      <c r="CDR44" s="125"/>
      <c r="CDS44" s="125"/>
      <c r="CDT44" s="316"/>
      <c r="CDU44" s="14"/>
      <c r="CDV44" s="125"/>
      <c r="CDW44" s="125"/>
      <c r="CDX44" s="316"/>
      <c r="CDY44" s="14"/>
      <c r="CDZ44" s="125"/>
      <c r="CEA44" s="125"/>
      <c r="CEB44" s="316"/>
      <c r="CEC44" s="10"/>
      <c r="CED44" s="125"/>
      <c r="CEE44" s="125"/>
      <c r="CEF44" s="316"/>
      <c r="CEG44" s="14"/>
      <c r="CEH44" s="125"/>
      <c r="CEI44" s="125"/>
      <c r="CEJ44" s="316"/>
      <c r="CEK44" s="14"/>
      <c r="CEL44" s="125"/>
      <c r="CEM44" s="125"/>
      <c r="CEN44" s="316"/>
      <c r="CEO44" s="14"/>
      <c r="CEP44" s="125"/>
      <c r="CEQ44" s="125"/>
      <c r="CER44" s="316"/>
      <c r="CES44" s="10"/>
      <c r="CET44" s="125"/>
      <c r="CEU44" s="125"/>
      <c r="CEV44" s="316"/>
      <c r="CEW44" s="14"/>
      <c r="CEX44" s="125"/>
      <c r="CEY44" s="125"/>
      <c r="CEZ44" s="316"/>
      <c r="CFA44" s="14"/>
      <c r="CFB44" s="125"/>
      <c r="CFC44" s="125"/>
      <c r="CFD44" s="316"/>
      <c r="CFE44" s="14"/>
      <c r="CFF44" s="125"/>
      <c r="CFG44" s="125"/>
      <c r="CFH44" s="316"/>
      <c r="CFI44" s="10"/>
      <c r="CFJ44" s="125"/>
      <c r="CFK44" s="125"/>
      <c r="CFL44" s="316"/>
      <c r="CFM44" s="14"/>
      <c r="CFN44" s="125"/>
      <c r="CFO44" s="125"/>
      <c r="CFP44" s="316"/>
      <c r="CFQ44" s="14"/>
      <c r="CFR44" s="125"/>
      <c r="CFS44" s="125"/>
      <c r="CFT44" s="316"/>
      <c r="CFU44" s="14"/>
      <c r="CFV44" s="125"/>
      <c r="CFW44" s="125"/>
      <c r="CFX44" s="316"/>
      <c r="CFY44" s="10"/>
      <c r="CFZ44" s="125"/>
      <c r="CGA44" s="125"/>
      <c r="CGB44" s="316"/>
      <c r="CGC44" s="14"/>
      <c r="CGD44" s="125"/>
      <c r="CGE44" s="125"/>
      <c r="CGF44" s="316"/>
      <c r="CGG44" s="14"/>
      <c r="CGH44" s="125"/>
      <c r="CGI44" s="125"/>
      <c r="CGJ44" s="316"/>
      <c r="CGK44" s="14"/>
      <c r="CGL44" s="125"/>
      <c r="CGM44" s="125"/>
      <c r="CGN44" s="316"/>
      <c r="CGO44" s="10"/>
      <c r="CGP44" s="125"/>
      <c r="CGQ44" s="125"/>
      <c r="CGR44" s="316"/>
      <c r="CGS44" s="14"/>
      <c r="CGT44" s="125"/>
      <c r="CGU44" s="125"/>
      <c r="CGV44" s="316"/>
      <c r="CGW44" s="14"/>
      <c r="CGX44" s="125"/>
      <c r="CGY44" s="125"/>
      <c r="CGZ44" s="316"/>
      <c r="CHA44" s="14"/>
      <c r="CHB44" s="125"/>
      <c r="CHC44" s="125"/>
      <c r="CHD44" s="316"/>
      <c r="CHE44" s="10"/>
      <c r="CHF44" s="125"/>
      <c r="CHG44" s="125"/>
      <c r="CHH44" s="316"/>
      <c r="CHI44" s="14"/>
      <c r="CHJ44" s="125"/>
      <c r="CHK44" s="125"/>
      <c r="CHL44" s="316"/>
      <c r="CHM44" s="14"/>
      <c r="CHN44" s="125"/>
      <c r="CHO44" s="125"/>
      <c r="CHP44" s="316"/>
      <c r="CHQ44" s="14"/>
      <c r="CHR44" s="125"/>
      <c r="CHS44" s="125"/>
      <c r="CHT44" s="316"/>
      <c r="CHU44" s="10"/>
      <c r="CHV44" s="125"/>
      <c r="CHW44" s="125"/>
      <c r="CHX44" s="316"/>
      <c r="CHY44" s="14"/>
      <c r="CHZ44" s="125"/>
      <c r="CIA44" s="125"/>
      <c r="CIB44" s="316"/>
      <c r="CIC44" s="14"/>
      <c r="CID44" s="125"/>
      <c r="CIE44" s="125"/>
      <c r="CIF44" s="316"/>
      <c r="CIG44" s="14"/>
      <c r="CIH44" s="125"/>
      <c r="CII44" s="125"/>
      <c r="CIJ44" s="316"/>
      <c r="CIK44" s="10"/>
      <c r="CIL44" s="125"/>
      <c r="CIM44" s="125"/>
      <c r="CIN44" s="316"/>
      <c r="CIO44" s="14"/>
      <c r="CIP44" s="125"/>
      <c r="CIQ44" s="125"/>
      <c r="CIR44" s="316"/>
      <c r="CIS44" s="14"/>
      <c r="CIT44" s="125"/>
      <c r="CIU44" s="125"/>
      <c r="CIV44" s="316"/>
      <c r="CIW44" s="14"/>
      <c r="CIX44" s="125"/>
      <c r="CIY44" s="125"/>
      <c r="CIZ44" s="316"/>
      <c r="CJA44" s="10"/>
      <c r="CJB44" s="125"/>
      <c r="CJC44" s="125"/>
      <c r="CJD44" s="316"/>
      <c r="CJE44" s="14"/>
      <c r="CJF44" s="125"/>
      <c r="CJG44" s="125"/>
      <c r="CJH44" s="316"/>
      <c r="CJI44" s="14"/>
      <c r="CJJ44" s="125"/>
      <c r="CJK44" s="125"/>
      <c r="CJL44" s="316"/>
      <c r="CJM44" s="14"/>
      <c r="CJN44" s="125"/>
      <c r="CJO44" s="125"/>
      <c r="CJP44" s="316"/>
      <c r="CJQ44" s="10"/>
      <c r="CJR44" s="125"/>
      <c r="CJS44" s="125"/>
      <c r="CJT44" s="316"/>
      <c r="CJU44" s="14"/>
      <c r="CJV44" s="125"/>
      <c r="CJW44" s="125"/>
      <c r="CJX44" s="316"/>
      <c r="CJY44" s="14"/>
      <c r="CJZ44" s="125"/>
      <c r="CKA44" s="125"/>
      <c r="CKB44" s="316"/>
      <c r="CKC44" s="14"/>
      <c r="CKD44" s="125"/>
      <c r="CKE44" s="125"/>
      <c r="CKF44" s="316"/>
      <c r="CKG44" s="10"/>
      <c r="CKH44" s="125"/>
      <c r="CKI44" s="125"/>
      <c r="CKJ44" s="316"/>
      <c r="CKK44" s="14"/>
      <c r="CKL44" s="125"/>
      <c r="CKM44" s="125"/>
      <c r="CKN44" s="316"/>
      <c r="CKO44" s="14"/>
      <c r="CKP44" s="125"/>
      <c r="CKQ44" s="125"/>
      <c r="CKR44" s="316"/>
      <c r="CKS44" s="14"/>
      <c r="CKT44" s="125"/>
      <c r="CKU44" s="125"/>
      <c r="CKV44" s="316"/>
      <c r="CKW44" s="10"/>
      <c r="CKX44" s="125"/>
      <c r="CKY44" s="125"/>
      <c r="CKZ44" s="316"/>
      <c r="CLA44" s="14"/>
      <c r="CLB44" s="125"/>
      <c r="CLC44" s="125"/>
      <c r="CLD44" s="316"/>
      <c r="CLE44" s="14"/>
      <c r="CLF44" s="125"/>
      <c r="CLG44" s="125"/>
      <c r="CLH44" s="316"/>
      <c r="CLI44" s="14"/>
      <c r="CLJ44" s="125"/>
      <c r="CLK44" s="125"/>
      <c r="CLL44" s="316"/>
      <c r="CLM44" s="10"/>
      <c r="CLN44" s="125"/>
      <c r="CLO44" s="125"/>
      <c r="CLP44" s="316"/>
      <c r="CLQ44" s="14"/>
      <c r="CLR44" s="125"/>
      <c r="CLS44" s="125"/>
      <c r="CLT44" s="316"/>
      <c r="CLU44" s="14"/>
      <c r="CLV44" s="125"/>
      <c r="CLW44" s="125"/>
      <c r="CLX44" s="316"/>
      <c r="CLY44" s="14"/>
      <c r="CLZ44" s="125"/>
      <c r="CMA44" s="125"/>
      <c r="CMB44" s="316"/>
      <c r="CMC44" s="10"/>
      <c r="CMD44" s="125"/>
      <c r="CME44" s="125"/>
      <c r="CMF44" s="316"/>
      <c r="CMG44" s="14"/>
      <c r="CMH44" s="125"/>
      <c r="CMI44" s="125"/>
      <c r="CMJ44" s="316"/>
      <c r="CMK44" s="14"/>
      <c r="CML44" s="125"/>
      <c r="CMM44" s="125"/>
      <c r="CMN44" s="316"/>
      <c r="CMO44" s="14"/>
      <c r="CMP44" s="125"/>
      <c r="CMQ44" s="125"/>
      <c r="CMR44" s="316"/>
      <c r="CMS44" s="10"/>
      <c r="CMT44" s="125"/>
      <c r="CMU44" s="125"/>
      <c r="CMV44" s="316"/>
      <c r="CMW44" s="14"/>
      <c r="CMX44" s="125"/>
      <c r="CMY44" s="125"/>
      <c r="CMZ44" s="316"/>
      <c r="CNA44" s="14"/>
      <c r="CNB44" s="125"/>
      <c r="CNC44" s="125"/>
      <c r="CND44" s="316"/>
      <c r="CNE44" s="14"/>
      <c r="CNF44" s="125"/>
      <c r="CNG44" s="125"/>
      <c r="CNH44" s="316"/>
      <c r="CNI44" s="10"/>
      <c r="CNJ44" s="125"/>
      <c r="CNK44" s="125"/>
      <c r="CNL44" s="316"/>
      <c r="CNM44" s="14"/>
      <c r="CNN44" s="125"/>
      <c r="CNO44" s="125"/>
      <c r="CNP44" s="316"/>
      <c r="CNQ44" s="14"/>
      <c r="CNR44" s="125"/>
      <c r="CNS44" s="125"/>
      <c r="CNT44" s="316"/>
      <c r="CNU44" s="14"/>
      <c r="CNV44" s="125"/>
      <c r="CNW44" s="125"/>
      <c r="CNX44" s="316"/>
      <c r="CNY44" s="10"/>
      <c r="CNZ44" s="125"/>
      <c r="COA44" s="125"/>
      <c r="COB44" s="316"/>
      <c r="COC44" s="14"/>
      <c r="COD44" s="125"/>
      <c r="COE44" s="125"/>
      <c r="COF44" s="316"/>
      <c r="COG44" s="14"/>
      <c r="COH44" s="125"/>
      <c r="COI44" s="125"/>
      <c r="COJ44" s="316"/>
      <c r="COK44" s="14"/>
      <c r="COL44" s="125"/>
      <c r="COM44" s="125"/>
      <c r="CON44" s="316"/>
      <c r="COO44" s="10"/>
      <c r="COP44" s="125"/>
      <c r="COQ44" s="125"/>
      <c r="COR44" s="316"/>
      <c r="COS44" s="14"/>
      <c r="COT44" s="125"/>
      <c r="COU44" s="125"/>
      <c r="COV44" s="316"/>
      <c r="COW44" s="14"/>
      <c r="COX44" s="125"/>
      <c r="COY44" s="125"/>
      <c r="COZ44" s="316"/>
      <c r="CPA44" s="14"/>
      <c r="CPB44" s="125"/>
      <c r="CPC44" s="125"/>
      <c r="CPD44" s="316"/>
      <c r="CPE44" s="10"/>
      <c r="CPF44" s="125"/>
      <c r="CPG44" s="125"/>
      <c r="CPH44" s="316"/>
      <c r="CPI44" s="14"/>
      <c r="CPJ44" s="125"/>
      <c r="CPK44" s="125"/>
      <c r="CPL44" s="316"/>
      <c r="CPM44" s="14"/>
      <c r="CPN44" s="125"/>
      <c r="CPO44" s="125"/>
      <c r="CPP44" s="316"/>
      <c r="CPQ44" s="14"/>
      <c r="CPR44" s="125"/>
      <c r="CPS44" s="125"/>
      <c r="CPT44" s="316"/>
      <c r="CPU44" s="10"/>
      <c r="CPV44" s="125"/>
      <c r="CPW44" s="125"/>
      <c r="CPX44" s="316"/>
      <c r="CPY44" s="14"/>
      <c r="CPZ44" s="125"/>
      <c r="CQA44" s="125"/>
      <c r="CQB44" s="316"/>
      <c r="CQC44" s="14"/>
      <c r="CQD44" s="125"/>
      <c r="CQE44" s="125"/>
      <c r="CQF44" s="316"/>
      <c r="CQG44" s="14"/>
      <c r="CQH44" s="125"/>
      <c r="CQI44" s="125"/>
      <c r="CQJ44" s="316"/>
      <c r="CQK44" s="10"/>
      <c r="CQL44" s="125"/>
      <c r="CQM44" s="125"/>
      <c r="CQN44" s="316"/>
      <c r="CQO44" s="14"/>
      <c r="CQP44" s="125"/>
      <c r="CQQ44" s="125"/>
      <c r="CQR44" s="316"/>
      <c r="CQS44" s="14"/>
      <c r="CQT44" s="125"/>
      <c r="CQU44" s="125"/>
      <c r="CQV44" s="316"/>
      <c r="CQW44" s="14"/>
      <c r="CQX44" s="125"/>
      <c r="CQY44" s="125"/>
      <c r="CQZ44" s="316"/>
      <c r="CRA44" s="10"/>
      <c r="CRB44" s="125"/>
      <c r="CRC44" s="125"/>
      <c r="CRD44" s="316"/>
      <c r="CRE44" s="14"/>
      <c r="CRF44" s="125"/>
      <c r="CRG44" s="125"/>
      <c r="CRH44" s="316"/>
      <c r="CRI44" s="14"/>
      <c r="CRJ44" s="125"/>
      <c r="CRK44" s="125"/>
      <c r="CRL44" s="316"/>
      <c r="CRM44" s="14"/>
      <c r="CRN44" s="125"/>
      <c r="CRO44" s="125"/>
      <c r="CRP44" s="316"/>
      <c r="CRQ44" s="10"/>
      <c r="CRR44" s="125"/>
      <c r="CRS44" s="125"/>
      <c r="CRT44" s="316"/>
      <c r="CRU44" s="14"/>
      <c r="CRV44" s="125"/>
      <c r="CRW44" s="125"/>
      <c r="CRX44" s="316"/>
      <c r="CRY44" s="14"/>
      <c r="CRZ44" s="125"/>
      <c r="CSA44" s="125"/>
      <c r="CSB44" s="316"/>
      <c r="CSC44" s="14"/>
      <c r="CSD44" s="125"/>
      <c r="CSE44" s="125"/>
      <c r="CSF44" s="316"/>
      <c r="CSG44" s="10"/>
      <c r="CSH44" s="125"/>
      <c r="CSI44" s="125"/>
      <c r="CSJ44" s="316"/>
      <c r="CSK44" s="14"/>
      <c r="CSL44" s="125"/>
      <c r="CSM44" s="125"/>
      <c r="CSN44" s="316"/>
      <c r="CSO44" s="14"/>
      <c r="CSP44" s="125"/>
      <c r="CSQ44" s="125"/>
      <c r="CSR44" s="316"/>
      <c r="CSS44" s="14"/>
      <c r="CST44" s="125"/>
      <c r="CSU44" s="125"/>
      <c r="CSV44" s="316"/>
      <c r="CSW44" s="10"/>
      <c r="CSX44" s="125"/>
      <c r="CSY44" s="125"/>
      <c r="CSZ44" s="316"/>
      <c r="CTA44" s="14"/>
      <c r="CTB44" s="125"/>
      <c r="CTC44" s="125"/>
      <c r="CTD44" s="316"/>
      <c r="CTE44" s="14"/>
      <c r="CTF44" s="125"/>
      <c r="CTG44" s="125"/>
      <c r="CTH44" s="316"/>
      <c r="CTI44" s="14"/>
      <c r="CTJ44" s="125"/>
      <c r="CTK44" s="125"/>
      <c r="CTL44" s="316"/>
      <c r="CTM44" s="10"/>
      <c r="CTN44" s="125"/>
      <c r="CTO44" s="125"/>
      <c r="CTP44" s="316"/>
      <c r="CTQ44" s="14"/>
      <c r="CTR44" s="125"/>
      <c r="CTS44" s="125"/>
      <c r="CTT44" s="316"/>
      <c r="CTU44" s="14"/>
      <c r="CTV44" s="125"/>
      <c r="CTW44" s="125"/>
      <c r="CTX44" s="316"/>
      <c r="CTY44" s="14"/>
      <c r="CTZ44" s="125"/>
      <c r="CUA44" s="125"/>
      <c r="CUB44" s="316"/>
      <c r="CUC44" s="10"/>
      <c r="CUD44" s="125"/>
      <c r="CUE44" s="125"/>
      <c r="CUF44" s="316"/>
      <c r="CUG44" s="14"/>
      <c r="CUH44" s="125"/>
      <c r="CUI44" s="125"/>
      <c r="CUJ44" s="316"/>
      <c r="CUK44" s="14"/>
      <c r="CUL44" s="125"/>
      <c r="CUM44" s="125"/>
      <c r="CUN44" s="316"/>
      <c r="CUO44" s="14"/>
      <c r="CUP44" s="125"/>
      <c r="CUQ44" s="125"/>
      <c r="CUR44" s="316"/>
      <c r="CUS44" s="10"/>
      <c r="CUT44" s="125"/>
      <c r="CUU44" s="125"/>
      <c r="CUV44" s="316"/>
      <c r="CUW44" s="14"/>
      <c r="CUX44" s="125"/>
      <c r="CUY44" s="125"/>
      <c r="CUZ44" s="316"/>
      <c r="CVA44" s="14"/>
      <c r="CVB44" s="125"/>
      <c r="CVC44" s="125"/>
      <c r="CVD44" s="316"/>
      <c r="CVE44" s="14"/>
      <c r="CVF44" s="125"/>
      <c r="CVG44" s="125"/>
      <c r="CVH44" s="316"/>
      <c r="CVI44" s="10"/>
      <c r="CVJ44" s="125"/>
      <c r="CVK44" s="125"/>
      <c r="CVL44" s="316"/>
      <c r="CVM44" s="14"/>
      <c r="CVN44" s="125"/>
      <c r="CVO44" s="125"/>
      <c r="CVP44" s="316"/>
      <c r="CVQ44" s="14"/>
      <c r="CVR44" s="125"/>
      <c r="CVS44" s="125"/>
      <c r="CVT44" s="316"/>
      <c r="CVU44" s="14"/>
      <c r="CVV44" s="125"/>
      <c r="CVW44" s="125"/>
      <c r="CVX44" s="316"/>
      <c r="CVY44" s="10"/>
      <c r="CVZ44" s="125"/>
      <c r="CWA44" s="125"/>
      <c r="CWB44" s="316"/>
      <c r="CWC44" s="14"/>
      <c r="CWD44" s="125"/>
      <c r="CWE44" s="125"/>
      <c r="CWF44" s="316"/>
      <c r="CWG44" s="14"/>
      <c r="CWH44" s="125"/>
      <c r="CWI44" s="125"/>
      <c r="CWJ44" s="316"/>
      <c r="CWK44" s="14"/>
      <c r="CWL44" s="125"/>
      <c r="CWM44" s="125"/>
      <c r="CWN44" s="316"/>
      <c r="CWO44" s="10"/>
      <c r="CWP44" s="125"/>
      <c r="CWQ44" s="125"/>
      <c r="CWR44" s="316"/>
      <c r="CWS44" s="14"/>
      <c r="CWT44" s="125"/>
      <c r="CWU44" s="125"/>
      <c r="CWV44" s="316"/>
      <c r="CWW44" s="14"/>
      <c r="CWX44" s="125"/>
      <c r="CWY44" s="125"/>
      <c r="CWZ44" s="316"/>
      <c r="CXA44" s="14"/>
      <c r="CXB44" s="125"/>
      <c r="CXC44" s="125"/>
      <c r="CXD44" s="316"/>
      <c r="CXE44" s="10"/>
      <c r="CXF44" s="125"/>
      <c r="CXG44" s="125"/>
      <c r="CXH44" s="316"/>
      <c r="CXI44" s="14"/>
      <c r="CXJ44" s="125"/>
      <c r="CXK44" s="125"/>
      <c r="CXL44" s="316"/>
      <c r="CXM44" s="14"/>
      <c r="CXN44" s="125"/>
      <c r="CXO44" s="125"/>
      <c r="CXP44" s="316"/>
      <c r="CXQ44" s="14"/>
      <c r="CXR44" s="125"/>
      <c r="CXS44" s="125"/>
      <c r="CXT44" s="316"/>
      <c r="CXU44" s="10"/>
      <c r="CXV44" s="125"/>
      <c r="CXW44" s="125"/>
      <c r="CXX44" s="316"/>
      <c r="CXY44" s="14"/>
      <c r="CXZ44" s="125"/>
      <c r="CYA44" s="125"/>
      <c r="CYB44" s="316"/>
      <c r="CYC44" s="14"/>
      <c r="CYD44" s="125"/>
      <c r="CYE44" s="125"/>
      <c r="CYF44" s="316"/>
      <c r="CYG44" s="14"/>
      <c r="CYH44" s="125"/>
      <c r="CYI44" s="125"/>
      <c r="CYJ44" s="316"/>
      <c r="CYK44" s="10"/>
      <c r="CYL44" s="125"/>
      <c r="CYM44" s="125"/>
      <c r="CYN44" s="316"/>
      <c r="CYO44" s="14"/>
      <c r="CYP44" s="125"/>
      <c r="CYQ44" s="125"/>
      <c r="CYR44" s="316"/>
      <c r="CYS44" s="14"/>
      <c r="CYT44" s="125"/>
      <c r="CYU44" s="125"/>
      <c r="CYV44" s="316"/>
      <c r="CYW44" s="14"/>
      <c r="CYX44" s="125"/>
      <c r="CYY44" s="125"/>
      <c r="CYZ44" s="316"/>
      <c r="CZA44" s="10"/>
      <c r="CZB44" s="125"/>
      <c r="CZC44" s="125"/>
      <c r="CZD44" s="316"/>
      <c r="CZE44" s="14"/>
      <c r="CZF44" s="125"/>
      <c r="CZG44" s="125"/>
      <c r="CZH44" s="316"/>
      <c r="CZI44" s="14"/>
      <c r="CZJ44" s="125"/>
      <c r="CZK44" s="125"/>
      <c r="CZL44" s="316"/>
      <c r="CZM44" s="14"/>
      <c r="CZN44" s="125"/>
      <c r="CZO44" s="125"/>
      <c r="CZP44" s="316"/>
      <c r="CZQ44" s="10"/>
      <c r="CZR44" s="125"/>
      <c r="CZS44" s="125"/>
      <c r="CZT44" s="316"/>
      <c r="CZU44" s="14"/>
      <c r="CZV44" s="125"/>
      <c r="CZW44" s="125"/>
      <c r="CZX44" s="316"/>
      <c r="CZY44" s="14"/>
      <c r="CZZ44" s="125"/>
      <c r="DAA44" s="125"/>
      <c r="DAB44" s="316"/>
      <c r="DAC44" s="14"/>
      <c r="DAD44" s="125"/>
      <c r="DAE44" s="125"/>
      <c r="DAF44" s="316"/>
      <c r="DAG44" s="10"/>
      <c r="DAH44" s="125"/>
      <c r="DAI44" s="125"/>
      <c r="DAJ44" s="316"/>
      <c r="DAK44" s="14"/>
      <c r="DAL44" s="125"/>
      <c r="DAM44" s="125"/>
      <c r="DAN44" s="316"/>
      <c r="DAO44" s="14"/>
      <c r="DAP44" s="125"/>
      <c r="DAQ44" s="125"/>
      <c r="DAR44" s="316"/>
      <c r="DAS44" s="14"/>
      <c r="DAT44" s="125"/>
      <c r="DAU44" s="125"/>
      <c r="DAV44" s="316"/>
      <c r="DAW44" s="10"/>
      <c r="DAX44" s="125"/>
      <c r="DAY44" s="125"/>
      <c r="DAZ44" s="316"/>
      <c r="DBA44" s="14"/>
      <c r="DBB44" s="125"/>
      <c r="DBC44" s="125"/>
      <c r="DBD44" s="316"/>
      <c r="DBE44" s="14"/>
      <c r="DBF44" s="125"/>
      <c r="DBG44" s="125"/>
      <c r="DBH44" s="316"/>
      <c r="DBI44" s="14"/>
      <c r="DBJ44" s="125"/>
      <c r="DBK44" s="125"/>
      <c r="DBL44" s="316"/>
      <c r="DBM44" s="10"/>
      <c r="DBN44" s="125"/>
      <c r="DBO44" s="125"/>
      <c r="DBP44" s="316"/>
      <c r="DBQ44" s="14"/>
      <c r="DBR44" s="125"/>
      <c r="DBS44" s="125"/>
      <c r="DBT44" s="316"/>
      <c r="DBU44" s="14"/>
      <c r="DBV44" s="125"/>
      <c r="DBW44" s="125"/>
      <c r="DBX44" s="316"/>
      <c r="DBY44" s="14"/>
      <c r="DBZ44" s="125"/>
      <c r="DCA44" s="125"/>
      <c r="DCB44" s="316"/>
      <c r="DCC44" s="10"/>
      <c r="DCD44" s="125"/>
      <c r="DCE44" s="125"/>
      <c r="DCF44" s="316"/>
      <c r="DCG44" s="14"/>
      <c r="DCH44" s="125"/>
      <c r="DCI44" s="125"/>
      <c r="DCJ44" s="316"/>
      <c r="DCK44" s="14"/>
      <c r="DCL44" s="125"/>
      <c r="DCM44" s="125"/>
      <c r="DCN44" s="316"/>
      <c r="DCO44" s="14"/>
      <c r="DCP44" s="125"/>
      <c r="DCQ44" s="125"/>
      <c r="DCR44" s="316"/>
      <c r="DCS44" s="10"/>
      <c r="DCT44" s="125"/>
      <c r="DCU44" s="125"/>
      <c r="DCV44" s="316"/>
      <c r="DCW44" s="14"/>
      <c r="DCX44" s="125"/>
      <c r="DCY44" s="125"/>
      <c r="DCZ44" s="316"/>
      <c r="DDA44" s="14"/>
      <c r="DDB44" s="125"/>
      <c r="DDC44" s="125"/>
      <c r="DDD44" s="316"/>
      <c r="DDE44" s="14"/>
      <c r="DDF44" s="125"/>
      <c r="DDG44" s="125"/>
      <c r="DDH44" s="316"/>
      <c r="DDI44" s="10"/>
      <c r="DDJ44" s="125"/>
      <c r="DDK44" s="125"/>
      <c r="DDL44" s="316"/>
      <c r="DDM44" s="14"/>
      <c r="DDN44" s="125"/>
      <c r="DDO44" s="125"/>
      <c r="DDP44" s="316"/>
      <c r="DDQ44" s="14"/>
      <c r="DDR44" s="125"/>
      <c r="DDS44" s="125"/>
      <c r="DDT44" s="316"/>
      <c r="DDU44" s="14"/>
      <c r="DDV44" s="125"/>
      <c r="DDW44" s="125"/>
      <c r="DDX44" s="316"/>
      <c r="DDY44" s="10"/>
      <c r="DDZ44" s="125"/>
      <c r="DEA44" s="125"/>
      <c r="DEB44" s="316"/>
      <c r="DEC44" s="14"/>
      <c r="DED44" s="125"/>
      <c r="DEE44" s="125"/>
      <c r="DEF44" s="316"/>
      <c r="DEG44" s="14"/>
      <c r="DEH44" s="125"/>
      <c r="DEI44" s="125"/>
      <c r="DEJ44" s="316"/>
      <c r="DEK44" s="14"/>
      <c r="DEL44" s="125"/>
      <c r="DEM44" s="125"/>
      <c r="DEN44" s="316"/>
      <c r="DEO44" s="10"/>
      <c r="DEP44" s="125"/>
      <c r="DEQ44" s="125"/>
      <c r="DER44" s="316"/>
      <c r="DES44" s="14"/>
      <c r="DET44" s="125"/>
      <c r="DEU44" s="125"/>
      <c r="DEV44" s="316"/>
      <c r="DEW44" s="14"/>
      <c r="DEX44" s="125"/>
      <c r="DEY44" s="125"/>
      <c r="DEZ44" s="316"/>
      <c r="DFA44" s="14"/>
      <c r="DFB44" s="125"/>
      <c r="DFC44" s="125"/>
      <c r="DFD44" s="316"/>
      <c r="DFE44" s="10"/>
      <c r="DFF44" s="125"/>
      <c r="DFG44" s="125"/>
      <c r="DFH44" s="316"/>
      <c r="DFI44" s="14"/>
      <c r="DFJ44" s="125"/>
      <c r="DFK44" s="125"/>
      <c r="DFL44" s="316"/>
      <c r="DFM44" s="14"/>
      <c r="DFN44" s="125"/>
      <c r="DFO44" s="125"/>
      <c r="DFP44" s="316"/>
      <c r="DFQ44" s="14"/>
      <c r="DFR44" s="125"/>
      <c r="DFS44" s="125"/>
      <c r="DFT44" s="316"/>
      <c r="DFU44" s="10"/>
      <c r="DFV44" s="125"/>
      <c r="DFW44" s="125"/>
      <c r="DFX44" s="316"/>
      <c r="DFY44" s="14"/>
      <c r="DFZ44" s="125"/>
      <c r="DGA44" s="125"/>
      <c r="DGB44" s="316"/>
      <c r="DGC44" s="14"/>
      <c r="DGD44" s="125"/>
      <c r="DGE44" s="125"/>
      <c r="DGF44" s="316"/>
      <c r="DGG44" s="14"/>
      <c r="DGH44" s="125"/>
      <c r="DGI44" s="125"/>
      <c r="DGJ44" s="316"/>
      <c r="DGK44" s="10"/>
      <c r="DGL44" s="125"/>
      <c r="DGM44" s="125"/>
      <c r="DGN44" s="316"/>
      <c r="DGO44" s="14"/>
      <c r="DGP44" s="125"/>
      <c r="DGQ44" s="125"/>
      <c r="DGR44" s="316"/>
      <c r="DGS44" s="14"/>
      <c r="DGT44" s="125"/>
      <c r="DGU44" s="125"/>
      <c r="DGV44" s="316"/>
      <c r="DGW44" s="14"/>
      <c r="DGX44" s="125"/>
      <c r="DGY44" s="125"/>
      <c r="DGZ44" s="316"/>
      <c r="DHA44" s="10"/>
      <c r="DHB44" s="125"/>
      <c r="DHC44" s="125"/>
      <c r="DHD44" s="316"/>
      <c r="DHE44" s="14"/>
      <c r="DHF44" s="125"/>
      <c r="DHG44" s="125"/>
      <c r="DHH44" s="316"/>
      <c r="DHI44" s="14"/>
      <c r="DHJ44" s="125"/>
      <c r="DHK44" s="125"/>
      <c r="DHL44" s="316"/>
      <c r="DHM44" s="14"/>
      <c r="DHN44" s="125"/>
      <c r="DHO44" s="125"/>
      <c r="DHP44" s="316"/>
      <c r="DHQ44" s="10"/>
      <c r="DHR44" s="125"/>
      <c r="DHS44" s="125"/>
      <c r="DHT44" s="316"/>
      <c r="DHU44" s="14"/>
      <c r="DHV44" s="125"/>
      <c r="DHW44" s="125"/>
      <c r="DHX44" s="316"/>
      <c r="DHY44" s="14"/>
      <c r="DHZ44" s="125"/>
      <c r="DIA44" s="125"/>
      <c r="DIB44" s="316"/>
      <c r="DIC44" s="14"/>
      <c r="DID44" s="125"/>
      <c r="DIE44" s="125"/>
      <c r="DIF44" s="316"/>
      <c r="DIG44" s="10"/>
      <c r="DIH44" s="125"/>
      <c r="DII44" s="125"/>
      <c r="DIJ44" s="316"/>
      <c r="DIK44" s="14"/>
      <c r="DIL44" s="125"/>
      <c r="DIM44" s="125"/>
      <c r="DIN44" s="316"/>
      <c r="DIO44" s="14"/>
      <c r="DIP44" s="125"/>
      <c r="DIQ44" s="125"/>
      <c r="DIR44" s="316"/>
      <c r="DIS44" s="14"/>
      <c r="DIT44" s="125"/>
      <c r="DIU44" s="125"/>
      <c r="DIV44" s="316"/>
      <c r="DIW44" s="10"/>
      <c r="DIX44" s="125"/>
      <c r="DIY44" s="125"/>
      <c r="DIZ44" s="316"/>
      <c r="DJA44" s="14"/>
      <c r="DJB44" s="125"/>
      <c r="DJC44" s="125"/>
      <c r="DJD44" s="316"/>
      <c r="DJE44" s="14"/>
      <c r="DJF44" s="125"/>
      <c r="DJG44" s="125"/>
      <c r="DJH44" s="316"/>
      <c r="DJI44" s="14"/>
      <c r="DJJ44" s="125"/>
      <c r="DJK44" s="125"/>
      <c r="DJL44" s="316"/>
      <c r="DJM44" s="10"/>
      <c r="DJN44" s="125"/>
      <c r="DJO44" s="125"/>
      <c r="DJP44" s="316"/>
      <c r="DJQ44" s="14"/>
      <c r="DJR44" s="125"/>
      <c r="DJS44" s="125"/>
      <c r="DJT44" s="316"/>
      <c r="DJU44" s="14"/>
      <c r="DJV44" s="125"/>
      <c r="DJW44" s="125"/>
      <c r="DJX44" s="316"/>
      <c r="DJY44" s="14"/>
      <c r="DJZ44" s="125"/>
      <c r="DKA44" s="125"/>
      <c r="DKB44" s="316"/>
      <c r="DKC44" s="10"/>
      <c r="DKD44" s="125"/>
      <c r="DKE44" s="125"/>
      <c r="DKF44" s="316"/>
      <c r="DKG44" s="14"/>
      <c r="DKH44" s="125"/>
      <c r="DKI44" s="125"/>
      <c r="DKJ44" s="316"/>
      <c r="DKK44" s="14"/>
      <c r="DKL44" s="125"/>
      <c r="DKM44" s="125"/>
      <c r="DKN44" s="316"/>
      <c r="DKO44" s="14"/>
      <c r="DKP44" s="125"/>
      <c r="DKQ44" s="125"/>
      <c r="DKR44" s="316"/>
      <c r="DKS44" s="10"/>
      <c r="DKT44" s="125"/>
      <c r="DKU44" s="125"/>
      <c r="DKV44" s="316"/>
      <c r="DKW44" s="14"/>
      <c r="DKX44" s="125"/>
      <c r="DKY44" s="125"/>
      <c r="DKZ44" s="316"/>
      <c r="DLA44" s="14"/>
      <c r="DLB44" s="125"/>
      <c r="DLC44" s="125"/>
      <c r="DLD44" s="316"/>
      <c r="DLE44" s="14"/>
      <c r="DLF44" s="125"/>
      <c r="DLG44" s="125"/>
      <c r="DLH44" s="316"/>
      <c r="DLI44" s="10"/>
      <c r="DLJ44" s="125"/>
      <c r="DLK44" s="125"/>
      <c r="DLL44" s="316"/>
      <c r="DLM44" s="14"/>
      <c r="DLN44" s="125"/>
      <c r="DLO44" s="125"/>
      <c r="DLP44" s="316"/>
      <c r="DLQ44" s="14"/>
      <c r="DLR44" s="125"/>
      <c r="DLS44" s="125"/>
      <c r="DLT44" s="316"/>
      <c r="DLU44" s="14"/>
      <c r="DLV44" s="125"/>
      <c r="DLW44" s="125"/>
      <c r="DLX44" s="316"/>
      <c r="DLY44" s="10"/>
      <c r="DLZ44" s="125"/>
      <c r="DMA44" s="125"/>
      <c r="DMB44" s="316"/>
      <c r="DMC44" s="14"/>
      <c r="DMD44" s="125"/>
      <c r="DME44" s="125"/>
      <c r="DMF44" s="316"/>
      <c r="DMG44" s="14"/>
      <c r="DMH44" s="125"/>
      <c r="DMI44" s="125"/>
      <c r="DMJ44" s="316"/>
      <c r="DMK44" s="14"/>
      <c r="DML44" s="125"/>
      <c r="DMM44" s="125"/>
      <c r="DMN44" s="316"/>
      <c r="DMO44" s="10"/>
      <c r="DMP44" s="125"/>
      <c r="DMQ44" s="125"/>
      <c r="DMR44" s="316"/>
      <c r="DMS44" s="14"/>
      <c r="DMT44" s="125"/>
      <c r="DMU44" s="125"/>
      <c r="DMV44" s="316"/>
      <c r="DMW44" s="14"/>
      <c r="DMX44" s="125"/>
      <c r="DMY44" s="125"/>
      <c r="DMZ44" s="316"/>
      <c r="DNA44" s="14"/>
      <c r="DNB44" s="125"/>
      <c r="DNC44" s="125"/>
      <c r="DND44" s="316"/>
      <c r="DNE44" s="10"/>
      <c r="DNF44" s="125"/>
      <c r="DNG44" s="125"/>
      <c r="DNH44" s="316"/>
      <c r="DNI44" s="14"/>
      <c r="DNJ44" s="125"/>
      <c r="DNK44" s="125"/>
      <c r="DNL44" s="316"/>
      <c r="DNM44" s="14"/>
      <c r="DNN44" s="125"/>
      <c r="DNO44" s="125"/>
      <c r="DNP44" s="316"/>
      <c r="DNQ44" s="14"/>
      <c r="DNR44" s="125"/>
      <c r="DNS44" s="125"/>
      <c r="DNT44" s="316"/>
      <c r="DNU44" s="10"/>
      <c r="DNV44" s="125"/>
      <c r="DNW44" s="125"/>
      <c r="DNX44" s="316"/>
      <c r="DNY44" s="14"/>
      <c r="DNZ44" s="125"/>
      <c r="DOA44" s="125"/>
      <c r="DOB44" s="316"/>
      <c r="DOC44" s="14"/>
      <c r="DOD44" s="125"/>
      <c r="DOE44" s="125"/>
      <c r="DOF44" s="316"/>
      <c r="DOG44" s="14"/>
      <c r="DOH44" s="125"/>
      <c r="DOI44" s="125"/>
      <c r="DOJ44" s="316"/>
      <c r="DOK44" s="10"/>
      <c r="DOL44" s="125"/>
      <c r="DOM44" s="125"/>
      <c r="DON44" s="316"/>
      <c r="DOO44" s="14"/>
      <c r="DOP44" s="125"/>
      <c r="DOQ44" s="125"/>
      <c r="DOR44" s="316"/>
      <c r="DOS44" s="14"/>
      <c r="DOT44" s="125"/>
      <c r="DOU44" s="125"/>
      <c r="DOV44" s="316"/>
      <c r="DOW44" s="14"/>
      <c r="DOX44" s="125"/>
      <c r="DOY44" s="125"/>
      <c r="DOZ44" s="316"/>
      <c r="DPA44" s="10"/>
      <c r="DPB44" s="125"/>
      <c r="DPC44" s="125"/>
      <c r="DPD44" s="316"/>
      <c r="DPE44" s="14"/>
      <c r="DPF44" s="125"/>
      <c r="DPG44" s="125"/>
      <c r="DPH44" s="316"/>
      <c r="DPI44" s="14"/>
      <c r="DPJ44" s="125"/>
      <c r="DPK44" s="125"/>
      <c r="DPL44" s="316"/>
      <c r="DPM44" s="14"/>
      <c r="DPN44" s="125"/>
      <c r="DPO44" s="125"/>
      <c r="DPP44" s="316"/>
      <c r="DPQ44" s="10"/>
      <c r="DPR44" s="125"/>
      <c r="DPS44" s="125"/>
      <c r="DPT44" s="316"/>
      <c r="DPU44" s="14"/>
      <c r="DPV44" s="125"/>
      <c r="DPW44" s="125"/>
      <c r="DPX44" s="316"/>
      <c r="DPY44" s="14"/>
      <c r="DPZ44" s="125"/>
      <c r="DQA44" s="125"/>
      <c r="DQB44" s="316"/>
      <c r="DQC44" s="14"/>
      <c r="DQD44" s="125"/>
      <c r="DQE44" s="125"/>
      <c r="DQF44" s="316"/>
      <c r="DQG44" s="10"/>
      <c r="DQH44" s="125"/>
      <c r="DQI44" s="125"/>
      <c r="DQJ44" s="316"/>
      <c r="DQK44" s="14"/>
      <c r="DQL44" s="125"/>
      <c r="DQM44" s="125"/>
      <c r="DQN44" s="316"/>
      <c r="DQO44" s="14"/>
      <c r="DQP44" s="125"/>
      <c r="DQQ44" s="125"/>
      <c r="DQR44" s="316"/>
      <c r="DQS44" s="14"/>
      <c r="DQT44" s="125"/>
      <c r="DQU44" s="125"/>
      <c r="DQV44" s="316"/>
      <c r="DQW44" s="10"/>
      <c r="DQX44" s="125"/>
      <c r="DQY44" s="125"/>
      <c r="DQZ44" s="316"/>
      <c r="DRA44" s="14"/>
      <c r="DRB44" s="125"/>
      <c r="DRC44" s="125"/>
      <c r="DRD44" s="316"/>
      <c r="DRE44" s="14"/>
      <c r="DRF44" s="125"/>
      <c r="DRG44" s="125"/>
      <c r="DRH44" s="316"/>
      <c r="DRI44" s="14"/>
      <c r="DRJ44" s="125"/>
      <c r="DRK44" s="125"/>
      <c r="DRL44" s="316"/>
      <c r="DRM44" s="10"/>
      <c r="DRN44" s="125"/>
      <c r="DRO44" s="125"/>
      <c r="DRP44" s="316"/>
      <c r="DRQ44" s="14"/>
      <c r="DRR44" s="125"/>
      <c r="DRS44" s="125"/>
      <c r="DRT44" s="316"/>
      <c r="DRU44" s="14"/>
      <c r="DRV44" s="125"/>
      <c r="DRW44" s="125"/>
      <c r="DRX44" s="316"/>
      <c r="DRY44" s="14"/>
      <c r="DRZ44" s="125"/>
      <c r="DSA44" s="125"/>
      <c r="DSB44" s="316"/>
      <c r="DSC44" s="10"/>
      <c r="DSD44" s="125"/>
      <c r="DSE44" s="125"/>
      <c r="DSF44" s="316"/>
      <c r="DSG44" s="14"/>
      <c r="DSH44" s="125"/>
      <c r="DSI44" s="125"/>
      <c r="DSJ44" s="316"/>
      <c r="DSK44" s="14"/>
      <c r="DSL44" s="125"/>
      <c r="DSM44" s="125"/>
      <c r="DSN44" s="316"/>
      <c r="DSO44" s="14"/>
      <c r="DSP44" s="125"/>
      <c r="DSQ44" s="125"/>
      <c r="DSR44" s="316"/>
      <c r="DSS44" s="10"/>
      <c r="DST44" s="125"/>
      <c r="DSU44" s="125"/>
      <c r="DSV44" s="316"/>
      <c r="DSW44" s="14"/>
      <c r="DSX44" s="125"/>
      <c r="DSY44" s="125"/>
      <c r="DSZ44" s="316"/>
      <c r="DTA44" s="14"/>
      <c r="DTB44" s="125"/>
      <c r="DTC44" s="125"/>
      <c r="DTD44" s="316"/>
      <c r="DTE44" s="14"/>
      <c r="DTF44" s="125"/>
      <c r="DTG44" s="125"/>
      <c r="DTH44" s="316"/>
      <c r="DTI44" s="10"/>
      <c r="DTJ44" s="125"/>
      <c r="DTK44" s="125"/>
      <c r="DTL44" s="316"/>
      <c r="DTM44" s="14"/>
      <c r="DTN44" s="125"/>
      <c r="DTO44" s="125"/>
      <c r="DTP44" s="316"/>
      <c r="DTQ44" s="14"/>
      <c r="DTR44" s="125"/>
      <c r="DTS44" s="125"/>
      <c r="DTT44" s="316"/>
      <c r="DTU44" s="14"/>
      <c r="DTV44" s="125"/>
      <c r="DTW44" s="125"/>
      <c r="DTX44" s="316"/>
      <c r="DTY44" s="10"/>
      <c r="DTZ44" s="125"/>
      <c r="DUA44" s="125"/>
      <c r="DUB44" s="316"/>
      <c r="DUC44" s="14"/>
      <c r="DUD44" s="125"/>
      <c r="DUE44" s="125"/>
      <c r="DUF44" s="316"/>
      <c r="DUG44" s="14"/>
      <c r="DUH44" s="125"/>
      <c r="DUI44" s="125"/>
      <c r="DUJ44" s="316"/>
      <c r="DUK44" s="14"/>
      <c r="DUL44" s="125"/>
      <c r="DUM44" s="125"/>
      <c r="DUN44" s="316"/>
      <c r="DUO44" s="10"/>
      <c r="DUP44" s="125"/>
      <c r="DUQ44" s="125"/>
      <c r="DUR44" s="316"/>
      <c r="DUS44" s="14"/>
      <c r="DUT44" s="125"/>
      <c r="DUU44" s="125"/>
      <c r="DUV44" s="316"/>
      <c r="DUW44" s="14"/>
      <c r="DUX44" s="125"/>
      <c r="DUY44" s="125"/>
      <c r="DUZ44" s="316"/>
      <c r="DVA44" s="14"/>
      <c r="DVB44" s="125"/>
      <c r="DVC44" s="125"/>
      <c r="DVD44" s="316"/>
      <c r="DVE44" s="10"/>
      <c r="DVF44" s="125"/>
      <c r="DVG44" s="125"/>
      <c r="DVH44" s="316"/>
      <c r="DVI44" s="14"/>
      <c r="DVJ44" s="125"/>
      <c r="DVK44" s="125"/>
      <c r="DVL44" s="316"/>
      <c r="DVM44" s="14"/>
      <c r="DVN44" s="125"/>
      <c r="DVO44" s="125"/>
      <c r="DVP44" s="316"/>
      <c r="DVQ44" s="14"/>
      <c r="DVR44" s="125"/>
      <c r="DVS44" s="125"/>
      <c r="DVT44" s="316"/>
      <c r="DVU44" s="10"/>
      <c r="DVV44" s="125"/>
      <c r="DVW44" s="125"/>
      <c r="DVX44" s="316"/>
      <c r="DVY44" s="14"/>
      <c r="DVZ44" s="125"/>
      <c r="DWA44" s="125"/>
      <c r="DWB44" s="316"/>
      <c r="DWC44" s="14"/>
      <c r="DWD44" s="125"/>
      <c r="DWE44" s="125"/>
      <c r="DWF44" s="316"/>
      <c r="DWG44" s="14"/>
      <c r="DWH44" s="125"/>
      <c r="DWI44" s="125"/>
      <c r="DWJ44" s="316"/>
      <c r="DWK44" s="10"/>
      <c r="DWL44" s="125"/>
      <c r="DWM44" s="125"/>
      <c r="DWN44" s="316"/>
      <c r="DWO44" s="14"/>
      <c r="DWP44" s="125"/>
      <c r="DWQ44" s="125"/>
      <c r="DWR44" s="316"/>
      <c r="DWS44" s="14"/>
      <c r="DWT44" s="125"/>
      <c r="DWU44" s="125"/>
      <c r="DWV44" s="316"/>
      <c r="DWW44" s="14"/>
      <c r="DWX44" s="125"/>
      <c r="DWY44" s="125"/>
      <c r="DWZ44" s="316"/>
      <c r="DXA44" s="10"/>
      <c r="DXB44" s="125"/>
      <c r="DXC44" s="125"/>
      <c r="DXD44" s="316"/>
      <c r="DXE44" s="14"/>
      <c r="DXF44" s="125"/>
      <c r="DXG44" s="125"/>
      <c r="DXH44" s="316"/>
      <c r="DXI44" s="14"/>
      <c r="DXJ44" s="125"/>
      <c r="DXK44" s="125"/>
      <c r="DXL44" s="316"/>
      <c r="DXM44" s="14"/>
      <c r="DXN44" s="125"/>
      <c r="DXO44" s="125"/>
      <c r="DXP44" s="316"/>
      <c r="DXQ44" s="10"/>
      <c r="DXR44" s="125"/>
      <c r="DXS44" s="125"/>
      <c r="DXT44" s="316"/>
      <c r="DXU44" s="14"/>
      <c r="DXV44" s="125"/>
      <c r="DXW44" s="125"/>
      <c r="DXX44" s="316"/>
      <c r="DXY44" s="14"/>
      <c r="DXZ44" s="125"/>
      <c r="DYA44" s="125"/>
      <c r="DYB44" s="316"/>
      <c r="DYC44" s="14"/>
      <c r="DYD44" s="125"/>
      <c r="DYE44" s="125"/>
      <c r="DYF44" s="316"/>
      <c r="DYG44" s="10"/>
      <c r="DYH44" s="125"/>
      <c r="DYI44" s="125"/>
      <c r="DYJ44" s="316"/>
      <c r="DYK44" s="14"/>
      <c r="DYL44" s="125"/>
      <c r="DYM44" s="125"/>
      <c r="DYN44" s="316"/>
      <c r="DYO44" s="14"/>
      <c r="DYP44" s="125"/>
      <c r="DYQ44" s="125"/>
      <c r="DYR44" s="316"/>
      <c r="DYS44" s="14"/>
      <c r="DYT44" s="125"/>
      <c r="DYU44" s="125"/>
      <c r="DYV44" s="316"/>
      <c r="DYW44" s="10"/>
      <c r="DYX44" s="125"/>
      <c r="DYY44" s="125"/>
      <c r="DYZ44" s="316"/>
      <c r="DZA44" s="14"/>
      <c r="DZB44" s="125"/>
      <c r="DZC44" s="125"/>
      <c r="DZD44" s="316"/>
      <c r="DZE44" s="14"/>
      <c r="DZF44" s="125"/>
      <c r="DZG44" s="125"/>
      <c r="DZH44" s="316"/>
      <c r="DZI44" s="14"/>
      <c r="DZJ44" s="125"/>
      <c r="DZK44" s="125"/>
      <c r="DZL44" s="316"/>
      <c r="DZM44" s="10"/>
      <c r="DZN44" s="125"/>
      <c r="DZO44" s="125"/>
      <c r="DZP44" s="316"/>
      <c r="DZQ44" s="14"/>
      <c r="DZR44" s="125"/>
      <c r="DZS44" s="125"/>
      <c r="DZT44" s="316"/>
      <c r="DZU44" s="14"/>
      <c r="DZV44" s="125"/>
      <c r="DZW44" s="125"/>
      <c r="DZX44" s="316"/>
      <c r="DZY44" s="14"/>
      <c r="DZZ44" s="125"/>
      <c r="EAA44" s="125"/>
      <c r="EAB44" s="316"/>
      <c r="EAC44" s="10"/>
      <c r="EAD44" s="125"/>
      <c r="EAE44" s="125"/>
      <c r="EAF44" s="316"/>
      <c r="EAG44" s="14"/>
      <c r="EAH44" s="125"/>
      <c r="EAI44" s="125"/>
      <c r="EAJ44" s="316"/>
      <c r="EAK44" s="14"/>
      <c r="EAL44" s="125"/>
      <c r="EAM44" s="125"/>
      <c r="EAN44" s="316"/>
      <c r="EAO44" s="14"/>
      <c r="EAP44" s="125"/>
      <c r="EAQ44" s="125"/>
      <c r="EAR44" s="316"/>
      <c r="EAS44" s="10"/>
      <c r="EAT44" s="125"/>
      <c r="EAU44" s="125"/>
      <c r="EAV44" s="316"/>
      <c r="EAW44" s="14"/>
      <c r="EAX44" s="125"/>
      <c r="EAY44" s="125"/>
      <c r="EAZ44" s="316"/>
      <c r="EBA44" s="14"/>
      <c r="EBB44" s="125"/>
      <c r="EBC44" s="125"/>
      <c r="EBD44" s="316"/>
      <c r="EBE44" s="14"/>
      <c r="EBF44" s="125"/>
      <c r="EBG44" s="125"/>
      <c r="EBH44" s="316"/>
      <c r="EBI44" s="10"/>
      <c r="EBJ44" s="125"/>
      <c r="EBK44" s="125"/>
      <c r="EBL44" s="316"/>
      <c r="EBM44" s="14"/>
      <c r="EBN44" s="125"/>
      <c r="EBO44" s="125"/>
      <c r="EBP44" s="316"/>
      <c r="EBQ44" s="14"/>
      <c r="EBR44" s="125"/>
      <c r="EBS44" s="125"/>
      <c r="EBT44" s="316"/>
      <c r="EBU44" s="14"/>
      <c r="EBV44" s="125"/>
      <c r="EBW44" s="125"/>
      <c r="EBX44" s="316"/>
      <c r="EBY44" s="10"/>
      <c r="EBZ44" s="125"/>
      <c r="ECA44" s="125"/>
      <c r="ECB44" s="316"/>
      <c r="ECC44" s="14"/>
      <c r="ECD44" s="125"/>
      <c r="ECE44" s="125"/>
      <c r="ECF44" s="316"/>
      <c r="ECG44" s="14"/>
      <c r="ECH44" s="125"/>
      <c r="ECI44" s="125"/>
      <c r="ECJ44" s="316"/>
      <c r="ECK44" s="14"/>
      <c r="ECL44" s="125"/>
      <c r="ECM44" s="125"/>
      <c r="ECN44" s="316"/>
      <c r="ECO44" s="10"/>
      <c r="ECP44" s="125"/>
      <c r="ECQ44" s="125"/>
      <c r="ECR44" s="316"/>
      <c r="ECS44" s="14"/>
      <c r="ECT44" s="125"/>
      <c r="ECU44" s="125"/>
      <c r="ECV44" s="316"/>
      <c r="ECW44" s="14"/>
      <c r="ECX44" s="125"/>
      <c r="ECY44" s="125"/>
      <c r="ECZ44" s="316"/>
      <c r="EDA44" s="14"/>
      <c r="EDB44" s="125"/>
      <c r="EDC44" s="125"/>
      <c r="EDD44" s="316"/>
      <c r="EDE44" s="10"/>
      <c r="EDF44" s="125"/>
      <c r="EDG44" s="125"/>
      <c r="EDH44" s="316"/>
      <c r="EDI44" s="14"/>
      <c r="EDJ44" s="125"/>
      <c r="EDK44" s="125"/>
      <c r="EDL44" s="316"/>
      <c r="EDM44" s="14"/>
      <c r="EDN44" s="125"/>
      <c r="EDO44" s="125"/>
      <c r="EDP44" s="316"/>
      <c r="EDQ44" s="14"/>
      <c r="EDR44" s="125"/>
      <c r="EDS44" s="125"/>
      <c r="EDT44" s="316"/>
      <c r="EDU44" s="10"/>
      <c r="EDV44" s="125"/>
      <c r="EDW44" s="125"/>
      <c r="EDX44" s="316"/>
      <c r="EDY44" s="14"/>
      <c r="EDZ44" s="125"/>
      <c r="EEA44" s="125"/>
      <c r="EEB44" s="316"/>
      <c r="EEC44" s="14"/>
      <c r="EED44" s="125"/>
      <c r="EEE44" s="125"/>
      <c r="EEF44" s="316"/>
      <c r="EEG44" s="14"/>
      <c r="EEH44" s="125"/>
      <c r="EEI44" s="125"/>
      <c r="EEJ44" s="316"/>
      <c r="EEK44" s="10"/>
      <c r="EEL44" s="125"/>
      <c r="EEM44" s="125"/>
      <c r="EEN44" s="316"/>
      <c r="EEO44" s="14"/>
      <c r="EEP44" s="125"/>
      <c r="EEQ44" s="125"/>
      <c r="EER44" s="316"/>
      <c r="EES44" s="14"/>
      <c r="EET44" s="125"/>
      <c r="EEU44" s="125"/>
      <c r="EEV44" s="316"/>
      <c r="EEW44" s="14"/>
      <c r="EEX44" s="125"/>
      <c r="EEY44" s="125"/>
      <c r="EEZ44" s="316"/>
      <c r="EFA44" s="10"/>
      <c r="EFB44" s="125"/>
      <c r="EFC44" s="125"/>
      <c r="EFD44" s="316"/>
      <c r="EFE44" s="14"/>
      <c r="EFF44" s="125"/>
      <c r="EFG44" s="125"/>
      <c r="EFH44" s="316"/>
      <c r="EFI44" s="14"/>
      <c r="EFJ44" s="125"/>
      <c r="EFK44" s="125"/>
      <c r="EFL44" s="316"/>
      <c r="EFM44" s="14"/>
      <c r="EFN44" s="125"/>
      <c r="EFO44" s="125"/>
      <c r="EFP44" s="316"/>
      <c r="EFQ44" s="10"/>
      <c r="EFR44" s="125"/>
      <c r="EFS44" s="125"/>
      <c r="EFT44" s="316"/>
      <c r="EFU44" s="14"/>
      <c r="EFV44" s="125"/>
      <c r="EFW44" s="125"/>
      <c r="EFX44" s="316"/>
      <c r="EFY44" s="14"/>
      <c r="EFZ44" s="125"/>
      <c r="EGA44" s="125"/>
      <c r="EGB44" s="316"/>
      <c r="EGC44" s="14"/>
      <c r="EGD44" s="125"/>
      <c r="EGE44" s="125"/>
      <c r="EGF44" s="316"/>
      <c r="EGG44" s="10"/>
      <c r="EGH44" s="125"/>
      <c r="EGI44" s="125"/>
      <c r="EGJ44" s="316"/>
      <c r="EGK44" s="14"/>
      <c r="EGL44" s="125"/>
      <c r="EGM44" s="125"/>
      <c r="EGN44" s="316"/>
      <c r="EGO44" s="14"/>
      <c r="EGP44" s="125"/>
      <c r="EGQ44" s="125"/>
      <c r="EGR44" s="316"/>
      <c r="EGS44" s="14"/>
      <c r="EGT44" s="125"/>
      <c r="EGU44" s="125"/>
      <c r="EGV44" s="316"/>
      <c r="EGW44" s="10"/>
      <c r="EGX44" s="125"/>
      <c r="EGY44" s="125"/>
      <c r="EGZ44" s="316"/>
      <c r="EHA44" s="14"/>
      <c r="EHB44" s="125"/>
      <c r="EHC44" s="125"/>
      <c r="EHD44" s="316"/>
      <c r="EHE44" s="14"/>
      <c r="EHF44" s="125"/>
      <c r="EHG44" s="125"/>
      <c r="EHH44" s="316"/>
      <c r="EHI44" s="14"/>
      <c r="EHJ44" s="125"/>
      <c r="EHK44" s="125"/>
      <c r="EHL44" s="316"/>
      <c r="EHM44" s="10"/>
      <c r="EHN44" s="125"/>
      <c r="EHO44" s="125"/>
      <c r="EHP44" s="316"/>
      <c r="EHQ44" s="14"/>
      <c r="EHR44" s="125"/>
      <c r="EHS44" s="125"/>
      <c r="EHT44" s="316"/>
      <c r="EHU44" s="14"/>
      <c r="EHV44" s="125"/>
      <c r="EHW44" s="125"/>
      <c r="EHX44" s="316"/>
      <c r="EHY44" s="14"/>
      <c r="EHZ44" s="125"/>
      <c r="EIA44" s="125"/>
      <c r="EIB44" s="316"/>
      <c r="EIC44" s="10"/>
      <c r="EID44" s="125"/>
      <c r="EIE44" s="125"/>
      <c r="EIF44" s="316"/>
      <c r="EIG44" s="14"/>
      <c r="EIH44" s="125"/>
      <c r="EII44" s="125"/>
      <c r="EIJ44" s="316"/>
      <c r="EIK44" s="14"/>
      <c r="EIL44" s="125"/>
      <c r="EIM44" s="125"/>
      <c r="EIN44" s="316"/>
      <c r="EIO44" s="14"/>
      <c r="EIP44" s="125"/>
      <c r="EIQ44" s="125"/>
      <c r="EIR44" s="316"/>
      <c r="EIS44" s="10"/>
      <c r="EIT44" s="125"/>
      <c r="EIU44" s="125"/>
      <c r="EIV44" s="316"/>
      <c r="EIW44" s="14"/>
      <c r="EIX44" s="125"/>
      <c r="EIY44" s="125"/>
      <c r="EIZ44" s="316"/>
      <c r="EJA44" s="14"/>
      <c r="EJB44" s="125"/>
      <c r="EJC44" s="125"/>
      <c r="EJD44" s="316"/>
      <c r="EJE44" s="14"/>
      <c r="EJF44" s="125"/>
      <c r="EJG44" s="125"/>
      <c r="EJH44" s="316"/>
      <c r="EJI44" s="10"/>
      <c r="EJJ44" s="125"/>
      <c r="EJK44" s="125"/>
      <c r="EJL44" s="316"/>
      <c r="EJM44" s="14"/>
      <c r="EJN44" s="125"/>
      <c r="EJO44" s="125"/>
      <c r="EJP44" s="316"/>
      <c r="EJQ44" s="14"/>
      <c r="EJR44" s="125"/>
      <c r="EJS44" s="125"/>
      <c r="EJT44" s="316"/>
      <c r="EJU44" s="14"/>
      <c r="EJV44" s="125"/>
      <c r="EJW44" s="125"/>
      <c r="EJX44" s="316"/>
      <c r="EJY44" s="10"/>
      <c r="EJZ44" s="125"/>
      <c r="EKA44" s="125"/>
      <c r="EKB44" s="316"/>
      <c r="EKC44" s="14"/>
      <c r="EKD44" s="125"/>
      <c r="EKE44" s="125"/>
      <c r="EKF44" s="316"/>
      <c r="EKG44" s="14"/>
      <c r="EKH44" s="125"/>
      <c r="EKI44" s="125"/>
      <c r="EKJ44" s="316"/>
      <c r="EKK44" s="14"/>
      <c r="EKL44" s="125"/>
      <c r="EKM44" s="125"/>
      <c r="EKN44" s="316"/>
      <c r="EKO44" s="10"/>
      <c r="EKP44" s="125"/>
      <c r="EKQ44" s="125"/>
      <c r="EKR44" s="316"/>
      <c r="EKS44" s="14"/>
      <c r="EKT44" s="125"/>
      <c r="EKU44" s="125"/>
      <c r="EKV44" s="316"/>
      <c r="EKW44" s="14"/>
      <c r="EKX44" s="125"/>
      <c r="EKY44" s="125"/>
      <c r="EKZ44" s="316"/>
      <c r="ELA44" s="14"/>
      <c r="ELB44" s="125"/>
      <c r="ELC44" s="125"/>
      <c r="ELD44" s="316"/>
      <c r="ELE44" s="10"/>
      <c r="ELF44" s="125"/>
      <c r="ELG44" s="125"/>
      <c r="ELH44" s="316"/>
      <c r="ELI44" s="14"/>
      <c r="ELJ44" s="125"/>
      <c r="ELK44" s="125"/>
      <c r="ELL44" s="316"/>
      <c r="ELM44" s="14"/>
      <c r="ELN44" s="125"/>
      <c r="ELO44" s="125"/>
      <c r="ELP44" s="316"/>
      <c r="ELQ44" s="14"/>
      <c r="ELR44" s="125"/>
      <c r="ELS44" s="125"/>
      <c r="ELT44" s="316"/>
      <c r="ELU44" s="10"/>
      <c r="ELV44" s="125"/>
      <c r="ELW44" s="125"/>
      <c r="ELX44" s="316"/>
      <c r="ELY44" s="14"/>
      <c r="ELZ44" s="125"/>
      <c r="EMA44" s="125"/>
      <c r="EMB44" s="316"/>
      <c r="EMC44" s="14"/>
      <c r="EMD44" s="125"/>
      <c r="EME44" s="125"/>
      <c r="EMF44" s="316"/>
      <c r="EMG44" s="14"/>
      <c r="EMH44" s="125"/>
      <c r="EMI44" s="125"/>
      <c r="EMJ44" s="316"/>
      <c r="EMK44" s="10"/>
      <c r="EML44" s="125"/>
      <c r="EMM44" s="125"/>
      <c r="EMN44" s="316"/>
      <c r="EMO44" s="14"/>
      <c r="EMP44" s="125"/>
      <c r="EMQ44" s="125"/>
      <c r="EMR44" s="316"/>
      <c r="EMS44" s="14"/>
      <c r="EMT44" s="125"/>
      <c r="EMU44" s="125"/>
      <c r="EMV44" s="316"/>
      <c r="EMW44" s="14"/>
      <c r="EMX44" s="125"/>
      <c r="EMY44" s="125"/>
      <c r="EMZ44" s="316"/>
      <c r="ENA44" s="10"/>
      <c r="ENB44" s="125"/>
      <c r="ENC44" s="125"/>
      <c r="END44" s="316"/>
      <c r="ENE44" s="14"/>
      <c r="ENF44" s="125"/>
      <c r="ENG44" s="125"/>
      <c r="ENH44" s="316"/>
      <c r="ENI44" s="14"/>
      <c r="ENJ44" s="125"/>
      <c r="ENK44" s="125"/>
      <c r="ENL44" s="316"/>
      <c r="ENM44" s="14"/>
      <c r="ENN44" s="125"/>
      <c r="ENO44" s="125"/>
      <c r="ENP44" s="316"/>
      <c r="ENQ44" s="10"/>
      <c r="ENR44" s="125"/>
      <c r="ENS44" s="125"/>
      <c r="ENT44" s="316"/>
      <c r="ENU44" s="14"/>
      <c r="ENV44" s="125"/>
      <c r="ENW44" s="125"/>
      <c r="ENX44" s="316"/>
      <c r="ENY44" s="14"/>
      <c r="ENZ44" s="125"/>
      <c r="EOA44" s="125"/>
      <c r="EOB44" s="316"/>
      <c r="EOC44" s="14"/>
      <c r="EOD44" s="125"/>
      <c r="EOE44" s="125"/>
      <c r="EOF44" s="316"/>
      <c r="EOG44" s="10"/>
      <c r="EOH44" s="125"/>
      <c r="EOI44" s="125"/>
      <c r="EOJ44" s="316"/>
      <c r="EOK44" s="14"/>
      <c r="EOL44" s="125"/>
      <c r="EOM44" s="125"/>
      <c r="EON44" s="316"/>
      <c r="EOO44" s="14"/>
      <c r="EOP44" s="125"/>
      <c r="EOQ44" s="125"/>
      <c r="EOR44" s="316"/>
      <c r="EOS44" s="14"/>
      <c r="EOT44" s="125"/>
      <c r="EOU44" s="125"/>
      <c r="EOV44" s="316"/>
      <c r="EOW44" s="10"/>
      <c r="EOX44" s="125"/>
      <c r="EOY44" s="125"/>
      <c r="EOZ44" s="316"/>
      <c r="EPA44" s="14"/>
      <c r="EPB44" s="125"/>
      <c r="EPC44" s="125"/>
      <c r="EPD44" s="316"/>
      <c r="EPE44" s="14"/>
      <c r="EPF44" s="125"/>
      <c r="EPG44" s="125"/>
      <c r="EPH44" s="316"/>
      <c r="EPI44" s="14"/>
      <c r="EPJ44" s="125"/>
      <c r="EPK44" s="125"/>
      <c r="EPL44" s="316"/>
      <c r="EPM44" s="10"/>
      <c r="EPN44" s="125"/>
      <c r="EPO44" s="125"/>
      <c r="EPP44" s="316"/>
      <c r="EPQ44" s="14"/>
      <c r="EPR44" s="125"/>
      <c r="EPS44" s="125"/>
      <c r="EPT44" s="316"/>
      <c r="EPU44" s="14"/>
      <c r="EPV44" s="125"/>
      <c r="EPW44" s="125"/>
      <c r="EPX44" s="316"/>
      <c r="EPY44" s="14"/>
      <c r="EPZ44" s="125"/>
      <c r="EQA44" s="125"/>
      <c r="EQB44" s="316"/>
      <c r="EQC44" s="10"/>
      <c r="EQD44" s="125"/>
      <c r="EQE44" s="125"/>
      <c r="EQF44" s="316"/>
      <c r="EQG44" s="14"/>
      <c r="EQH44" s="125"/>
      <c r="EQI44" s="125"/>
      <c r="EQJ44" s="316"/>
      <c r="EQK44" s="14"/>
      <c r="EQL44" s="125"/>
      <c r="EQM44" s="125"/>
      <c r="EQN44" s="316"/>
      <c r="EQO44" s="14"/>
      <c r="EQP44" s="125"/>
      <c r="EQQ44" s="125"/>
      <c r="EQR44" s="316"/>
      <c r="EQS44" s="10"/>
      <c r="EQT44" s="125"/>
      <c r="EQU44" s="125"/>
      <c r="EQV44" s="316"/>
      <c r="EQW44" s="14"/>
      <c r="EQX44" s="125"/>
      <c r="EQY44" s="125"/>
      <c r="EQZ44" s="316"/>
      <c r="ERA44" s="14"/>
      <c r="ERB44" s="125"/>
      <c r="ERC44" s="125"/>
      <c r="ERD44" s="316"/>
      <c r="ERE44" s="14"/>
      <c r="ERF44" s="125"/>
      <c r="ERG44" s="125"/>
      <c r="ERH44" s="316"/>
      <c r="ERI44" s="10"/>
      <c r="ERJ44" s="125"/>
      <c r="ERK44" s="125"/>
      <c r="ERL44" s="316"/>
      <c r="ERM44" s="14"/>
      <c r="ERN44" s="125"/>
      <c r="ERO44" s="125"/>
      <c r="ERP44" s="316"/>
      <c r="ERQ44" s="14"/>
      <c r="ERR44" s="125"/>
      <c r="ERS44" s="125"/>
      <c r="ERT44" s="316"/>
      <c r="ERU44" s="14"/>
      <c r="ERV44" s="125"/>
      <c r="ERW44" s="125"/>
      <c r="ERX44" s="316"/>
      <c r="ERY44" s="10"/>
      <c r="ERZ44" s="125"/>
      <c r="ESA44" s="125"/>
      <c r="ESB44" s="316"/>
      <c r="ESC44" s="14"/>
      <c r="ESD44" s="125"/>
      <c r="ESE44" s="125"/>
      <c r="ESF44" s="316"/>
      <c r="ESG44" s="14"/>
      <c r="ESH44" s="125"/>
      <c r="ESI44" s="125"/>
      <c r="ESJ44" s="316"/>
      <c r="ESK44" s="14"/>
      <c r="ESL44" s="125"/>
      <c r="ESM44" s="125"/>
      <c r="ESN44" s="316"/>
      <c r="ESO44" s="10"/>
      <c r="ESP44" s="125"/>
      <c r="ESQ44" s="125"/>
      <c r="ESR44" s="316"/>
      <c r="ESS44" s="14"/>
      <c r="EST44" s="125"/>
      <c r="ESU44" s="125"/>
      <c r="ESV44" s="316"/>
      <c r="ESW44" s="14"/>
      <c r="ESX44" s="125"/>
      <c r="ESY44" s="125"/>
      <c r="ESZ44" s="316"/>
      <c r="ETA44" s="14"/>
      <c r="ETB44" s="125"/>
      <c r="ETC44" s="125"/>
      <c r="ETD44" s="316"/>
      <c r="ETE44" s="10"/>
      <c r="ETF44" s="125"/>
      <c r="ETG44" s="125"/>
      <c r="ETH44" s="316"/>
      <c r="ETI44" s="14"/>
      <c r="ETJ44" s="125"/>
      <c r="ETK44" s="125"/>
      <c r="ETL44" s="316"/>
      <c r="ETM44" s="14"/>
      <c r="ETN44" s="125"/>
      <c r="ETO44" s="125"/>
      <c r="ETP44" s="316"/>
      <c r="ETQ44" s="14"/>
      <c r="ETR44" s="125"/>
      <c r="ETS44" s="125"/>
      <c r="ETT44" s="316"/>
      <c r="ETU44" s="10"/>
      <c r="ETV44" s="125"/>
      <c r="ETW44" s="125"/>
      <c r="ETX44" s="316"/>
      <c r="ETY44" s="14"/>
      <c r="ETZ44" s="125"/>
      <c r="EUA44" s="125"/>
      <c r="EUB44" s="316"/>
      <c r="EUC44" s="14"/>
      <c r="EUD44" s="125"/>
      <c r="EUE44" s="125"/>
      <c r="EUF44" s="316"/>
      <c r="EUG44" s="14"/>
      <c r="EUH44" s="125"/>
      <c r="EUI44" s="125"/>
      <c r="EUJ44" s="316"/>
      <c r="EUK44" s="10"/>
      <c r="EUL44" s="125"/>
      <c r="EUM44" s="125"/>
      <c r="EUN44" s="316"/>
      <c r="EUO44" s="14"/>
      <c r="EUP44" s="125"/>
      <c r="EUQ44" s="125"/>
      <c r="EUR44" s="316"/>
      <c r="EUS44" s="14"/>
      <c r="EUT44" s="125"/>
      <c r="EUU44" s="125"/>
      <c r="EUV44" s="316"/>
      <c r="EUW44" s="14"/>
      <c r="EUX44" s="125"/>
      <c r="EUY44" s="125"/>
      <c r="EUZ44" s="316"/>
      <c r="EVA44" s="10"/>
      <c r="EVB44" s="125"/>
      <c r="EVC44" s="125"/>
      <c r="EVD44" s="316"/>
      <c r="EVE44" s="14"/>
      <c r="EVF44" s="125"/>
      <c r="EVG44" s="125"/>
      <c r="EVH44" s="316"/>
      <c r="EVI44" s="14"/>
      <c r="EVJ44" s="125"/>
      <c r="EVK44" s="125"/>
      <c r="EVL44" s="316"/>
      <c r="EVM44" s="14"/>
      <c r="EVN44" s="125"/>
      <c r="EVO44" s="125"/>
      <c r="EVP44" s="316"/>
      <c r="EVQ44" s="10"/>
      <c r="EVR44" s="125"/>
      <c r="EVS44" s="125"/>
      <c r="EVT44" s="316"/>
      <c r="EVU44" s="14"/>
      <c r="EVV44" s="125"/>
      <c r="EVW44" s="125"/>
      <c r="EVX44" s="316"/>
      <c r="EVY44" s="14"/>
      <c r="EVZ44" s="125"/>
      <c r="EWA44" s="125"/>
      <c r="EWB44" s="316"/>
      <c r="EWC44" s="14"/>
      <c r="EWD44" s="125"/>
      <c r="EWE44" s="125"/>
      <c r="EWF44" s="316"/>
      <c r="EWG44" s="10"/>
      <c r="EWH44" s="125"/>
      <c r="EWI44" s="125"/>
      <c r="EWJ44" s="316"/>
      <c r="EWK44" s="14"/>
      <c r="EWL44" s="125"/>
      <c r="EWM44" s="125"/>
      <c r="EWN44" s="316"/>
      <c r="EWO44" s="14"/>
      <c r="EWP44" s="125"/>
      <c r="EWQ44" s="125"/>
      <c r="EWR44" s="316"/>
      <c r="EWS44" s="14"/>
      <c r="EWT44" s="125"/>
      <c r="EWU44" s="125"/>
      <c r="EWV44" s="316"/>
      <c r="EWW44" s="10"/>
      <c r="EWX44" s="125"/>
      <c r="EWY44" s="125"/>
      <c r="EWZ44" s="316"/>
      <c r="EXA44" s="14"/>
      <c r="EXB44" s="125"/>
      <c r="EXC44" s="125"/>
      <c r="EXD44" s="316"/>
      <c r="EXE44" s="14"/>
      <c r="EXF44" s="125"/>
      <c r="EXG44" s="125"/>
      <c r="EXH44" s="316"/>
      <c r="EXI44" s="14"/>
      <c r="EXJ44" s="125"/>
      <c r="EXK44" s="125"/>
      <c r="EXL44" s="316"/>
      <c r="EXM44" s="10"/>
      <c r="EXN44" s="125"/>
      <c r="EXO44" s="125"/>
      <c r="EXP44" s="316"/>
      <c r="EXQ44" s="14"/>
      <c r="EXR44" s="125"/>
      <c r="EXS44" s="125"/>
      <c r="EXT44" s="316"/>
      <c r="EXU44" s="14"/>
      <c r="EXV44" s="125"/>
      <c r="EXW44" s="125"/>
      <c r="EXX44" s="316"/>
      <c r="EXY44" s="14"/>
      <c r="EXZ44" s="125"/>
      <c r="EYA44" s="125"/>
      <c r="EYB44" s="316"/>
      <c r="EYC44" s="10"/>
      <c r="EYD44" s="125"/>
      <c r="EYE44" s="125"/>
      <c r="EYF44" s="316"/>
      <c r="EYG44" s="14"/>
      <c r="EYH44" s="125"/>
      <c r="EYI44" s="125"/>
      <c r="EYJ44" s="316"/>
      <c r="EYK44" s="14"/>
      <c r="EYL44" s="125"/>
      <c r="EYM44" s="125"/>
      <c r="EYN44" s="316"/>
      <c r="EYO44" s="14"/>
      <c r="EYP44" s="125"/>
      <c r="EYQ44" s="125"/>
      <c r="EYR44" s="316"/>
      <c r="EYS44" s="10"/>
      <c r="EYT44" s="125"/>
      <c r="EYU44" s="125"/>
      <c r="EYV44" s="316"/>
      <c r="EYW44" s="14"/>
      <c r="EYX44" s="125"/>
      <c r="EYY44" s="125"/>
      <c r="EYZ44" s="316"/>
      <c r="EZA44" s="14"/>
      <c r="EZB44" s="125"/>
      <c r="EZC44" s="125"/>
      <c r="EZD44" s="316"/>
      <c r="EZE44" s="14"/>
      <c r="EZF44" s="125"/>
      <c r="EZG44" s="125"/>
      <c r="EZH44" s="316"/>
      <c r="EZI44" s="10"/>
      <c r="EZJ44" s="125"/>
      <c r="EZK44" s="125"/>
      <c r="EZL44" s="316"/>
      <c r="EZM44" s="14"/>
      <c r="EZN44" s="125"/>
      <c r="EZO44" s="125"/>
      <c r="EZP44" s="316"/>
      <c r="EZQ44" s="14"/>
      <c r="EZR44" s="125"/>
      <c r="EZS44" s="125"/>
      <c r="EZT44" s="316"/>
      <c r="EZU44" s="14"/>
      <c r="EZV44" s="125"/>
      <c r="EZW44" s="125"/>
      <c r="EZX44" s="316"/>
      <c r="EZY44" s="10"/>
      <c r="EZZ44" s="125"/>
      <c r="FAA44" s="125"/>
      <c r="FAB44" s="316"/>
      <c r="FAC44" s="14"/>
      <c r="FAD44" s="125"/>
      <c r="FAE44" s="125"/>
      <c r="FAF44" s="316"/>
      <c r="FAG44" s="14"/>
      <c r="FAH44" s="125"/>
      <c r="FAI44" s="125"/>
      <c r="FAJ44" s="316"/>
      <c r="FAK44" s="14"/>
      <c r="FAL44" s="125"/>
      <c r="FAM44" s="125"/>
      <c r="FAN44" s="316"/>
      <c r="FAO44" s="10"/>
      <c r="FAP44" s="125"/>
      <c r="FAQ44" s="125"/>
      <c r="FAR44" s="316"/>
      <c r="FAS44" s="14"/>
      <c r="FAT44" s="125"/>
      <c r="FAU44" s="125"/>
      <c r="FAV44" s="316"/>
      <c r="FAW44" s="14"/>
      <c r="FAX44" s="125"/>
      <c r="FAY44" s="125"/>
      <c r="FAZ44" s="316"/>
      <c r="FBA44" s="14"/>
      <c r="FBB44" s="125"/>
      <c r="FBC44" s="125"/>
      <c r="FBD44" s="316"/>
      <c r="FBE44" s="10"/>
      <c r="FBF44" s="125"/>
      <c r="FBG44" s="125"/>
      <c r="FBH44" s="316"/>
      <c r="FBI44" s="14"/>
      <c r="FBJ44" s="125"/>
      <c r="FBK44" s="125"/>
      <c r="FBL44" s="316"/>
      <c r="FBM44" s="14"/>
      <c r="FBN44" s="125"/>
      <c r="FBO44" s="125"/>
      <c r="FBP44" s="316"/>
      <c r="FBQ44" s="14"/>
      <c r="FBR44" s="125"/>
      <c r="FBS44" s="125"/>
      <c r="FBT44" s="316"/>
      <c r="FBU44" s="10"/>
      <c r="FBV44" s="125"/>
      <c r="FBW44" s="125"/>
      <c r="FBX44" s="316"/>
      <c r="FBY44" s="14"/>
      <c r="FBZ44" s="125"/>
      <c r="FCA44" s="125"/>
      <c r="FCB44" s="316"/>
      <c r="FCC44" s="14"/>
      <c r="FCD44" s="125"/>
      <c r="FCE44" s="125"/>
      <c r="FCF44" s="316"/>
      <c r="FCG44" s="14"/>
      <c r="FCH44" s="125"/>
      <c r="FCI44" s="125"/>
      <c r="FCJ44" s="316"/>
      <c r="FCK44" s="10"/>
      <c r="FCL44" s="125"/>
      <c r="FCM44" s="125"/>
      <c r="FCN44" s="316"/>
      <c r="FCO44" s="14"/>
      <c r="FCP44" s="125"/>
      <c r="FCQ44" s="125"/>
      <c r="FCR44" s="316"/>
      <c r="FCS44" s="14"/>
      <c r="FCT44" s="125"/>
      <c r="FCU44" s="125"/>
      <c r="FCV44" s="316"/>
      <c r="FCW44" s="14"/>
      <c r="FCX44" s="125"/>
      <c r="FCY44" s="125"/>
      <c r="FCZ44" s="316"/>
      <c r="FDA44" s="10"/>
      <c r="FDB44" s="125"/>
      <c r="FDC44" s="125"/>
      <c r="FDD44" s="316"/>
      <c r="FDE44" s="14"/>
      <c r="FDF44" s="125"/>
      <c r="FDG44" s="125"/>
      <c r="FDH44" s="316"/>
      <c r="FDI44" s="14"/>
      <c r="FDJ44" s="125"/>
      <c r="FDK44" s="125"/>
      <c r="FDL44" s="316"/>
      <c r="FDM44" s="14"/>
      <c r="FDN44" s="125"/>
      <c r="FDO44" s="125"/>
      <c r="FDP44" s="316"/>
      <c r="FDQ44" s="10"/>
      <c r="FDR44" s="125"/>
      <c r="FDS44" s="125"/>
      <c r="FDT44" s="316"/>
      <c r="FDU44" s="14"/>
      <c r="FDV44" s="125"/>
      <c r="FDW44" s="125"/>
      <c r="FDX44" s="316"/>
      <c r="FDY44" s="14"/>
      <c r="FDZ44" s="125"/>
      <c r="FEA44" s="125"/>
      <c r="FEB44" s="316"/>
      <c r="FEC44" s="14"/>
      <c r="FED44" s="125"/>
      <c r="FEE44" s="125"/>
      <c r="FEF44" s="316"/>
      <c r="FEG44" s="10"/>
      <c r="FEH44" s="125"/>
      <c r="FEI44" s="125"/>
      <c r="FEJ44" s="316"/>
      <c r="FEK44" s="14"/>
      <c r="FEL44" s="125"/>
      <c r="FEM44" s="125"/>
      <c r="FEN44" s="316"/>
      <c r="FEO44" s="14"/>
      <c r="FEP44" s="125"/>
      <c r="FEQ44" s="125"/>
      <c r="FER44" s="316"/>
      <c r="FES44" s="14"/>
      <c r="FET44" s="125"/>
      <c r="FEU44" s="125"/>
      <c r="FEV44" s="316"/>
      <c r="FEW44" s="10"/>
      <c r="FEX44" s="125"/>
      <c r="FEY44" s="125"/>
      <c r="FEZ44" s="316"/>
      <c r="FFA44" s="14"/>
      <c r="FFB44" s="125"/>
      <c r="FFC44" s="125"/>
      <c r="FFD44" s="316"/>
      <c r="FFE44" s="14"/>
      <c r="FFF44" s="125"/>
      <c r="FFG44" s="125"/>
      <c r="FFH44" s="316"/>
      <c r="FFI44" s="14"/>
      <c r="FFJ44" s="125"/>
      <c r="FFK44" s="125"/>
      <c r="FFL44" s="316"/>
      <c r="FFM44" s="10"/>
      <c r="FFN44" s="125"/>
      <c r="FFO44" s="125"/>
      <c r="FFP44" s="316"/>
      <c r="FFQ44" s="14"/>
      <c r="FFR44" s="125"/>
      <c r="FFS44" s="125"/>
      <c r="FFT44" s="316"/>
      <c r="FFU44" s="14"/>
      <c r="FFV44" s="125"/>
      <c r="FFW44" s="125"/>
      <c r="FFX44" s="316"/>
      <c r="FFY44" s="14"/>
      <c r="FFZ44" s="125"/>
      <c r="FGA44" s="125"/>
      <c r="FGB44" s="316"/>
      <c r="FGC44" s="10"/>
      <c r="FGD44" s="125"/>
      <c r="FGE44" s="125"/>
      <c r="FGF44" s="316"/>
      <c r="FGG44" s="14"/>
      <c r="FGH44" s="125"/>
      <c r="FGI44" s="125"/>
      <c r="FGJ44" s="316"/>
      <c r="FGK44" s="14"/>
      <c r="FGL44" s="125"/>
      <c r="FGM44" s="125"/>
      <c r="FGN44" s="316"/>
      <c r="FGO44" s="14"/>
      <c r="FGP44" s="125"/>
      <c r="FGQ44" s="125"/>
      <c r="FGR44" s="316"/>
      <c r="FGS44" s="10"/>
      <c r="FGT44" s="125"/>
      <c r="FGU44" s="125"/>
      <c r="FGV44" s="316"/>
      <c r="FGW44" s="14"/>
      <c r="FGX44" s="125"/>
      <c r="FGY44" s="125"/>
      <c r="FGZ44" s="316"/>
      <c r="FHA44" s="14"/>
      <c r="FHB44" s="125"/>
      <c r="FHC44" s="125"/>
      <c r="FHD44" s="316"/>
      <c r="FHE44" s="14"/>
      <c r="FHF44" s="125"/>
      <c r="FHG44" s="125"/>
      <c r="FHH44" s="316"/>
      <c r="FHI44" s="10"/>
      <c r="FHJ44" s="125"/>
      <c r="FHK44" s="125"/>
      <c r="FHL44" s="316"/>
      <c r="FHM44" s="14"/>
      <c r="FHN44" s="125"/>
      <c r="FHO44" s="125"/>
      <c r="FHP44" s="316"/>
      <c r="FHQ44" s="14"/>
      <c r="FHR44" s="125"/>
      <c r="FHS44" s="125"/>
      <c r="FHT44" s="316"/>
      <c r="FHU44" s="14"/>
      <c r="FHV44" s="125"/>
      <c r="FHW44" s="125"/>
      <c r="FHX44" s="316"/>
      <c r="FHY44" s="10"/>
      <c r="FHZ44" s="125"/>
      <c r="FIA44" s="125"/>
      <c r="FIB44" s="316"/>
      <c r="FIC44" s="14"/>
      <c r="FID44" s="125"/>
      <c r="FIE44" s="125"/>
      <c r="FIF44" s="316"/>
      <c r="FIG44" s="14"/>
      <c r="FIH44" s="125"/>
      <c r="FII44" s="125"/>
      <c r="FIJ44" s="316"/>
      <c r="FIK44" s="14"/>
      <c r="FIL44" s="125"/>
      <c r="FIM44" s="125"/>
      <c r="FIN44" s="316"/>
      <c r="FIO44" s="10"/>
      <c r="FIP44" s="125"/>
      <c r="FIQ44" s="125"/>
      <c r="FIR44" s="316"/>
      <c r="FIS44" s="14"/>
      <c r="FIT44" s="125"/>
      <c r="FIU44" s="125"/>
      <c r="FIV44" s="316"/>
      <c r="FIW44" s="14"/>
      <c r="FIX44" s="125"/>
      <c r="FIY44" s="125"/>
      <c r="FIZ44" s="316"/>
      <c r="FJA44" s="14"/>
      <c r="FJB44" s="125"/>
      <c r="FJC44" s="125"/>
      <c r="FJD44" s="316"/>
      <c r="FJE44" s="10"/>
      <c r="FJF44" s="125"/>
      <c r="FJG44" s="125"/>
      <c r="FJH44" s="316"/>
      <c r="FJI44" s="14"/>
      <c r="FJJ44" s="125"/>
      <c r="FJK44" s="125"/>
      <c r="FJL44" s="316"/>
      <c r="FJM44" s="14"/>
      <c r="FJN44" s="125"/>
      <c r="FJO44" s="125"/>
      <c r="FJP44" s="316"/>
      <c r="FJQ44" s="14"/>
      <c r="FJR44" s="125"/>
      <c r="FJS44" s="125"/>
      <c r="FJT44" s="316"/>
      <c r="FJU44" s="10"/>
      <c r="FJV44" s="125"/>
      <c r="FJW44" s="125"/>
      <c r="FJX44" s="316"/>
      <c r="FJY44" s="14"/>
      <c r="FJZ44" s="125"/>
      <c r="FKA44" s="125"/>
      <c r="FKB44" s="316"/>
      <c r="FKC44" s="14"/>
      <c r="FKD44" s="125"/>
      <c r="FKE44" s="125"/>
      <c r="FKF44" s="316"/>
      <c r="FKG44" s="14"/>
      <c r="FKH44" s="125"/>
      <c r="FKI44" s="125"/>
      <c r="FKJ44" s="316"/>
      <c r="FKK44" s="10"/>
      <c r="FKL44" s="125"/>
      <c r="FKM44" s="125"/>
      <c r="FKN44" s="316"/>
      <c r="FKO44" s="14"/>
      <c r="FKP44" s="125"/>
      <c r="FKQ44" s="125"/>
      <c r="FKR44" s="316"/>
      <c r="FKS44" s="14"/>
      <c r="FKT44" s="125"/>
      <c r="FKU44" s="125"/>
      <c r="FKV44" s="316"/>
      <c r="FKW44" s="14"/>
      <c r="FKX44" s="125"/>
      <c r="FKY44" s="125"/>
      <c r="FKZ44" s="316"/>
      <c r="FLA44" s="10"/>
      <c r="FLB44" s="125"/>
      <c r="FLC44" s="125"/>
      <c r="FLD44" s="316"/>
      <c r="FLE44" s="14"/>
      <c r="FLF44" s="125"/>
      <c r="FLG44" s="125"/>
      <c r="FLH44" s="316"/>
      <c r="FLI44" s="14"/>
      <c r="FLJ44" s="125"/>
      <c r="FLK44" s="125"/>
      <c r="FLL44" s="316"/>
      <c r="FLM44" s="14"/>
      <c r="FLN44" s="125"/>
      <c r="FLO44" s="125"/>
      <c r="FLP44" s="316"/>
      <c r="FLQ44" s="10"/>
      <c r="FLR44" s="125"/>
      <c r="FLS44" s="125"/>
      <c r="FLT44" s="316"/>
      <c r="FLU44" s="14"/>
      <c r="FLV44" s="125"/>
      <c r="FLW44" s="125"/>
      <c r="FLX44" s="316"/>
      <c r="FLY44" s="14"/>
      <c r="FLZ44" s="125"/>
      <c r="FMA44" s="125"/>
      <c r="FMB44" s="316"/>
      <c r="FMC44" s="14"/>
      <c r="FMD44" s="125"/>
      <c r="FME44" s="125"/>
      <c r="FMF44" s="316"/>
      <c r="FMG44" s="10"/>
      <c r="FMH44" s="125"/>
      <c r="FMI44" s="125"/>
      <c r="FMJ44" s="316"/>
      <c r="FMK44" s="14"/>
      <c r="FML44" s="125"/>
      <c r="FMM44" s="125"/>
      <c r="FMN44" s="316"/>
      <c r="FMO44" s="14"/>
      <c r="FMP44" s="125"/>
      <c r="FMQ44" s="125"/>
      <c r="FMR44" s="316"/>
      <c r="FMS44" s="14"/>
      <c r="FMT44" s="125"/>
      <c r="FMU44" s="125"/>
      <c r="FMV44" s="316"/>
      <c r="FMW44" s="10"/>
      <c r="FMX44" s="125"/>
      <c r="FMY44" s="125"/>
      <c r="FMZ44" s="316"/>
      <c r="FNA44" s="14"/>
      <c r="FNB44" s="125"/>
      <c r="FNC44" s="125"/>
      <c r="FND44" s="316"/>
      <c r="FNE44" s="14"/>
      <c r="FNF44" s="125"/>
      <c r="FNG44" s="125"/>
      <c r="FNH44" s="316"/>
      <c r="FNI44" s="14"/>
      <c r="FNJ44" s="125"/>
      <c r="FNK44" s="125"/>
      <c r="FNL44" s="316"/>
      <c r="FNM44" s="10"/>
      <c r="FNN44" s="125"/>
      <c r="FNO44" s="125"/>
      <c r="FNP44" s="316"/>
      <c r="FNQ44" s="14"/>
      <c r="FNR44" s="125"/>
      <c r="FNS44" s="125"/>
      <c r="FNT44" s="316"/>
      <c r="FNU44" s="14"/>
      <c r="FNV44" s="125"/>
      <c r="FNW44" s="125"/>
      <c r="FNX44" s="316"/>
      <c r="FNY44" s="14"/>
      <c r="FNZ44" s="125"/>
      <c r="FOA44" s="125"/>
      <c r="FOB44" s="316"/>
      <c r="FOC44" s="10"/>
      <c r="FOD44" s="125"/>
      <c r="FOE44" s="125"/>
      <c r="FOF44" s="316"/>
      <c r="FOG44" s="14"/>
      <c r="FOH44" s="125"/>
      <c r="FOI44" s="125"/>
      <c r="FOJ44" s="316"/>
      <c r="FOK44" s="14"/>
      <c r="FOL44" s="125"/>
      <c r="FOM44" s="125"/>
      <c r="FON44" s="316"/>
      <c r="FOO44" s="14"/>
      <c r="FOP44" s="125"/>
      <c r="FOQ44" s="125"/>
      <c r="FOR44" s="316"/>
      <c r="FOS44" s="10"/>
      <c r="FOT44" s="125"/>
      <c r="FOU44" s="125"/>
      <c r="FOV44" s="316"/>
      <c r="FOW44" s="14"/>
      <c r="FOX44" s="125"/>
      <c r="FOY44" s="125"/>
      <c r="FOZ44" s="316"/>
      <c r="FPA44" s="14"/>
      <c r="FPB44" s="125"/>
      <c r="FPC44" s="125"/>
      <c r="FPD44" s="316"/>
      <c r="FPE44" s="14"/>
      <c r="FPF44" s="125"/>
      <c r="FPG44" s="125"/>
      <c r="FPH44" s="316"/>
      <c r="FPI44" s="10"/>
      <c r="FPJ44" s="125"/>
      <c r="FPK44" s="125"/>
      <c r="FPL44" s="316"/>
      <c r="FPM44" s="14"/>
      <c r="FPN44" s="125"/>
      <c r="FPO44" s="125"/>
      <c r="FPP44" s="316"/>
      <c r="FPQ44" s="14"/>
      <c r="FPR44" s="125"/>
      <c r="FPS44" s="125"/>
      <c r="FPT44" s="316"/>
      <c r="FPU44" s="14"/>
      <c r="FPV44" s="125"/>
      <c r="FPW44" s="125"/>
      <c r="FPX44" s="316"/>
      <c r="FPY44" s="10"/>
      <c r="FPZ44" s="125"/>
      <c r="FQA44" s="125"/>
      <c r="FQB44" s="316"/>
      <c r="FQC44" s="14"/>
      <c r="FQD44" s="125"/>
      <c r="FQE44" s="125"/>
      <c r="FQF44" s="316"/>
      <c r="FQG44" s="14"/>
      <c r="FQH44" s="125"/>
      <c r="FQI44" s="125"/>
      <c r="FQJ44" s="316"/>
      <c r="FQK44" s="14"/>
      <c r="FQL44" s="125"/>
      <c r="FQM44" s="125"/>
      <c r="FQN44" s="316"/>
      <c r="FQO44" s="10"/>
      <c r="FQP44" s="125"/>
      <c r="FQQ44" s="125"/>
      <c r="FQR44" s="316"/>
      <c r="FQS44" s="14"/>
      <c r="FQT44" s="125"/>
      <c r="FQU44" s="125"/>
      <c r="FQV44" s="316"/>
      <c r="FQW44" s="14"/>
      <c r="FQX44" s="125"/>
      <c r="FQY44" s="125"/>
      <c r="FQZ44" s="316"/>
      <c r="FRA44" s="14"/>
      <c r="FRB44" s="125"/>
      <c r="FRC44" s="125"/>
      <c r="FRD44" s="316"/>
      <c r="FRE44" s="10"/>
      <c r="FRF44" s="125"/>
      <c r="FRG44" s="125"/>
      <c r="FRH44" s="316"/>
      <c r="FRI44" s="14"/>
      <c r="FRJ44" s="125"/>
      <c r="FRK44" s="125"/>
      <c r="FRL44" s="316"/>
      <c r="FRM44" s="14"/>
      <c r="FRN44" s="125"/>
      <c r="FRO44" s="125"/>
      <c r="FRP44" s="316"/>
      <c r="FRQ44" s="14"/>
      <c r="FRR44" s="125"/>
      <c r="FRS44" s="125"/>
      <c r="FRT44" s="316"/>
      <c r="FRU44" s="10"/>
      <c r="FRV44" s="125"/>
      <c r="FRW44" s="125"/>
      <c r="FRX44" s="316"/>
      <c r="FRY44" s="14"/>
      <c r="FRZ44" s="125"/>
      <c r="FSA44" s="125"/>
      <c r="FSB44" s="316"/>
      <c r="FSC44" s="14"/>
      <c r="FSD44" s="125"/>
      <c r="FSE44" s="125"/>
      <c r="FSF44" s="316"/>
      <c r="FSG44" s="14"/>
      <c r="FSH44" s="125"/>
      <c r="FSI44" s="125"/>
      <c r="FSJ44" s="316"/>
      <c r="FSK44" s="10"/>
      <c r="FSL44" s="125"/>
      <c r="FSM44" s="125"/>
      <c r="FSN44" s="316"/>
      <c r="FSO44" s="14"/>
      <c r="FSP44" s="125"/>
      <c r="FSQ44" s="125"/>
      <c r="FSR44" s="316"/>
      <c r="FSS44" s="14"/>
      <c r="FST44" s="125"/>
      <c r="FSU44" s="125"/>
      <c r="FSV44" s="316"/>
      <c r="FSW44" s="14"/>
      <c r="FSX44" s="125"/>
      <c r="FSY44" s="125"/>
      <c r="FSZ44" s="316"/>
      <c r="FTA44" s="10"/>
      <c r="FTB44" s="125"/>
      <c r="FTC44" s="125"/>
      <c r="FTD44" s="316"/>
      <c r="FTE44" s="14"/>
      <c r="FTF44" s="125"/>
      <c r="FTG44" s="125"/>
      <c r="FTH44" s="316"/>
      <c r="FTI44" s="14"/>
      <c r="FTJ44" s="125"/>
      <c r="FTK44" s="125"/>
      <c r="FTL44" s="316"/>
      <c r="FTM44" s="14"/>
      <c r="FTN44" s="125"/>
      <c r="FTO44" s="125"/>
      <c r="FTP44" s="316"/>
      <c r="FTQ44" s="10"/>
      <c r="FTR44" s="125"/>
      <c r="FTS44" s="125"/>
      <c r="FTT44" s="316"/>
      <c r="FTU44" s="14"/>
      <c r="FTV44" s="125"/>
      <c r="FTW44" s="125"/>
      <c r="FTX44" s="316"/>
      <c r="FTY44" s="14"/>
      <c r="FTZ44" s="125"/>
      <c r="FUA44" s="125"/>
      <c r="FUB44" s="316"/>
      <c r="FUC44" s="14"/>
      <c r="FUD44" s="125"/>
      <c r="FUE44" s="125"/>
      <c r="FUF44" s="316"/>
      <c r="FUG44" s="10"/>
      <c r="FUH44" s="125"/>
      <c r="FUI44" s="125"/>
      <c r="FUJ44" s="316"/>
      <c r="FUK44" s="14"/>
      <c r="FUL44" s="125"/>
      <c r="FUM44" s="125"/>
      <c r="FUN44" s="316"/>
      <c r="FUO44" s="14"/>
      <c r="FUP44" s="125"/>
      <c r="FUQ44" s="125"/>
      <c r="FUR44" s="316"/>
      <c r="FUS44" s="14"/>
      <c r="FUT44" s="125"/>
      <c r="FUU44" s="125"/>
      <c r="FUV44" s="316"/>
      <c r="FUW44" s="10"/>
      <c r="FUX44" s="125"/>
      <c r="FUY44" s="125"/>
      <c r="FUZ44" s="316"/>
      <c r="FVA44" s="14"/>
      <c r="FVB44" s="125"/>
      <c r="FVC44" s="125"/>
      <c r="FVD44" s="316"/>
      <c r="FVE44" s="14"/>
      <c r="FVF44" s="125"/>
      <c r="FVG44" s="125"/>
      <c r="FVH44" s="316"/>
      <c r="FVI44" s="14"/>
      <c r="FVJ44" s="125"/>
      <c r="FVK44" s="125"/>
      <c r="FVL44" s="316"/>
      <c r="FVM44" s="10"/>
      <c r="FVN44" s="125"/>
      <c r="FVO44" s="125"/>
      <c r="FVP44" s="316"/>
      <c r="FVQ44" s="14"/>
      <c r="FVR44" s="125"/>
      <c r="FVS44" s="125"/>
      <c r="FVT44" s="316"/>
      <c r="FVU44" s="14"/>
      <c r="FVV44" s="125"/>
      <c r="FVW44" s="125"/>
      <c r="FVX44" s="316"/>
      <c r="FVY44" s="14"/>
      <c r="FVZ44" s="125"/>
      <c r="FWA44" s="125"/>
      <c r="FWB44" s="316"/>
      <c r="FWC44" s="10"/>
      <c r="FWD44" s="125"/>
      <c r="FWE44" s="125"/>
      <c r="FWF44" s="316"/>
      <c r="FWG44" s="14"/>
      <c r="FWH44" s="125"/>
      <c r="FWI44" s="125"/>
      <c r="FWJ44" s="316"/>
      <c r="FWK44" s="14"/>
      <c r="FWL44" s="125"/>
      <c r="FWM44" s="125"/>
      <c r="FWN44" s="316"/>
      <c r="FWO44" s="14"/>
      <c r="FWP44" s="125"/>
      <c r="FWQ44" s="125"/>
      <c r="FWR44" s="316"/>
      <c r="FWS44" s="10"/>
      <c r="FWT44" s="125"/>
      <c r="FWU44" s="125"/>
      <c r="FWV44" s="316"/>
      <c r="FWW44" s="14"/>
      <c r="FWX44" s="125"/>
      <c r="FWY44" s="125"/>
      <c r="FWZ44" s="316"/>
      <c r="FXA44" s="14"/>
      <c r="FXB44" s="125"/>
      <c r="FXC44" s="125"/>
      <c r="FXD44" s="316"/>
      <c r="FXE44" s="14"/>
      <c r="FXF44" s="125"/>
      <c r="FXG44" s="125"/>
      <c r="FXH44" s="316"/>
      <c r="FXI44" s="10"/>
      <c r="FXJ44" s="125"/>
      <c r="FXK44" s="125"/>
      <c r="FXL44" s="316"/>
      <c r="FXM44" s="14"/>
      <c r="FXN44" s="125"/>
      <c r="FXO44" s="125"/>
      <c r="FXP44" s="316"/>
      <c r="FXQ44" s="14"/>
      <c r="FXR44" s="125"/>
      <c r="FXS44" s="125"/>
      <c r="FXT44" s="316"/>
      <c r="FXU44" s="14"/>
      <c r="FXV44" s="125"/>
      <c r="FXW44" s="125"/>
      <c r="FXX44" s="316"/>
      <c r="FXY44" s="10"/>
      <c r="FXZ44" s="125"/>
      <c r="FYA44" s="125"/>
      <c r="FYB44" s="316"/>
      <c r="FYC44" s="14"/>
      <c r="FYD44" s="125"/>
      <c r="FYE44" s="125"/>
      <c r="FYF44" s="316"/>
      <c r="FYG44" s="14"/>
      <c r="FYH44" s="125"/>
      <c r="FYI44" s="125"/>
      <c r="FYJ44" s="316"/>
      <c r="FYK44" s="14"/>
      <c r="FYL44" s="125"/>
      <c r="FYM44" s="125"/>
      <c r="FYN44" s="316"/>
      <c r="FYO44" s="10"/>
      <c r="FYP44" s="125"/>
      <c r="FYQ44" s="125"/>
      <c r="FYR44" s="316"/>
      <c r="FYS44" s="14"/>
      <c r="FYT44" s="125"/>
      <c r="FYU44" s="125"/>
      <c r="FYV44" s="316"/>
      <c r="FYW44" s="14"/>
      <c r="FYX44" s="125"/>
      <c r="FYY44" s="125"/>
      <c r="FYZ44" s="316"/>
      <c r="FZA44" s="14"/>
      <c r="FZB44" s="125"/>
      <c r="FZC44" s="125"/>
      <c r="FZD44" s="316"/>
      <c r="FZE44" s="10"/>
      <c r="FZF44" s="125"/>
      <c r="FZG44" s="125"/>
      <c r="FZH44" s="316"/>
      <c r="FZI44" s="14"/>
      <c r="FZJ44" s="125"/>
      <c r="FZK44" s="125"/>
      <c r="FZL44" s="316"/>
      <c r="FZM44" s="14"/>
      <c r="FZN44" s="125"/>
      <c r="FZO44" s="125"/>
      <c r="FZP44" s="316"/>
      <c r="FZQ44" s="14"/>
      <c r="FZR44" s="125"/>
      <c r="FZS44" s="125"/>
      <c r="FZT44" s="316"/>
      <c r="FZU44" s="10"/>
      <c r="FZV44" s="125"/>
      <c r="FZW44" s="125"/>
      <c r="FZX44" s="316"/>
      <c r="FZY44" s="14"/>
      <c r="FZZ44" s="125"/>
      <c r="GAA44" s="125"/>
      <c r="GAB44" s="316"/>
      <c r="GAC44" s="14"/>
      <c r="GAD44" s="125"/>
      <c r="GAE44" s="125"/>
      <c r="GAF44" s="316"/>
      <c r="GAG44" s="14"/>
      <c r="GAH44" s="125"/>
      <c r="GAI44" s="125"/>
      <c r="GAJ44" s="316"/>
      <c r="GAK44" s="10"/>
      <c r="GAL44" s="125"/>
      <c r="GAM44" s="125"/>
      <c r="GAN44" s="316"/>
      <c r="GAO44" s="14"/>
      <c r="GAP44" s="125"/>
      <c r="GAQ44" s="125"/>
      <c r="GAR44" s="316"/>
      <c r="GAS44" s="14"/>
      <c r="GAT44" s="125"/>
      <c r="GAU44" s="125"/>
      <c r="GAV44" s="316"/>
      <c r="GAW44" s="14"/>
      <c r="GAX44" s="125"/>
      <c r="GAY44" s="125"/>
      <c r="GAZ44" s="316"/>
      <c r="GBA44" s="10"/>
      <c r="GBB44" s="125"/>
      <c r="GBC44" s="125"/>
      <c r="GBD44" s="316"/>
      <c r="GBE44" s="14"/>
      <c r="GBF44" s="125"/>
      <c r="GBG44" s="125"/>
      <c r="GBH44" s="316"/>
      <c r="GBI44" s="14"/>
      <c r="GBJ44" s="125"/>
      <c r="GBK44" s="125"/>
      <c r="GBL44" s="316"/>
      <c r="GBM44" s="14"/>
      <c r="GBN44" s="125"/>
      <c r="GBO44" s="125"/>
      <c r="GBP44" s="316"/>
      <c r="GBQ44" s="10"/>
      <c r="GBR44" s="125"/>
      <c r="GBS44" s="125"/>
      <c r="GBT44" s="316"/>
      <c r="GBU44" s="14"/>
      <c r="GBV44" s="125"/>
      <c r="GBW44" s="125"/>
      <c r="GBX44" s="316"/>
      <c r="GBY44" s="14"/>
      <c r="GBZ44" s="125"/>
      <c r="GCA44" s="125"/>
      <c r="GCB44" s="316"/>
      <c r="GCC44" s="14"/>
      <c r="GCD44" s="125"/>
      <c r="GCE44" s="125"/>
      <c r="GCF44" s="316"/>
      <c r="GCG44" s="10"/>
      <c r="GCH44" s="125"/>
      <c r="GCI44" s="125"/>
      <c r="GCJ44" s="316"/>
      <c r="GCK44" s="14"/>
      <c r="GCL44" s="125"/>
      <c r="GCM44" s="125"/>
      <c r="GCN44" s="316"/>
      <c r="GCO44" s="14"/>
      <c r="GCP44" s="125"/>
      <c r="GCQ44" s="125"/>
      <c r="GCR44" s="316"/>
      <c r="GCS44" s="14"/>
      <c r="GCT44" s="125"/>
      <c r="GCU44" s="125"/>
      <c r="GCV44" s="316"/>
      <c r="GCW44" s="10"/>
      <c r="GCX44" s="125"/>
      <c r="GCY44" s="125"/>
      <c r="GCZ44" s="316"/>
      <c r="GDA44" s="14"/>
      <c r="GDB44" s="125"/>
      <c r="GDC44" s="125"/>
      <c r="GDD44" s="316"/>
      <c r="GDE44" s="14"/>
      <c r="GDF44" s="125"/>
      <c r="GDG44" s="125"/>
      <c r="GDH44" s="316"/>
      <c r="GDI44" s="14"/>
      <c r="GDJ44" s="125"/>
      <c r="GDK44" s="125"/>
      <c r="GDL44" s="316"/>
      <c r="GDM44" s="10"/>
      <c r="GDN44" s="125"/>
      <c r="GDO44" s="125"/>
      <c r="GDP44" s="316"/>
      <c r="GDQ44" s="14"/>
      <c r="GDR44" s="125"/>
      <c r="GDS44" s="125"/>
      <c r="GDT44" s="316"/>
      <c r="GDU44" s="14"/>
      <c r="GDV44" s="125"/>
      <c r="GDW44" s="125"/>
      <c r="GDX44" s="316"/>
      <c r="GDY44" s="14"/>
      <c r="GDZ44" s="125"/>
      <c r="GEA44" s="125"/>
      <c r="GEB44" s="316"/>
      <c r="GEC44" s="10"/>
      <c r="GED44" s="125"/>
      <c r="GEE44" s="125"/>
      <c r="GEF44" s="316"/>
      <c r="GEG44" s="14"/>
      <c r="GEH44" s="125"/>
      <c r="GEI44" s="125"/>
      <c r="GEJ44" s="316"/>
      <c r="GEK44" s="14"/>
      <c r="GEL44" s="125"/>
      <c r="GEM44" s="125"/>
      <c r="GEN44" s="316"/>
      <c r="GEO44" s="14"/>
      <c r="GEP44" s="125"/>
      <c r="GEQ44" s="125"/>
      <c r="GER44" s="316"/>
      <c r="GES44" s="10"/>
      <c r="GET44" s="125"/>
      <c r="GEU44" s="125"/>
      <c r="GEV44" s="316"/>
      <c r="GEW44" s="14"/>
      <c r="GEX44" s="125"/>
      <c r="GEY44" s="125"/>
      <c r="GEZ44" s="316"/>
      <c r="GFA44" s="14"/>
      <c r="GFB44" s="125"/>
      <c r="GFC44" s="125"/>
      <c r="GFD44" s="316"/>
      <c r="GFE44" s="14"/>
      <c r="GFF44" s="125"/>
      <c r="GFG44" s="125"/>
      <c r="GFH44" s="316"/>
      <c r="GFI44" s="10"/>
      <c r="GFJ44" s="125"/>
      <c r="GFK44" s="125"/>
      <c r="GFL44" s="316"/>
      <c r="GFM44" s="14"/>
      <c r="GFN44" s="125"/>
      <c r="GFO44" s="125"/>
      <c r="GFP44" s="316"/>
      <c r="GFQ44" s="14"/>
      <c r="GFR44" s="125"/>
      <c r="GFS44" s="125"/>
      <c r="GFT44" s="316"/>
      <c r="GFU44" s="14"/>
      <c r="GFV44" s="125"/>
      <c r="GFW44" s="125"/>
      <c r="GFX44" s="316"/>
      <c r="GFY44" s="10"/>
      <c r="GFZ44" s="125"/>
      <c r="GGA44" s="125"/>
      <c r="GGB44" s="316"/>
      <c r="GGC44" s="14"/>
      <c r="GGD44" s="125"/>
      <c r="GGE44" s="125"/>
      <c r="GGF44" s="316"/>
      <c r="GGG44" s="14"/>
      <c r="GGH44" s="125"/>
      <c r="GGI44" s="125"/>
      <c r="GGJ44" s="316"/>
      <c r="GGK44" s="14"/>
      <c r="GGL44" s="125"/>
      <c r="GGM44" s="125"/>
      <c r="GGN44" s="316"/>
      <c r="GGO44" s="10"/>
      <c r="GGP44" s="125"/>
      <c r="GGQ44" s="125"/>
      <c r="GGR44" s="316"/>
      <c r="GGS44" s="14"/>
      <c r="GGT44" s="125"/>
      <c r="GGU44" s="125"/>
      <c r="GGV44" s="316"/>
      <c r="GGW44" s="14"/>
      <c r="GGX44" s="125"/>
      <c r="GGY44" s="125"/>
      <c r="GGZ44" s="316"/>
      <c r="GHA44" s="14"/>
      <c r="GHB44" s="125"/>
      <c r="GHC44" s="125"/>
      <c r="GHD44" s="316"/>
      <c r="GHE44" s="10"/>
      <c r="GHF44" s="125"/>
      <c r="GHG44" s="125"/>
      <c r="GHH44" s="316"/>
      <c r="GHI44" s="14"/>
      <c r="GHJ44" s="125"/>
      <c r="GHK44" s="125"/>
      <c r="GHL44" s="316"/>
      <c r="GHM44" s="14"/>
      <c r="GHN44" s="125"/>
      <c r="GHO44" s="125"/>
      <c r="GHP44" s="316"/>
      <c r="GHQ44" s="14"/>
      <c r="GHR44" s="125"/>
      <c r="GHS44" s="125"/>
      <c r="GHT44" s="316"/>
      <c r="GHU44" s="10"/>
      <c r="GHV44" s="125"/>
      <c r="GHW44" s="125"/>
      <c r="GHX44" s="316"/>
      <c r="GHY44" s="14"/>
      <c r="GHZ44" s="125"/>
      <c r="GIA44" s="125"/>
      <c r="GIB44" s="316"/>
      <c r="GIC44" s="14"/>
      <c r="GID44" s="125"/>
      <c r="GIE44" s="125"/>
      <c r="GIF44" s="316"/>
      <c r="GIG44" s="14"/>
      <c r="GIH44" s="125"/>
      <c r="GII44" s="125"/>
      <c r="GIJ44" s="316"/>
      <c r="GIK44" s="10"/>
      <c r="GIL44" s="125"/>
      <c r="GIM44" s="125"/>
      <c r="GIN44" s="316"/>
      <c r="GIO44" s="14"/>
      <c r="GIP44" s="125"/>
      <c r="GIQ44" s="125"/>
      <c r="GIR44" s="316"/>
      <c r="GIS44" s="14"/>
      <c r="GIT44" s="125"/>
      <c r="GIU44" s="125"/>
      <c r="GIV44" s="316"/>
      <c r="GIW44" s="14"/>
      <c r="GIX44" s="125"/>
      <c r="GIY44" s="125"/>
      <c r="GIZ44" s="316"/>
      <c r="GJA44" s="10"/>
      <c r="GJB44" s="125"/>
      <c r="GJC44" s="125"/>
      <c r="GJD44" s="316"/>
      <c r="GJE44" s="14"/>
      <c r="GJF44" s="125"/>
      <c r="GJG44" s="125"/>
      <c r="GJH44" s="316"/>
      <c r="GJI44" s="14"/>
      <c r="GJJ44" s="125"/>
      <c r="GJK44" s="125"/>
      <c r="GJL44" s="316"/>
      <c r="GJM44" s="14"/>
      <c r="GJN44" s="125"/>
      <c r="GJO44" s="125"/>
      <c r="GJP44" s="316"/>
      <c r="GJQ44" s="10"/>
      <c r="GJR44" s="125"/>
      <c r="GJS44" s="125"/>
      <c r="GJT44" s="316"/>
      <c r="GJU44" s="14"/>
      <c r="GJV44" s="125"/>
      <c r="GJW44" s="125"/>
      <c r="GJX44" s="316"/>
      <c r="GJY44" s="14"/>
      <c r="GJZ44" s="125"/>
      <c r="GKA44" s="125"/>
      <c r="GKB44" s="316"/>
      <c r="GKC44" s="14"/>
      <c r="GKD44" s="125"/>
      <c r="GKE44" s="125"/>
      <c r="GKF44" s="316"/>
      <c r="GKG44" s="10"/>
      <c r="GKH44" s="125"/>
      <c r="GKI44" s="125"/>
      <c r="GKJ44" s="316"/>
      <c r="GKK44" s="14"/>
      <c r="GKL44" s="125"/>
      <c r="GKM44" s="125"/>
      <c r="GKN44" s="316"/>
      <c r="GKO44" s="14"/>
      <c r="GKP44" s="125"/>
      <c r="GKQ44" s="125"/>
      <c r="GKR44" s="316"/>
      <c r="GKS44" s="14"/>
      <c r="GKT44" s="125"/>
      <c r="GKU44" s="125"/>
      <c r="GKV44" s="316"/>
      <c r="GKW44" s="10"/>
      <c r="GKX44" s="125"/>
      <c r="GKY44" s="125"/>
      <c r="GKZ44" s="316"/>
      <c r="GLA44" s="14"/>
      <c r="GLB44" s="125"/>
      <c r="GLC44" s="125"/>
      <c r="GLD44" s="316"/>
      <c r="GLE44" s="14"/>
      <c r="GLF44" s="125"/>
      <c r="GLG44" s="125"/>
      <c r="GLH44" s="316"/>
      <c r="GLI44" s="14"/>
      <c r="GLJ44" s="125"/>
      <c r="GLK44" s="125"/>
      <c r="GLL44" s="316"/>
      <c r="GLM44" s="10"/>
      <c r="GLN44" s="125"/>
      <c r="GLO44" s="125"/>
      <c r="GLP44" s="316"/>
      <c r="GLQ44" s="14"/>
      <c r="GLR44" s="125"/>
      <c r="GLS44" s="125"/>
      <c r="GLT44" s="316"/>
      <c r="GLU44" s="14"/>
      <c r="GLV44" s="125"/>
      <c r="GLW44" s="125"/>
      <c r="GLX44" s="316"/>
      <c r="GLY44" s="14"/>
      <c r="GLZ44" s="125"/>
      <c r="GMA44" s="125"/>
      <c r="GMB44" s="316"/>
      <c r="GMC44" s="10"/>
      <c r="GMD44" s="125"/>
      <c r="GME44" s="125"/>
      <c r="GMF44" s="316"/>
      <c r="GMG44" s="14"/>
      <c r="GMH44" s="125"/>
      <c r="GMI44" s="125"/>
      <c r="GMJ44" s="316"/>
      <c r="GMK44" s="14"/>
      <c r="GML44" s="125"/>
      <c r="GMM44" s="125"/>
      <c r="GMN44" s="316"/>
      <c r="GMO44" s="14"/>
      <c r="GMP44" s="125"/>
      <c r="GMQ44" s="125"/>
      <c r="GMR44" s="316"/>
      <c r="GMS44" s="10"/>
      <c r="GMT44" s="125"/>
      <c r="GMU44" s="125"/>
      <c r="GMV44" s="316"/>
      <c r="GMW44" s="14"/>
      <c r="GMX44" s="125"/>
      <c r="GMY44" s="125"/>
      <c r="GMZ44" s="316"/>
      <c r="GNA44" s="14"/>
      <c r="GNB44" s="125"/>
      <c r="GNC44" s="125"/>
      <c r="GND44" s="316"/>
      <c r="GNE44" s="14"/>
      <c r="GNF44" s="125"/>
      <c r="GNG44" s="125"/>
      <c r="GNH44" s="316"/>
      <c r="GNI44" s="10"/>
      <c r="GNJ44" s="125"/>
      <c r="GNK44" s="125"/>
      <c r="GNL44" s="316"/>
      <c r="GNM44" s="14"/>
      <c r="GNN44" s="125"/>
      <c r="GNO44" s="125"/>
      <c r="GNP44" s="316"/>
      <c r="GNQ44" s="14"/>
      <c r="GNR44" s="125"/>
      <c r="GNS44" s="125"/>
      <c r="GNT44" s="316"/>
      <c r="GNU44" s="14"/>
      <c r="GNV44" s="125"/>
      <c r="GNW44" s="125"/>
      <c r="GNX44" s="316"/>
      <c r="GNY44" s="10"/>
      <c r="GNZ44" s="125"/>
      <c r="GOA44" s="125"/>
      <c r="GOB44" s="316"/>
      <c r="GOC44" s="14"/>
      <c r="GOD44" s="125"/>
      <c r="GOE44" s="125"/>
      <c r="GOF44" s="316"/>
      <c r="GOG44" s="14"/>
      <c r="GOH44" s="125"/>
      <c r="GOI44" s="125"/>
      <c r="GOJ44" s="316"/>
      <c r="GOK44" s="14"/>
      <c r="GOL44" s="125"/>
      <c r="GOM44" s="125"/>
      <c r="GON44" s="316"/>
      <c r="GOO44" s="10"/>
      <c r="GOP44" s="125"/>
      <c r="GOQ44" s="125"/>
      <c r="GOR44" s="316"/>
      <c r="GOS44" s="14"/>
      <c r="GOT44" s="125"/>
      <c r="GOU44" s="125"/>
      <c r="GOV44" s="316"/>
      <c r="GOW44" s="14"/>
      <c r="GOX44" s="125"/>
      <c r="GOY44" s="125"/>
      <c r="GOZ44" s="316"/>
      <c r="GPA44" s="14"/>
      <c r="GPB44" s="125"/>
      <c r="GPC44" s="125"/>
      <c r="GPD44" s="316"/>
      <c r="GPE44" s="10"/>
      <c r="GPF44" s="125"/>
      <c r="GPG44" s="125"/>
      <c r="GPH44" s="316"/>
      <c r="GPI44" s="14"/>
      <c r="GPJ44" s="125"/>
      <c r="GPK44" s="125"/>
      <c r="GPL44" s="316"/>
      <c r="GPM44" s="14"/>
      <c r="GPN44" s="125"/>
      <c r="GPO44" s="125"/>
      <c r="GPP44" s="316"/>
      <c r="GPQ44" s="14"/>
      <c r="GPR44" s="125"/>
      <c r="GPS44" s="125"/>
      <c r="GPT44" s="316"/>
      <c r="GPU44" s="10"/>
      <c r="GPV44" s="125"/>
      <c r="GPW44" s="125"/>
      <c r="GPX44" s="316"/>
      <c r="GPY44" s="14"/>
      <c r="GPZ44" s="125"/>
      <c r="GQA44" s="125"/>
      <c r="GQB44" s="316"/>
      <c r="GQC44" s="14"/>
      <c r="GQD44" s="125"/>
      <c r="GQE44" s="125"/>
      <c r="GQF44" s="316"/>
      <c r="GQG44" s="14"/>
      <c r="GQH44" s="125"/>
      <c r="GQI44" s="125"/>
      <c r="GQJ44" s="316"/>
      <c r="GQK44" s="10"/>
      <c r="GQL44" s="125"/>
      <c r="GQM44" s="125"/>
      <c r="GQN44" s="316"/>
      <c r="GQO44" s="14"/>
      <c r="GQP44" s="125"/>
      <c r="GQQ44" s="125"/>
      <c r="GQR44" s="316"/>
      <c r="GQS44" s="14"/>
      <c r="GQT44" s="125"/>
      <c r="GQU44" s="125"/>
      <c r="GQV44" s="316"/>
      <c r="GQW44" s="14"/>
      <c r="GQX44" s="125"/>
      <c r="GQY44" s="125"/>
      <c r="GQZ44" s="316"/>
      <c r="GRA44" s="10"/>
      <c r="GRB44" s="125"/>
      <c r="GRC44" s="125"/>
      <c r="GRD44" s="316"/>
      <c r="GRE44" s="14"/>
      <c r="GRF44" s="125"/>
      <c r="GRG44" s="125"/>
      <c r="GRH44" s="316"/>
      <c r="GRI44" s="14"/>
      <c r="GRJ44" s="125"/>
      <c r="GRK44" s="125"/>
      <c r="GRL44" s="316"/>
      <c r="GRM44" s="14"/>
      <c r="GRN44" s="125"/>
      <c r="GRO44" s="125"/>
      <c r="GRP44" s="316"/>
      <c r="GRQ44" s="10"/>
      <c r="GRR44" s="125"/>
      <c r="GRS44" s="125"/>
      <c r="GRT44" s="316"/>
      <c r="GRU44" s="14"/>
      <c r="GRV44" s="125"/>
      <c r="GRW44" s="125"/>
      <c r="GRX44" s="316"/>
      <c r="GRY44" s="14"/>
      <c r="GRZ44" s="125"/>
      <c r="GSA44" s="125"/>
      <c r="GSB44" s="316"/>
      <c r="GSC44" s="14"/>
      <c r="GSD44" s="125"/>
      <c r="GSE44" s="125"/>
      <c r="GSF44" s="316"/>
      <c r="GSG44" s="10"/>
      <c r="GSH44" s="125"/>
      <c r="GSI44" s="125"/>
      <c r="GSJ44" s="316"/>
      <c r="GSK44" s="14"/>
      <c r="GSL44" s="125"/>
      <c r="GSM44" s="125"/>
      <c r="GSN44" s="316"/>
      <c r="GSO44" s="14"/>
      <c r="GSP44" s="125"/>
      <c r="GSQ44" s="125"/>
      <c r="GSR44" s="316"/>
      <c r="GSS44" s="14"/>
      <c r="GST44" s="125"/>
      <c r="GSU44" s="125"/>
      <c r="GSV44" s="316"/>
      <c r="GSW44" s="10"/>
      <c r="GSX44" s="125"/>
      <c r="GSY44" s="125"/>
      <c r="GSZ44" s="316"/>
      <c r="GTA44" s="14"/>
      <c r="GTB44" s="125"/>
      <c r="GTC44" s="125"/>
      <c r="GTD44" s="316"/>
      <c r="GTE44" s="14"/>
      <c r="GTF44" s="125"/>
      <c r="GTG44" s="125"/>
      <c r="GTH44" s="316"/>
      <c r="GTI44" s="14"/>
      <c r="GTJ44" s="125"/>
      <c r="GTK44" s="125"/>
      <c r="GTL44" s="316"/>
      <c r="GTM44" s="10"/>
      <c r="GTN44" s="125"/>
      <c r="GTO44" s="125"/>
      <c r="GTP44" s="316"/>
      <c r="GTQ44" s="14"/>
      <c r="GTR44" s="125"/>
      <c r="GTS44" s="125"/>
      <c r="GTT44" s="316"/>
      <c r="GTU44" s="14"/>
      <c r="GTV44" s="125"/>
      <c r="GTW44" s="125"/>
      <c r="GTX44" s="316"/>
      <c r="GTY44" s="14"/>
      <c r="GTZ44" s="125"/>
      <c r="GUA44" s="125"/>
      <c r="GUB44" s="316"/>
      <c r="GUC44" s="10"/>
      <c r="GUD44" s="125"/>
      <c r="GUE44" s="125"/>
      <c r="GUF44" s="316"/>
      <c r="GUG44" s="14"/>
      <c r="GUH44" s="125"/>
      <c r="GUI44" s="125"/>
      <c r="GUJ44" s="316"/>
      <c r="GUK44" s="14"/>
      <c r="GUL44" s="125"/>
      <c r="GUM44" s="125"/>
      <c r="GUN44" s="316"/>
      <c r="GUO44" s="14"/>
      <c r="GUP44" s="125"/>
      <c r="GUQ44" s="125"/>
      <c r="GUR44" s="316"/>
      <c r="GUS44" s="10"/>
      <c r="GUT44" s="125"/>
      <c r="GUU44" s="125"/>
      <c r="GUV44" s="316"/>
      <c r="GUW44" s="14"/>
      <c r="GUX44" s="125"/>
      <c r="GUY44" s="125"/>
      <c r="GUZ44" s="316"/>
      <c r="GVA44" s="14"/>
      <c r="GVB44" s="125"/>
      <c r="GVC44" s="125"/>
      <c r="GVD44" s="316"/>
      <c r="GVE44" s="14"/>
      <c r="GVF44" s="125"/>
      <c r="GVG44" s="125"/>
      <c r="GVH44" s="316"/>
      <c r="GVI44" s="10"/>
      <c r="GVJ44" s="125"/>
      <c r="GVK44" s="125"/>
      <c r="GVL44" s="316"/>
      <c r="GVM44" s="14"/>
      <c r="GVN44" s="125"/>
      <c r="GVO44" s="125"/>
      <c r="GVP44" s="316"/>
      <c r="GVQ44" s="14"/>
      <c r="GVR44" s="125"/>
      <c r="GVS44" s="125"/>
      <c r="GVT44" s="316"/>
      <c r="GVU44" s="14"/>
      <c r="GVV44" s="125"/>
      <c r="GVW44" s="125"/>
      <c r="GVX44" s="316"/>
      <c r="GVY44" s="10"/>
      <c r="GVZ44" s="125"/>
      <c r="GWA44" s="125"/>
      <c r="GWB44" s="316"/>
      <c r="GWC44" s="14"/>
      <c r="GWD44" s="125"/>
      <c r="GWE44" s="125"/>
      <c r="GWF44" s="316"/>
      <c r="GWG44" s="14"/>
      <c r="GWH44" s="125"/>
      <c r="GWI44" s="125"/>
      <c r="GWJ44" s="316"/>
      <c r="GWK44" s="14"/>
      <c r="GWL44" s="125"/>
      <c r="GWM44" s="125"/>
      <c r="GWN44" s="316"/>
      <c r="GWO44" s="10"/>
      <c r="GWP44" s="125"/>
      <c r="GWQ44" s="125"/>
      <c r="GWR44" s="316"/>
      <c r="GWS44" s="14"/>
      <c r="GWT44" s="125"/>
      <c r="GWU44" s="125"/>
      <c r="GWV44" s="316"/>
      <c r="GWW44" s="14"/>
      <c r="GWX44" s="125"/>
      <c r="GWY44" s="125"/>
      <c r="GWZ44" s="316"/>
      <c r="GXA44" s="14"/>
      <c r="GXB44" s="125"/>
      <c r="GXC44" s="125"/>
      <c r="GXD44" s="316"/>
      <c r="GXE44" s="10"/>
      <c r="GXF44" s="125"/>
      <c r="GXG44" s="125"/>
      <c r="GXH44" s="316"/>
      <c r="GXI44" s="14"/>
      <c r="GXJ44" s="125"/>
      <c r="GXK44" s="125"/>
      <c r="GXL44" s="316"/>
      <c r="GXM44" s="14"/>
      <c r="GXN44" s="125"/>
      <c r="GXO44" s="125"/>
      <c r="GXP44" s="316"/>
      <c r="GXQ44" s="14"/>
      <c r="GXR44" s="125"/>
      <c r="GXS44" s="125"/>
      <c r="GXT44" s="316"/>
      <c r="GXU44" s="10"/>
      <c r="GXV44" s="125"/>
      <c r="GXW44" s="125"/>
      <c r="GXX44" s="316"/>
      <c r="GXY44" s="14"/>
      <c r="GXZ44" s="125"/>
      <c r="GYA44" s="125"/>
      <c r="GYB44" s="316"/>
      <c r="GYC44" s="14"/>
      <c r="GYD44" s="125"/>
      <c r="GYE44" s="125"/>
      <c r="GYF44" s="316"/>
      <c r="GYG44" s="14"/>
      <c r="GYH44" s="125"/>
      <c r="GYI44" s="125"/>
      <c r="GYJ44" s="316"/>
      <c r="GYK44" s="10"/>
      <c r="GYL44" s="125"/>
      <c r="GYM44" s="125"/>
      <c r="GYN44" s="316"/>
      <c r="GYO44" s="14"/>
      <c r="GYP44" s="125"/>
      <c r="GYQ44" s="125"/>
      <c r="GYR44" s="316"/>
      <c r="GYS44" s="14"/>
      <c r="GYT44" s="125"/>
      <c r="GYU44" s="125"/>
      <c r="GYV44" s="316"/>
      <c r="GYW44" s="14"/>
      <c r="GYX44" s="125"/>
      <c r="GYY44" s="125"/>
      <c r="GYZ44" s="316"/>
      <c r="GZA44" s="10"/>
      <c r="GZB44" s="125"/>
      <c r="GZC44" s="125"/>
      <c r="GZD44" s="316"/>
      <c r="GZE44" s="14"/>
      <c r="GZF44" s="125"/>
      <c r="GZG44" s="125"/>
      <c r="GZH44" s="316"/>
      <c r="GZI44" s="14"/>
      <c r="GZJ44" s="125"/>
      <c r="GZK44" s="125"/>
      <c r="GZL44" s="316"/>
      <c r="GZM44" s="14"/>
      <c r="GZN44" s="125"/>
      <c r="GZO44" s="125"/>
      <c r="GZP44" s="316"/>
      <c r="GZQ44" s="10"/>
      <c r="GZR44" s="125"/>
      <c r="GZS44" s="125"/>
      <c r="GZT44" s="316"/>
      <c r="GZU44" s="14"/>
      <c r="GZV44" s="125"/>
      <c r="GZW44" s="125"/>
      <c r="GZX44" s="316"/>
      <c r="GZY44" s="14"/>
      <c r="GZZ44" s="125"/>
      <c r="HAA44" s="125"/>
      <c r="HAB44" s="316"/>
      <c r="HAC44" s="14"/>
      <c r="HAD44" s="125"/>
      <c r="HAE44" s="125"/>
      <c r="HAF44" s="316"/>
      <c r="HAG44" s="10"/>
      <c r="HAH44" s="125"/>
      <c r="HAI44" s="125"/>
      <c r="HAJ44" s="316"/>
      <c r="HAK44" s="14"/>
      <c r="HAL44" s="125"/>
      <c r="HAM44" s="125"/>
      <c r="HAN44" s="316"/>
      <c r="HAO44" s="14"/>
      <c r="HAP44" s="125"/>
      <c r="HAQ44" s="125"/>
      <c r="HAR44" s="316"/>
      <c r="HAS44" s="14"/>
      <c r="HAT44" s="125"/>
      <c r="HAU44" s="125"/>
      <c r="HAV44" s="316"/>
      <c r="HAW44" s="10"/>
      <c r="HAX44" s="125"/>
      <c r="HAY44" s="125"/>
      <c r="HAZ44" s="316"/>
      <c r="HBA44" s="14"/>
      <c r="HBB44" s="125"/>
      <c r="HBC44" s="125"/>
      <c r="HBD44" s="316"/>
      <c r="HBE44" s="14"/>
      <c r="HBF44" s="125"/>
      <c r="HBG44" s="125"/>
      <c r="HBH44" s="316"/>
      <c r="HBI44" s="14"/>
      <c r="HBJ44" s="125"/>
      <c r="HBK44" s="125"/>
      <c r="HBL44" s="316"/>
      <c r="HBM44" s="10"/>
      <c r="HBN44" s="125"/>
      <c r="HBO44" s="125"/>
      <c r="HBP44" s="316"/>
      <c r="HBQ44" s="14"/>
      <c r="HBR44" s="125"/>
      <c r="HBS44" s="125"/>
      <c r="HBT44" s="316"/>
      <c r="HBU44" s="14"/>
      <c r="HBV44" s="125"/>
      <c r="HBW44" s="125"/>
      <c r="HBX44" s="316"/>
      <c r="HBY44" s="14"/>
      <c r="HBZ44" s="125"/>
      <c r="HCA44" s="125"/>
      <c r="HCB44" s="316"/>
      <c r="HCC44" s="10"/>
      <c r="HCD44" s="125"/>
      <c r="HCE44" s="125"/>
      <c r="HCF44" s="316"/>
      <c r="HCG44" s="14"/>
      <c r="HCH44" s="125"/>
      <c r="HCI44" s="125"/>
      <c r="HCJ44" s="316"/>
      <c r="HCK44" s="14"/>
      <c r="HCL44" s="125"/>
      <c r="HCM44" s="125"/>
      <c r="HCN44" s="316"/>
      <c r="HCO44" s="14"/>
      <c r="HCP44" s="125"/>
      <c r="HCQ44" s="125"/>
      <c r="HCR44" s="316"/>
      <c r="HCS44" s="10"/>
      <c r="HCT44" s="125"/>
      <c r="HCU44" s="125"/>
      <c r="HCV44" s="316"/>
      <c r="HCW44" s="14"/>
      <c r="HCX44" s="125"/>
      <c r="HCY44" s="125"/>
      <c r="HCZ44" s="316"/>
      <c r="HDA44" s="14"/>
      <c r="HDB44" s="125"/>
      <c r="HDC44" s="125"/>
      <c r="HDD44" s="316"/>
      <c r="HDE44" s="14"/>
      <c r="HDF44" s="125"/>
      <c r="HDG44" s="125"/>
      <c r="HDH44" s="316"/>
      <c r="HDI44" s="10"/>
      <c r="HDJ44" s="125"/>
      <c r="HDK44" s="125"/>
      <c r="HDL44" s="316"/>
      <c r="HDM44" s="14"/>
      <c r="HDN44" s="125"/>
      <c r="HDO44" s="125"/>
      <c r="HDP44" s="316"/>
      <c r="HDQ44" s="14"/>
      <c r="HDR44" s="125"/>
      <c r="HDS44" s="125"/>
      <c r="HDT44" s="316"/>
      <c r="HDU44" s="14"/>
      <c r="HDV44" s="125"/>
      <c r="HDW44" s="125"/>
      <c r="HDX44" s="316"/>
      <c r="HDY44" s="10"/>
      <c r="HDZ44" s="125"/>
      <c r="HEA44" s="125"/>
      <c r="HEB44" s="316"/>
      <c r="HEC44" s="14"/>
      <c r="HED44" s="125"/>
      <c r="HEE44" s="125"/>
      <c r="HEF44" s="316"/>
      <c r="HEG44" s="14"/>
      <c r="HEH44" s="125"/>
      <c r="HEI44" s="125"/>
      <c r="HEJ44" s="316"/>
      <c r="HEK44" s="14"/>
      <c r="HEL44" s="125"/>
      <c r="HEM44" s="125"/>
      <c r="HEN44" s="316"/>
      <c r="HEO44" s="10"/>
      <c r="HEP44" s="125"/>
      <c r="HEQ44" s="125"/>
      <c r="HER44" s="316"/>
      <c r="HES44" s="14"/>
      <c r="HET44" s="125"/>
      <c r="HEU44" s="125"/>
      <c r="HEV44" s="316"/>
      <c r="HEW44" s="14"/>
      <c r="HEX44" s="125"/>
      <c r="HEY44" s="125"/>
      <c r="HEZ44" s="316"/>
      <c r="HFA44" s="14"/>
      <c r="HFB44" s="125"/>
      <c r="HFC44" s="125"/>
      <c r="HFD44" s="316"/>
      <c r="HFE44" s="10"/>
      <c r="HFF44" s="125"/>
      <c r="HFG44" s="125"/>
      <c r="HFH44" s="316"/>
      <c r="HFI44" s="14"/>
      <c r="HFJ44" s="125"/>
      <c r="HFK44" s="125"/>
      <c r="HFL44" s="316"/>
      <c r="HFM44" s="14"/>
      <c r="HFN44" s="125"/>
      <c r="HFO44" s="125"/>
      <c r="HFP44" s="316"/>
      <c r="HFQ44" s="14"/>
      <c r="HFR44" s="125"/>
      <c r="HFS44" s="125"/>
      <c r="HFT44" s="316"/>
      <c r="HFU44" s="10"/>
      <c r="HFV44" s="125"/>
      <c r="HFW44" s="125"/>
      <c r="HFX44" s="316"/>
      <c r="HFY44" s="14"/>
      <c r="HFZ44" s="125"/>
      <c r="HGA44" s="125"/>
      <c r="HGB44" s="316"/>
      <c r="HGC44" s="14"/>
      <c r="HGD44" s="125"/>
      <c r="HGE44" s="125"/>
      <c r="HGF44" s="316"/>
      <c r="HGG44" s="14"/>
      <c r="HGH44" s="125"/>
      <c r="HGI44" s="125"/>
      <c r="HGJ44" s="316"/>
      <c r="HGK44" s="10"/>
      <c r="HGL44" s="125"/>
      <c r="HGM44" s="125"/>
      <c r="HGN44" s="316"/>
      <c r="HGO44" s="14"/>
      <c r="HGP44" s="125"/>
      <c r="HGQ44" s="125"/>
      <c r="HGR44" s="316"/>
      <c r="HGS44" s="14"/>
      <c r="HGT44" s="125"/>
      <c r="HGU44" s="125"/>
      <c r="HGV44" s="316"/>
      <c r="HGW44" s="14"/>
      <c r="HGX44" s="125"/>
      <c r="HGY44" s="125"/>
      <c r="HGZ44" s="316"/>
      <c r="HHA44" s="10"/>
      <c r="HHB44" s="125"/>
      <c r="HHC44" s="125"/>
      <c r="HHD44" s="316"/>
      <c r="HHE44" s="14"/>
      <c r="HHF44" s="125"/>
      <c r="HHG44" s="125"/>
      <c r="HHH44" s="316"/>
      <c r="HHI44" s="14"/>
      <c r="HHJ44" s="125"/>
      <c r="HHK44" s="125"/>
      <c r="HHL44" s="316"/>
      <c r="HHM44" s="14"/>
      <c r="HHN44" s="125"/>
      <c r="HHO44" s="125"/>
      <c r="HHP44" s="316"/>
      <c r="HHQ44" s="10"/>
      <c r="HHR44" s="125"/>
      <c r="HHS44" s="125"/>
      <c r="HHT44" s="316"/>
      <c r="HHU44" s="14"/>
      <c r="HHV44" s="125"/>
      <c r="HHW44" s="125"/>
      <c r="HHX44" s="316"/>
      <c r="HHY44" s="14"/>
      <c r="HHZ44" s="125"/>
      <c r="HIA44" s="125"/>
      <c r="HIB44" s="316"/>
      <c r="HIC44" s="14"/>
      <c r="HID44" s="125"/>
      <c r="HIE44" s="125"/>
      <c r="HIF44" s="316"/>
      <c r="HIG44" s="10"/>
      <c r="HIH44" s="125"/>
      <c r="HII44" s="125"/>
      <c r="HIJ44" s="316"/>
      <c r="HIK44" s="14"/>
      <c r="HIL44" s="125"/>
      <c r="HIM44" s="125"/>
      <c r="HIN44" s="316"/>
      <c r="HIO44" s="14"/>
      <c r="HIP44" s="125"/>
      <c r="HIQ44" s="125"/>
      <c r="HIR44" s="316"/>
      <c r="HIS44" s="14"/>
      <c r="HIT44" s="125"/>
      <c r="HIU44" s="125"/>
      <c r="HIV44" s="316"/>
      <c r="HIW44" s="10"/>
      <c r="HIX44" s="125"/>
      <c r="HIY44" s="125"/>
      <c r="HIZ44" s="316"/>
      <c r="HJA44" s="14"/>
      <c r="HJB44" s="125"/>
      <c r="HJC44" s="125"/>
      <c r="HJD44" s="316"/>
      <c r="HJE44" s="14"/>
      <c r="HJF44" s="125"/>
      <c r="HJG44" s="125"/>
      <c r="HJH44" s="316"/>
      <c r="HJI44" s="14"/>
      <c r="HJJ44" s="125"/>
      <c r="HJK44" s="125"/>
      <c r="HJL44" s="316"/>
      <c r="HJM44" s="10"/>
      <c r="HJN44" s="125"/>
      <c r="HJO44" s="125"/>
      <c r="HJP44" s="316"/>
      <c r="HJQ44" s="14"/>
      <c r="HJR44" s="125"/>
      <c r="HJS44" s="125"/>
      <c r="HJT44" s="316"/>
      <c r="HJU44" s="14"/>
      <c r="HJV44" s="125"/>
      <c r="HJW44" s="125"/>
      <c r="HJX44" s="316"/>
      <c r="HJY44" s="14"/>
      <c r="HJZ44" s="125"/>
      <c r="HKA44" s="125"/>
      <c r="HKB44" s="316"/>
      <c r="HKC44" s="10"/>
      <c r="HKD44" s="125"/>
      <c r="HKE44" s="125"/>
      <c r="HKF44" s="316"/>
      <c r="HKG44" s="14"/>
      <c r="HKH44" s="125"/>
      <c r="HKI44" s="125"/>
      <c r="HKJ44" s="316"/>
      <c r="HKK44" s="14"/>
      <c r="HKL44" s="125"/>
      <c r="HKM44" s="125"/>
      <c r="HKN44" s="316"/>
      <c r="HKO44" s="14"/>
      <c r="HKP44" s="125"/>
      <c r="HKQ44" s="125"/>
      <c r="HKR44" s="316"/>
      <c r="HKS44" s="10"/>
      <c r="HKT44" s="125"/>
      <c r="HKU44" s="125"/>
      <c r="HKV44" s="316"/>
      <c r="HKW44" s="14"/>
      <c r="HKX44" s="125"/>
      <c r="HKY44" s="125"/>
      <c r="HKZ44" s="316"/>
      <c r="HLA44" s="14"/>
      <c r="HLB44" s="125"/>
      <c r="HLC44" s="125"/>
      <c r="HLD44" s="316"/>
      <c r="HLE44" s="14"/>
      <c r="HLF44" s="125"/>
      <c r="HLG44" s="125"/>
      <c r="HLH44" s="316"/>
      <c r="HLI44" s="10"/>
      <c r="HLJ44" s="125"/>
      <c r="HLK44" s="125"/>
      <c r="HLL44" s="316"/>
      <c r="HLM44" s="14"/>
      <c r="HLN44" s="125"/>
      <c r="HLO44" s="125"/>
      <c r="HLP44" s="316"/>
      <c r="HLQ44" s="14"/>
      <c r="HLR44" s="125"/>
      <c r="HLS44" s="125"/>
      <c r="HLT44" s="316"/>
      <c r="HLU44" s="14"/>
      <c r="HLV44" s="125"/>
      <c r="HLW44" s="125"/>
      <c r="HLX44" s="316"/>
      <c r="HLY44" s="10"/>
      <c r="HLZ44" s="125"/>
      <c r="HMA44" s="125"/>
      <c r="HMB44" s="316"/>
      <c r="HMC44" s="14"/>
      <c r="HMD44" s="125"/>
      <c r="HME44" s="125"/>
      <c r="HMF44" s="316"/>
      <c r="HMG44" s="14"/>
      <c r="HMH44" s="125"/>
      <c r="HMI44" s="125"/>
      <c r="HMJ44" s="316"/>
      <c r="HMK44" s="14"/>
      <c r="HML44" s="125"/>
      <c r="HMM44" s="125"/>
      <c r="HMN44" s="316"/>
      <c r="HMO44" s="10"/>
      <c r="HMP44" s="125"/>
      <c r="HMQ44" s="125"/>
      <c r="HMR44" s="316"/>
      <c r="HMS44" s="14"/>
      <c r="HMT44" s="125"/>
      <c r="HMU44" s="125"/>
      <c r="HMV44" s="316"/>
      <c r="HMW44" s="14"/>
      <c r="HMX44" s="125"/>
      <c r="HMY44" s="125"/>
      <c r="HMZ44" s="316"/>
      <c r="HNA44" s="14"/>
      <c r="HNB44" s="125"/>
      <c r="HNC44" s="125"/>
      <c r="HND44" s="316"/>
      <c r="HNE44" s="10"/>
      <c r="HNF44" s="125"/>
      <c r="HNG44" s="125"/>
      <c r="HNH44" s="316"/>
      <c r="HNI44" s="14"/>
      <c r="HNJ44" s="125"/>
      <c r="HNK44" s="125"/>
      <c r="HNL44" s="316"/>
      <c r="HNM44" s="14"/>
      <c r="HNN44" s="125"/>
      <c r="HNO44" s="125"/>
      <c r="HNP44" s="316"/>
      <c r="HNQ44" s="14"/>
      <c r="HNR44" s="125"/>
      <c r="HNS44" s="125"/>
      <c r="HNT44" s="316"/>
      <c r="HNU44" s="10"/>
      <c r="HNV44" s="125"/>
      <c r="HNW44" s="125"/>
      <c r="HNX44" s="316"/>
      <c r="HNY44" s="14"/>
      <c r="HNZ44" s="125"/>
      <c r="HOA44" s="125"/>
      <c r="HOB44" s="316"/>
      <c r="HOC44" s="14"/>
      <c r="HOD44" s="125"/>
      <c r="HOE44" s="125"/>
      <c r="HOF44" s="316"/>
      <c r="HOG44" s="14"/>
      <c r="HOH44" s="125"/>
      <c r="HOI44" s="125"/>
      <c r="HOJ44" s="316"/>
      <c r="HOK44" s="10"/>
      <c r="HOL44" s="125"/>
      <c r="HOM44" s="125"/>
      <c r="HON44" s="316"/>
      <c r="HOO44" s="14"/>
      <c r="HOP44" s="125"/>
      <c r="HOQ44" s="125"/>
      <c r="HOR44" s="316"/>
      <c r="HOS44" s="14"/>
      <c r="HOT44" s="125"/>
      <c r="HOU44" s="125"/>
      <c r="HOV44" s="316"/>
      <c r="HOW44" s="14"/>
      <c r="HOX44" s="125"/>
      <c r="HOY44" s="125"/>
      <c r="HOZ44" s="316"/>
      <c r="HPA44" s="10"/>
      <c r="HPB44" s="125"/>
      <c r="HPC44" s="125"/>
      <c r="HPD44" s="316"/>
      <c r="HPE44" s="14"/>
      <c r="HPF44" s="125"/>
      <c r="HPG44" s="125"/>
      <c r="HPH44" s="316"/>
      <c r="HPI44" s="14"/>
      <c r="HPJ44" s="125"/>
      <c r="HPK44" s="125"/>
      <c r="HPL44" s="316"/>
      <c r="HPM44" s="14"/>
      <c r="HPN44" s="125"/>
      <c r="HPO44" s="125"/>
      <c r="HPP44" s="316"/>
      <c r="HPQ44" s="10"/>
      <c r="HPR44" s="125"/>
      <c r="HPS44" s="125"/>
      <c r="HPT44" s="316"/>
      <c r="HPU44" s="14"/>
      <c r="HPV44" s="125"/>
      <c r="HPW44" s="125"/>
      <c r="HPX44" s="316"/>
      <c r="HPY44" s="14"/>
      <c r="HPZ44" s="125"/>
      <c r="HQA44" s="125"/>
      <c r="HQB44" s="316"/>
      <c r="HQC44" s="14"/>
      <c r="HQD44" s="125"/>
      <c r="HQE44" s="125"/>
      <c r="HQF44" s="316"/>
      <c r="HQG44" s="10"/>
      <c r="HQH44" s="125"/>
      <c r="HQI44" s="125"/>
      <c r="HQJ44" s="316"/>
      <c r="HQK44" s="14"/>
      <c r="HQL44" s="125"/>
      <c r="HQM44" s="125"/>
      <c r="HQN44" s="316"/>
      <c r="HQO44" s="14"/>
      <c r="HQP44" s="125"/>
      <c r="HQQ44" s="125"/>
      <c r="HQR44" s="316"/>
      <c r="HQS44" s="14"/>
      <c r="HQT44" s="125"/>
      <c r="HQU44" s="125"/>
      <c r="HQV44" s="316"/>
      <c r="HQW44" s="10"/>
      <c r="HQX44" s="125"/>
      <c r="HQY44" s="125"/>
      <c r="HQZ44" s="316"/>
      <c r="HRA44" s="14"/>
      <c r="HRB44" s="125"/>
      <c r="HRC44" s="125"/>
      <c r="HRD44" s="316"/>
      <c r="HRE44" s="14"/>
      <c r="HRF44" s="125"/>
      <c r="HRG44" s="125"/>
      <c r="HRH44" s="316"/>
      <c r="HRI44" s="14"/>
      <c r="HRJ44" s="125"/>
      <c r="HRK44" s="125"/>
      <c r="HRL44" s="316"/>
      <c r="HRM44" s="10"/>
      <c r="HRN44" s="125"/>
      <c r="HRO44" s="125"/>
      <c r="HRP44" s="316"/>
      <c r="HRQ44" s="14"/>
      <c r="HRR44" s="125"/>
      <c r="HRS44" s="125"/>
      <c r="HRT44" s="316"/>
      <c r="HRU44" s="14"/>
      <c r="HRV44" s="125"/>
      <c r="HRW44" s="125"/>
      <c r="HRX44" s="316"/>
      <c r="HRY44" s="14"/>
      <c r="HRZ44" s="125"/>
      <c r="HSA44" s="125"/>
      <c r="HSB44" s="316"/>
      <c r="HSC44" s="10"/>
      <c r="HSD44" s="125"/>
      <c r="HSE44" s="125"/>
      <c r="HSF44" s="316"/>
      <c r="HSG44" s="14"/>
      <c r="HSH44" s="125"/>
      <c r="HSI44" s="125"/>
      <c r="HSJ44" s="316"/>
      <c r="HSK44" s="14"/>
      <c r="HSL44" s="125"/>
      <c r="HSM44" s="125"/>
      <c r="HSN44" s="316"/>
      <c r="HSO44" s="14"/>
      <c r="HSP44" s="125"/>
      <c r="HSQ44" s="125"/>
      <c r="HSR44" s="316"/>
      <c r="HSS44" s="10"/>
      <c r="HST44" s="125"/>
      <c r="HSU44" s="125"/>
      <c r="HSV44" s="316"/>
      <c r="HSW44" s="14"/>
      <c r="HSX44" s="125"/>
      <c r="HSY44" s="125"/>
      <c r="HSZ44" s="316"/>
      <c r="HTA44" s="14"/>
      <c r="HTB44" s="125"/>
      <c r="HTC44" s="125"/>
      <c r="HTD44" s="316"/>
      <c r="HTE44" s="14"/>
      <c r="HTF44" s="125"/>
      <c r="HTG44" s="125"/>
      <c r="HTH44" s="316"/>
      <c r="HTI44" s="10"/>
      <c r="HTJ44" s="125"/>
      <c r="HTK44" s="125"/>
      <c r="HTL44" s="316"/>
      <c r="HTM44" s="14"/>
      <c r="HTN44" s="125"/>
      <c r="HTO44" s="125"/>
      <c r="HTP44" s="316"/>
      <c r="HTQ44" s="14"/>
      <c r="HTR44" s="125"/>
      <c r="HTS44" s="125"/>
      <c r="HTT44" s="316"/>
      <c r="HTU44" s="14"/>
      <c r="HTV44" s="125"/>
      <c r="HTW44" s="125"/>
      <c r="HTX44" s="316"/>
      <c r="HTY44" s="10"/>
      <c r="HTZ44" s="125"/>
      <c r="HUA44" s="125"/>
      <c r="HUB44" s="316"/>
      <c r="HUC44" s="14"/>
      <c r="HUD44" s="125"/>
      <c r="HUE44" s="125"/>
      <c r="HUF44" s="316"/>
      <c r="HUG44" s="14"/>
      <c r="HUH44" s="125"/>
      <c r="HUI44" s="125"/>
      <c r="HUJ44" s="316"/>
      <c r="HUK44" s="14"/>
      <c r="HUL44" s="125"/>
      <c r="HUM44" s="125"/>
      <c r="HUN44" s="316"/>
      <c r="HUO44" s="10"/>
      <c r="HUP44" s="125"/>
      <c r="HUQ44" s="125"/>
      <c r="HUR44" s="316"/>
      <c r="HUS44" s="14"/>
      <c r="HUT44" s="125"/>
      <c r="HUU44" s="125"/>
      <c r="HUV44" s="316"/>
      <c r="HUW44" s="14"/>
      <c r="HUX44" s="125"/>
      <c r="HUY44" s="125"/>
      <c r="HUZ44" s="316"/>
      <c r="HVA44" s="14"/>
      <c r="HVB44" s="125"/>
      <c r="HVC44" s="125"/>
      <c r="HVD44" s="316"/>
      <c r="HVE44" s="10"/>
      <c r="HVF44" s="125"/>
      <c r="HVG44" s="125"/>
      <c r="HVH44" s="316"/>
      <c r="HVI44" s="14"/>
      <c r="HVJ44" s="125"/>
      <c r="HVK44" s="125"/>
      <c r="HVL44" s="316"/>
      <c r="HVM44" s="14"/>
      <c r="HVN44" s="125"/>
      <c r="HVO44" s="125"/>
      <c r="HVP44" s="316"/>
      <c r="HVQ44" s="14"/>
      <c r="HVR44" s="125"/>
      <c r="HVS44" s="125"/>
      <c r="HVT44" s="316"/>
      <c r="HVU44" s="10"/>
      <c r="HVV44" s="125"/>
      <c r="HVW44" s="125"/>
      <c r="HVX44" s="316"/>
      <c r="HVY44" s="14"/>
      <c r="HVZ44" s="125"/>
      <c r="HWA44" s="125"/>
      <c r="HWB44" s="316"/>
      <c r="HWC44" s="14"/>
      <c r="HWD44" s="125"/>
      <c r="HWE44" s="125"/>
      <c r="HWF44" s="316"/>
      <c r="HWG44" s="14"/>
      <c r="HWH44" s="125"/>
      <c r="HWI44" s="125"/>
      <c r="HWJ44" s="316"/>
      <c r="HWK44" s="10"/>
      <c r="HWL44" s="125"/>
      <c r="HWM44" s="125"/>
      <c r="HWN44" s="316"/>
      <c r="HWO44" s="14"/>
      <c r="HWP44" s="125"/>
      <c r="HWQ44" s="125"/>
      <c r="HWR44" s="316"/>
      <c r="HWS44" s="14"/>
      <c r="HWT44" s="125"/>
      <c r="HWU44" s="125"/>
      <c r="HWV44" s="316"/>
      <c r="HWW44" s="14"/>
      <c r="HWX44" s="125"/>
      <c r="HWY44" s="125"/>
      <c r="HWZ44" s="316"/>
      <c r="HXA44" s="10"/>
      <c r="HXB44" s="125"/>
      <c r="HXC44" s="125"/>
      <c r="HXD44" s="316"/>
      <c r="HXE44" s="14"/>
      <c r="HXF44" s="125"/>
      <c r="HXG44" s="125"/>
      <c r="HXH44" s="316"/>
      <c r="HXI44" s="14"/>
      <c r="HXJ44" s="125"/>
      <c r="HXK44" s="125"/>
      <c r="HXL44" s="316"/>
      <c r="HXM44" s="14"/>
      <c r="HXN44" s="125"/>
      <c r="HXO44" s="125"/>
      <c r="HXP44" s="316"/>
      <c r="HXQ44" s="10"/>
      <c r="HXR44" s="125"/>
      <c r="HXS44" s="125"/>
      <c r="HXT44" s="316"/>
      <c r="HXU44" s="14"/>
      <c r="HXV44" s="125"/>
      <c r="HXW44" s="125"/>
      <c r="HXX44" s="316"/>
      <c r="HXY44" s="14"/>
      <c r="HXZ44" s="125"/>
      <c r="HYA44" s="125"/>
      <c r="HYB44" s="316"/>
      <c r="HYC44" s="14"/>
      <c r="HYD44" s="125"/>
      <c r="HYE44" s="125"/>
      <c r="HYF44" s="316"/>
      <c r="HYG44" s="10"/>
      <c r="HYH44" s="125"/>
      <c r="HYI44" s="125"/>
      <c r="HYJ44" s="316"/>
      <c r="HYK44" s="14"/>
      <c r="HYL44" s="125"/>
      <c r="HYM44" s="125"/>
      <c r="HYN44" s="316"/>
      <c r="HYO44" s="14"/>
      <c r="HYP44" s="125"/>
      <c r="HYQ44" s="125"/>
      <c r="HYR44" s="316"/>
      <c r="HYS44" s="14"/>
      <c r="HYT44" s="125"/>
      <c r="HYU44" s="125"/>
      <c r="HYV44" s="316"/>
      <c r="HYW44" s="10"/>
      <c r="HYX44" s="125"/>
      <c r="HYY44" s="125"/>
      <c r="HYZ44" s="316"/>
      <c r="HZA44" s="14"/>
      <c r="HZB44" s="125"/>
      <c r="HZC44" s="125"/>
      <c r="HZD44" s="316"/>
      <c r="HZE44" s="14"/>
      <c r="HZF44" s="125"/>
      <c r="HZG44" s="125"/>
      <c r="HZH44" s="316"/>
      <c r="HZI44" s="14"/>
      <c r="HZJ44" s="125"/>
      <c r="HZK44" s="125"/>
      <c r="HZL44" s="316"/>
      <c r="HZM44" s="10"/>
      <c r="HZN44" s="125"/>
      <c r="HZO44" s="125"/>
      <c r="HZP44" s="316"/>
      <c r="HZQ44" s="14"/>
      <c r="HZR44" s="125"/>
      <c r="HZS44" s="125"/>
      <c r="HZT44" s="316"/>
      <c r="HZU44" s="14"/>
      <c r="HZV44" s="125"/>
      <c r="HZW44" s="125"/>
      <c r="HZX44" s="316"/>
      <c r="HZY44" s="14"/>
      <c r="HZZ44" s="125"/>
      <c r="IAA44" s="125"/>
      <c r="IAB44" s="316"/>
      <c r="IAC44" s="10"/>
      <c r="IAD44" s="125"/>
      <c r="IAE44" s="125"/>
      <c r="IAF44" s="316"/>
      <c r="IAG44" s="14"/>
      <c r="IAH44" s="125"/>
      <c r="IAI44" s="125"/>
      <c r="IAJ44" s="316"/>
      <c r="IAK44" s="14"/>
      <c r="IAL44" s="125"/>
      <c r="IAM44" s="125"/>
      <c r="IAN44" s="316"/>
      <c r="IAO44" s="14"/>
      <c r="IAP44" s="125"/>
      <c r="IAQ44" s="125"/>
      <c r="IAR44" s="316"/>
      <c r="IAS44" s="10"/>
      <c r="IAT44" s="125"/>
      <c r="IAU44" s="125"/>
      <c r="IAV44" s="316"/>
      <c r="IAW44" s="14"/>
      <c r="IAX44" s="125"/>
      <c r="IAY44" s="125"/>
      <c r="IAZ44" s="316"/>
      <c r="IBA44" s="14"/>
      <c r="IBB44" s="125"/>
      <c r="IBC44" s="125"/>
      <c r="IBD44" s="316"/>
      <c r="IBE44" s="14"/>
      <c r="IBF44" s="125"/>
      <c r="IBG44" s="125"/>
      <c r="IBH44" s="316"/>
      <c r="IBI44" s="10"/>
      <c r="IBJ44" s="125"/>
      <c r="IBK44" s="125"/>
      <c r="IBL44" s="316"/>
      <c r="IBM44" s="14"/>
      <c r="IBN44" s="125"/>
      <c r="IBO44" s="125"/>
      <c r="IBP44" s="316"/>
      <c r="IBQ44" s="14"/>
      <c r="IBR44" s="125"/>
      <c r="IBS44" s="125"/>
      <c r="IBT44" s="316"/>
      <c r="IBU44" s="14"/>
      <c r="IBV44" s="125"/>
      <c r="IBW44" s="125"/>
      <c r="IBX44" s="316"/>
      <c r="IBY44" s="10"/>
      <c r="IBZ44" s="125"/>
      <c r="ICA44" s="125"/>
      <c r="ICB44" s="316"/>
      <c r="ICC44" s="14"/>
      <c r="ICD44" s="125"/>
      <c r="ICE44" s="125"/>
      <c r="ICF44" s="316"/>
      <c r="ICG44" s="14"/>
      <c r="ICH44" s="125"/>
      <c r="ICI44" s="125"/>
      <c r="ICJ44" s="316"/>
      <c r="ICK44" s="14"/>
      <c r="ICL44" s="125"/>
      <c r="ICM44" s="125"/>
      <c r="ICN44" s="316"/>
      <c r="ICO44" s="10"/>
      <c r="ICP44" s="125"/>
      <c r="ICQ44" s="125"/>
      <c r="ICR44" s="316"/>
      <c r="ICS44" s="14"/>
      <c r="ICT44" s="125"/>
      <c r="ICU44" s="125"/>
      <c r="ICV44" s="316"/>
      <c r="ICW44" s="14"/>
      <c r="ICX44" s="125"/>
      <c r="ICY44" s="125"/>
      <c r="ICZ44" s="316"/>
      <c r="IDA44" s="14"/>
      <c r="IDB44" s="125"/>
      <c r="IDC44" s="125"/>
      <c r="IDD44" s="316"/>
      <c r="IDE44" s="10"/>
      <c r="IDF44" s="125"/>
      <c r="IDG44" s="125"/>
      <c r="IDH44" s="316"/>
      <c r="IDI44" s="14"/>
      <c r="IDJ44" s="125"/>
      <c r="IDK44" s="125"/>
      <c r="IDL44" s="316"/>
      <c r="IDM44" s="14"/>
      <c r="IDN44" s="125"/>
      <c r="IDO44" s="125"/>
      <c r="IDP44" s="316"/>
      <c r="IDQ44" s="14"/>
      <c r="IDR44" s="125"/>
      <c r="IDS44" s="125"/>
      <c r="IDT44" s="316"/>
      <c r="IDU44" s="10"/>
      <c r="IDV44" s="125"/>
      <c r="IDW44" s="125"/>
      <c r="IDX44" s="316"/>
      <c r="IDY44" s="14"/>
      <c r="IDZ44" s="125"/>
      <c r="IEA44" s="125"/>
      <c r="IEB44" s="316"/>
      <c r="IEC44" s="14"/>
      <c r="IED44" s="125"/>
      <c r="IEE44" s="125"/>
      <c r="IEF44" s="316"/>
      <c r="IEG44" s="14"/>
      <c r="IEH44" s="125"/>
      <c r="IEI44" s="125"/>
      <c r="IEJ44" s="316"/>
      <c r="IEK44" s="10"/>
      <c r="IEL44" s="125"/>
      <c r="IEM44" s="125"/>
      <c r="IEN44" s="316"/>
      <c r="IEO44" s="14"/>
      <c r="IEP44" s="125"/>
      <c r="IEQ44" s="125"/>
      <c r="IER44" s="316"/>
      <c r="IES44" s="14"/>
      <c r="IET44" s="125"/>
      <c r="IEU44" s="125"/>
      <c r="IEV44" s="316"/>
      <c r="IEW44" s="14"/>
      <c r="IEX44" s="125"/>
      <c r="IEY44" s="125"/>
      <c r="IEZ44" s="316"/>
      <c r="IFA44" s="10"/>
      <c r="IFB44" s="125"/>
      <c r="IFC44" s="125"/>
      <c r="IFD44" s="316"/>
      <c r="IFE44" s="14"/>
      <c r="IFF44" s="125"/>
      <c r="IFG44" s="125"/>
      <c r="IFH44" s="316"/>
      <c r="IFI44" s="14"/>
      <c r="IFJ44" s="125"/>
      <c r="IFK44" s="125"/>
      <c r="IFL44" s="316"/>
      <c r="IFM44" s="14"/>
      <c r="IFN44" s="125"/>
      <c r="IFO44" s="125"/>
      <c r="IFP44" s="316"/>
      <c r="IFQ44" s="10"/>
      <c r="IFR44" s="125"/>
      <c r="IFS44" s="125"/>
      <c r="IFT44" s="316"/>
      <c r="IFU44" s="14"/>
      <c r="IFV44" s="125"/>
      <c r="IFW44" s="125"/>
      <c r="IFX44" s="316"/>
      <c r="IFY44" s="14"/>
      <c r="IFZ44" s="125"/>
      <c r="IGA44" s="125"/>
      <c r="IGB44" s="316"/>
      <c r="IGC44" s="14"/>
      <c r="IGD44" s="125"/>
      <c r="IGE44" s="125"/>
      <c r="IGF44" s="316"/>
      <c r="IGG44" s="10"/>
      <c r="IGH44" s="125"/>
      <c r="IGI44" s="125"/>
      <c r="IGJ44" s="316"/>
      <c r="IGK44" s="14"/>
      <c r="IGL44" s="125"/>
      <c r="IGM44" s="125"/>
      <c r="IGN44" s="316"/>
      <c r="IGO44" s="14"/>
      <c r="IGP44" s="125"/>
      <c r="IGQ44" s="125"/>
      <c r="IGR44" s="316"/>
      <c r="IGS44" s="14"/>
      <c r="IGT44" s="125"/>
      <c r="IGU44" s="125"/>
      <c r="IGV44" s="316"/>
      <c r="IGW44" s="10"/>
      <c r="IGX44" s="125"/>
      <c r="IGY44" s="125"/>
      <c r="IGZ44" s="316"/>
      <c r="IHA44" s="14"/>
      <c r="IHB44" s="125"/>
      <c r="IHC44" s="125"/>
      <c r="IHD44" s="316"/>
      <c r="IHE44" s="14"/>
      <c r="IHF44" s="125"/>
      <c r="IHG44" s="125"/>
      <c r="IHH44" s="316"/>
      <c r="IHI44" s="14"/>
      <c r="IHJ44" s="125"/>
      <c r="IHK44" s="125"/>
      <c r="IHL44" s="316"/>
      <c r="IHM44" s="10"/>
      <c r="IHN44" s="125"/>
      <c r="IHO44" s="125"/>
      <c r="IHP44" s="316"/>
      <c r="IHQ44" s="14"/>
      <c r="IHR44" s="125"/>
      <c r="IHS44" s="125"/>
      <c r="IHT44" s="316"/>
      <c r="IHU44" s="14"/>
      <c r="IHV44" s="125"/>
      <c r="IHW44" s="125"/>
      <c r="IHX44" s="316"/>
      <c r="IHY44" s="14"/>
      <c r="IHZ44" s="125"/>
      <c r="IIA44" s="125"/>
      <c r="IIB44" s="316"/>
      <c r="IIC44" s="10"/>
      <c r="IID44" s="125"/>
      <c r="IIE44" s="125"/>
      <c r="IIF44" s="316"/>
      <c r="IIG44" s="14"/>
      <c r="IIH44" s="125"/>
      <c r="III44" s="125"/>
      <c r="IIJ44" s="316"/>
      <c r="IIK44" s="14"/>
      <c r="IIL44" s="125"/>
      <c r="IIM44" s="125"/>
      <c r="IIN44" s="316"/>
      <c r="IIO44" s="14"/>
      <c r="IIP44" s="125"/>
      <c r="IIQ44" s="125"/>
      <c r="IIR44" s="316"/>
      <c r="IIS44" s="10"/>
      <c r="IIT44" s="125"/>
      <c r="IIU44" s="125"/>
      <c r="IIV44" s="316"/>
      <c r="IIW44" s="14"/>
      <c r="IIX44" s="125"/>
      <c r="IIY44" s="125"/>
      <c r="IIZ44" s="316"/>
      <c r="IJA44" s="14"/>
      <c r="IJB44" s="125"/>
      <c r="IJC44" s="125"/>
      <c r="IJD44" s="316"/>
      <c r="IJE44" s="14"/>
      <c r="IJF44" s="125"/>
      <c r="IJG44" s="125"/>
      <c r="IJH44" s="316"/>
      <c r="IJI44" s="10"/>
      <c r="IJJ44" s="125"/>
      <c r="IJK44" s="125"/>
      <c r="IJL44" s="316"/>
      <c r="IJM44" s="14"/>
      <c r="IJN44" s="125"/>
      <c r="IJO44" s="125"/>
      <c r="IJP44" s="316"/>
      <c r="IJQ44" s="14"/>
      <c r="IJR44" s="125"/>
      <c r="IJS44" s="125"/>
      <c r="IJT44" s="316"/>
      <c r="IJU44" s="14"/>
      <c r="IJV44" s="125"/>
      <c r="IJW44" s="125"/>
      <c r="IJX44" s="316"/>
      <c r="IJY44" s="10"/>
      <c r="IJZ44" s="125"/>
      <c r="IKA44" s="125"/>
      <c r="IKB44" s="316"/>
      <c r="IKC44" s="14"/>
      <c r="IKD44" s="125"/>
      <c r="IKE44" s="125"/>
      <c r="IKF44" s="316"/>
      <c r="IKG44" s="14"/>
      <c r="IKH44" s="125"/>
      <c r="IKI44" s="125"/>
      <c r="IKJ44" s="316"/>
      <c r="IKK44" s="14"/>
      <c r="IKL44" s="125"/>
      <c r="IKM44" s="125"/>
      <c r="IKN44" s="316"/>
      <c r="IKO44" s="10"/>
      <c r="IKP44" s="125"/>
      <c r="IKQ44" s="125"/>
      <c r="IKR44" s="316"/>
      <c r="IKS44" s="14"/>
      <c r="IKT44" s="125"/>
      <c r="IKU44" s="125"/>
      <c r="IKV44" s="316"/>
      <c r="IKW44" s="14"/>
      <c r="IKX44" s="125"/>
      <c r="IKY44" s="125"/>
      <c r="IKZ44" s="316"/>
      <c r="ILA44" s="14"/>
      <c r="ILB44" s="125"/>
      <c r="ILC44" s="125"/>
      <c r="ILD44" s="316"/>
      <c r="ILE44" s="10"/>
      <c r="ILF44" s="125"/>
      <c r="ILG44" s="125"/>
      <c r="ILH44" s="316"/>
      <c r="ILI44" s="14"/>
      <c r="ILJ44" s="125"/>
      <c r="ILK44" s="125"/>
      <c r="ILL44" s="316"/>
      <c r="ILM44" s="14"/>
      <c r="ILN44" s="125"/>
      <c r="ILO44" s="125"/>
      <c r="ILP44" s="316"/>
      <c r="ILQ44" s="14"/>
      <c r="ILR44" s="125"/>
      <c r="ILS44" s="125"/>
      <c r="ILT44" s="316"/>
      <c r="ILU44" s="10"/>
      <c r="ILV44" s="125"/>
      <c r="ILW44" s="125"/>
      <c r="ILX44" s="316"/>
      <c r="ILY44" s="14"/>
      <c r="ILZ44" s="125"/>
      <c r="IMA44" s="125"/>
      <c r="IMB44" s="316"/>
      <c r="IMC44" s="14"/>
      <c r="IMD44" s="125"/>
      <c r="IME44" s="125"/>
      <c r="IMF44" s="316"/>
      <c r="IMG44" s="14"/>
      <c r="IMH44" s="125"/>
      <c r="IMI44" s="125"/>
      <c r="IMJ44" s="316"/>
      <c r="IMK44" s="10"/>
      <c r="IML44" s="125"/>
      <c r="IMM44" s="125"/>
      <c r="IMN44" s="316"/>
      <c r="IMO44" s="14"/>
      <c r="IMP44" s="125"/>
      <c r="IMQ44" s="125"/>
      <c r="IMR44" s="316"/>
      <c r="IMS44" s="14"/>
      <c r="IMT44" s="125"/>
      <c r="IMU44" s="125"/>
      <c r="IMV44" s="316"/>
      <c r="IMW44" s="14"/>
      <c r="IMX44" s="125"/>
      <c r="IMY44" s="125"/>
      <c r="IMZ44" s="316"/>
      <c r="INA44" s="10"/>
      <c r="INB44" s="125"/>
      <c r="INC44" s="125"/>
      <c r="IND44" s="316"/>
      <c r="INE44" s="14"/>
      <c r="INF44" s="125"/>
      <c r="ING44" s="125"/>
      <c r="INH44" s="316"/>
      <c r="INI44" s="14"/>
      <c r="INJ44" s="125"/>
      <c r="INK44" s="125"/>
      <c r="INL44" s="316"/>
      <c r="INM44" s="14"/>
      <c r="INN44" s="125"/>
      <c r="INO44" s="125"/>
      <c r="INP44" s="316"/>
      <c r="INQ44" s="10"/>
      <c r="INR44" s="125"/>
      <c r="INS44" s="125"/>
      <c r="INT44" s="316"/>
      <c r="INU44" s="14"/>
      <c r="INV44" s="125"/>
      <c r="INW44" s="125"/>
      <c r="INX44" s="316"/>
      <c r="INY44" s="14"/>
      <c r="INZ44" s="125"/>
      <c r="IOA44" s="125"/>
      <c r="IOB44" s="316"/>
      <c r="IOC44" s="14"/>
      <c r="IOD44" s="125"/>
      <c r="IOE44" s="125"/>
      <c r="IOF44" s="316"/>
      <c r="IOG44" s="10"/>
      <c r="IOH44" s="125"/>
      <c r="IOI44" s="125"/>
      <c r="IOJ44" s="316"/>
      <c r="IOK44" s="14"/>
      <c r="IOL44" s="125"/>
      <c r="IOM44" s="125"/>
      <c r="ION44" s="316"/>
      <c r="IOO44" s="14"/>
      <c r="IOP44" s="125"/>
      <c r="IOQ44" s="125"/>
      <c r="IOR44" s="316"/>
      <c r="IOS44" s="14"/>
      <c r="IOT44" s="125"/>
      <c r="IOU44" s="125"/>
      <c r="IOV44" s="316"/>
      <c r="IOW44" s="10"/>
      <c r="IOX44" s="125"/>
      <c r="IOY44" s="125"/>
      <c r="IOZ44" s="316"/>
      <c r="IPA44" s="14"/>
      <c r="IPB44" s="125"/>
      <c r="IPC44" s="125"/>
      <c r="IPD44" s="316"/>
      <c r="IPE44" s="14"/>
      <c r="IPF44" s="125"/>
      <c r="IPG44" s="125"/>
      <c r="IPH44" s="316"/>
      <c r="IPI44" s="14"/>
      <c r="IPJ44" s="125"/>
      <c r="IPK44" s="125"/>
      <c r="IPL44" s="316"/>
      <c r="IPM44" s="10"/>
      <c r="IPN44" s="125"/>
      <c r="IPO44" s="125"/>
      <c r="IPP44" s="316"/>
      <c r="IPQ44" s="14"/>
      <c r="IPR44" s="125"/>
      <c r="IPS44" s="125"/>
      <c r="IPT44" s="316"/>
      <c r="IPU44" s="14"/>
      <c r="IPV44" s="125"/>
      <c r="IPW44" s="125"/>
      <c r="IPX44" s="316"/>
      <c r="IPY44" s="14"/>
      <c r="IPZ44" s="125"/>
      <c r="IQA44" s="125"/>
      <c r="IQB44" s="316"/>
      <c r="IQC44" s="10"/>
      <c r="IQD44" s="125"/>
      <c r="IQE44" s="125"/>
      <c r="IQF44" s="316"/>
      <c r="IQG44" s="14"/>
      <c r="IQH44" s="125"/>
      <c r="IQI44" s="125"/>
      <c r="IQJ44" s="316"/>
      <c r="IQK44" s="14"/>
      <c r="IQL44" s="125"/>
      <c r="IQM44" s="125"/>
      <c r="IQN44" s="316"/>
      <c r="IQO44" s="14"/>
      <c r="IQP44" s="125"/>
      <c r="IQQ44" s="125"/>
      <c r="IQR44" s="316"/>
      <c r="IQS44" s="10"/>
      <c r="IQT44" s="125"/>
      <c r="IQU44" s="125"/>
      <c r="IQV44" s="316"/>
      <c r="IQW44" s="14"/>
      <c r="IQX44" s="125"/>
      <c r="IQY44" s="125"/>
      <c r="IQZ44" s="316"/>
      <c r="IRA44" s="14"/>
      <c r="IRB44" s="125"/>
      <c r="IRC44" s="125"/>
      <c r="IRD44" s="316"/>
      <c r="IRE44" s="14"/>
      <c r="IRF44" s="125"/>
      <c r="IRG44" s="125"/>
      <c r="IRH44" s="316"/>
      <c r="IRI44" s="10"/>
      <c r="IRJ44" s="125"/>
      <c r="IRK44" s="125"/>
      <c r="IRL44" s="316"/>
      <c r="IRM44" s="14"/>
      <c r="IRN44" s="125"/>
      <c r="IRO44" s="125"/>
      <c r="IRP44" s="316"/>
      <c r="IRQ44" s="14"/>
      <c r="IRR44" s="125"/>
      <c r="IRS44" s="125"/>
      <c r="IRT44" s="316"/>
      <c r="IRU44" s="14"/>
      <c r="IRV44" s="125"/>
      <c r="IRW44" s="125"/>
      <c r="IRX44" s="316"/>
      <c r="IRY44" s="10"/>
      <c r="IRZ44" s="125"/>
      <c r="ISA44" s="125"/>
      <c r="ISB44" s="316"/>
      <c r="ISC44" s="14"/>
      <c r="ISD44" s="125"/>
      <c r="ISE44" s="125"/>
      <c r="ISF44" s="316"/>
      <c r="ISG44" s="14"/>
      <c r="ISH44" s="125"/>
      <c r="ISI44" s="125"/>
      <c r="ISJ44" s="316"/>
      <c r="ISK44" s="14"/>
      <c r="ISL44" s="125"/>
      <c r="ISM44" s="125"/>
      <c r="ISN44" s="316"/>
      <c r="ISO44" s="10"/>
      <c r="ISP44" s="125"/>
      <c r="ISQ44" s="125"/>
      <c r="ISR44" s="316"/>
      <c r="ISS44" s="14"/>
      <c r="IST44" s="125"/>
      <c r="ISU44" s="125"/>
      <c r="ISV44" s="316"/>
      <c r="ISW44" s="14"/>
      <c r="ISX44" s="125"/>
      <c r="ISY44" s="125"/>
      <c r="ISZ44" s="316"/>
      <c r="ITA44" s="14"/>
      <c r="ITB44" s="125"/>
      <c r="ITC44" s="125"/>
      <c r="ITD44" s="316"/>
      <c r="ITE44" s="10"/>
      <c r="ITF44" s="125"/>
      <c r="ITG44" s="125"/>
      <c r="ITH44" s="316"/>
      <c r="ITI44" s="14"/>
      <c r="ITJ44" s="125"/>
      <c r="ITK44" s="125"/>
      <c r="ITL44" s="316"/>
      <c r="ITM44" s="14"/>
      <c r="ITN44" s="125"/>
      <c r="ITO44" s="125"/>
      <c r="ITP44" s="316"/>
      <c r="ITQ44" s="14"/>
      <c r="ITR44" s="125"/>
      <c r="ITS44" s="125"/>
      <c r="ITT44" s="316"/>
      <c r="ITU44" s="10"/>
      <c r="ITV44" s="125"/>
      <c r="ITW44" s="125"/>
      <c r="ITX44" s="316"/>
      <c r="ITY44" s="14"/>
      <c r="ITZ44" s="125"/>
      <c r="IUA44" s="125"/>
      <c r="IUB44" s="316"/>
      <c r="IUC44" s="14"/>
      <c r="IUD44" s="125"/>
      <c r="IUE44" s="125"/>
      <c r="IUF44" s="316"/>
      <c r="IUG44" s="14"/>
      <c r="IUH44" s="125"/>
      <c r="IUI44" s="125"/>
      <c r="IUJ44" s="316"/>
      <c r="IUK44" s="10"/>
      <c r="IUL44" s="125"/>
      <c r="IUM44" s="125"/>
      <c r="IUN44" s="316"/>
      <c r="IUO44" s="14"/>
      <c r="IUP44" s="125"/>
      <c r="IUQ44" s="125"/>
      <c r="IUR44" s="316"/>
      <c r="IUS44" s="14"/>
      <c r="IUT44" s="125"/>
      <c r="IUU44" s="125"/>
      <c r="IUV44" s="316"/>
      <c r="IUW44" s="14"/>
      <c r="IUX44" s="125"/>
      <c r="IUY44" s="125"/>
      <c r="IUZ44" s="316"/>
      <c r="IVA44" s="10"/>
      <c r="IVB44" s="125"/>
      <c r="IVC44" s="125"/>
      <c r="IVD44" s="316"/>
      <c r="IVE44" s="14"/>
      <c r="IVF44" s="125"/>
      <c r="IVG44" s="125"/>
      <c r="IVH44" s="316"/>
      <c r="IVI44" s="14"/>
      <c r="IVJ44" s="125"/>
      <c r="IVK44" s="125"/>
      <c r="IVL44" s="316"/>
      <c r="IVM44" s="14"/>
      <c r="IVN44" s="125"/>
      <c r="IVO44" s="125"/>
      <c r="IVP44" s="316"/>
      <c r="IVQ44" s="10"/>
      <c r="IVR44" s="125"/>
      <c r="IVS44" s="125"/>
      <c r="IVT44" s="316"/>
      <c r="IVU44" s="14"/>
      <c r="IVV44" s="125"/>
      <c r="IVW44" s="125"/>
      <c r="IVX44" s="316"/>
      <c r="IVY44" s="14"/>
      <c r="IVZ44" s="125"/>
      <c r="IWA44" s="125"/>
      <c r="IWB44" s="316"/>
      <c r="IWC44" s="14"/>
      <c r="IWD44" s="125"/>
      <c r="IWE44" s="125"/>
      <c r="IWF44" s="316"/>
      <c r="IWG44" s="10"/>
      <c r="IWH44" s="125"/>
      <c r="IWI44" s="125"/>
      <c r="IWJ44" s="316"/>
      <c r="IWK44" s="14"/>
      <c r="IWL44" s="125"/>
      <c r="IWM44" s="125"/>
      <c r="IWN44" s="316"/>
      <c r="IWO44" s="14"/>
      <c r="IWP44" s="125"/>
      <c r="IWQ44" s="125"/>
      <c r="IWR44" s="316"/>
      <c r="IWS44" s="14"/>
      <c r="IWT44" s="125"/>
      <c r="IWU44" s="125"/>
      <c r="IWV44" s="316"/>
      <c r="IWW44" s="10"/>
      <c r="IWX44" s="125"/>
      <c r="IWY44" s="125"/>
      <c r="IWZ44" s="316"/>
      <c r="IXA44" s="14"/>
      <c r="IXB44" s="125"/>
      <c r="IXC44" s="125"/>
      <c r="IXD44" s="316"/>
      <c r="IXE44" s="14"/>
      <c r="IXF44" s="125"/>
      <c r="IXG44" s="125"/>
      <c r="IXH44" s="316"/>
      <c r="IXI44" s="14"/>
      <c r="IXJ44" s="125"/>
      <c r="IXK44" s="125"/>
      <c r="IXL44" s="316"/>
      <c r="IXM44" s="10"/>
      <c r="IXN44" s="125"/>
      <c r="IXO44" s="125"/>
      <c r="IXP44" s="316"/>
      <c r="IXQ44" s="14"/>
      <c r="IXR44" s="125"/>
      <c r="IXS44" s="125"/>
      <c r="IXT44" s="316"/>
      <c r="IXU44" s="14"/>
      <c r="IXV44" s="125"/>
      <c r="IXW44" s="125"/>
      <c r="IXX44" s="316"/>
      <c r="IXY44" s="14"/>
      <c r="IXZ44" s="125"/>
      <c r="IYA44" s="125"/>
      <c r="IYB44" s="316"/>
      <c r="IYC44" s="10"/>
      <c r="IYD44" s="125"/>
      <c r="IYE44" s="125"/>
      <c r="IYF44" s="316"/>
      <c r="IYG44" s="14"/>
      <c r="IYH44" s="125"/>
      <c r="IYI44" s="125"/>
      <c r="IYJ44" s="316"/>
      <c r="IYK44" s="14"/>
      <c r="IYL44" s="125"/>
      <c r="IYM44" s="125"/>
      <c r="IYN44" s="316"/>
      <c r="IYO44" s="14"/>
      <c r="IYP44" s="125"/>
      <c r="IYQ44" s="125"/>
      <c r="IYR44" s="316"/>
      <c r="IYS44" s="10"/>
      <c r="IYT44" s="125"/>
      <c r="IYU44" s="125"/>
      <c r="IYV44" s="316"/>
      <c r="IYW44" s="14"/>
      <c r="IYX44" s="125"/>
      <c r="IYY44" s="125"/>
      <c r="IYZ44" s="316"/>
      <c r="IZA44" s="14"/>
      <c r="IZB44" s="125"/>
      <c r="IZC44" s="125"/>
      <c r="IZD44" s="316"/>
      <c r="IZE44" s="14"/>
      <c r="IZF44" s="125"/>
      <c r="IZG44" s="125"/>
      <c r="IZH44" s="316"/>
      <c r="IZI44" s="10"/>
      <c r="IZJ44" s="125"/>
      <c r="IZK44" s="125"/>
      <c r="IZL44" s="316"/>
      <c r="IZM44" s="14"/>
      <c r="IZN44" s="125"/>
      <c r="IZO44" s="125"/>
      <c r="IZP44" s="316"/>
      <c r="IZQ44" s="14"/>
      <c r="IZR44" s="125"/>
      <c r="IZS44" s="125"/>
      <c r="IZT44" s="316"/>
      <c r="IZU44" s="14"/>
      <c r="IZV44" s="125"/>
      <c r="IZW44" s="125"/>
      <c r="IZX44" s="316"/>
      <c r="IZY44" s="10"/>
      <c r="IZZ44" s="125"/>
      <c r="JAA44" s="125"/>
      <c r="JAB44" s="316"/>
      <c r="JAC44" s="14"/>
      <c r="JAD44" s="125"/>
      <c r="JAE44" s="125"/>
      <c r="JAF44" s="316"/>
      <c r="JAG44" s="14"/>
      <c r="JAH44" s="125"/>
      <c r="JAI44" s="125"/>
      <c r="JAJ44" s="316"/>
      <c r="JAK44" s="14"/>
      <c r="JAL44" s="125"/>
      <c r="JAM44" s="125"/>
      <c r="JAN44" s="316"/>
      <c r="JAO44" s="10"/>
      <c r="JAP44" s="125"/>
      <c r="JAQ44" s="125"/>
      <c r="JAR44" s="316"/>
      <c r="JAS44" s="14"/>
      <c r="JAT44" s="125"/>
      <c r="JAU44" s="125"/>
      <c r="JAV44" s="316"/>
      <c r="JAW44" s="14"/>
      <c r="JAX44" s="125"/>
      <c r="JAY44" s="125"/>
      <c r="JAZ44" s="316"/>
      <c r="JBA44" s="14"/>
      <c r="JBB44" s="125"/>
      <c r="JBC44" s="125"/>
      <c r="JBD44" s="316"/>
      <c r="JBE44" s="10"/>
      <c r="JBF44" s="125"/>
      <c r="JBG44" s="125"/>
      <c r="JBH44" s="316"/>
      <c r="JBI44" s="14"/>
      <c r="JBJ44" s="125"/>
      <c r="JBK44" s="125"/>
      <c r="JBL44" s="316"/>
      <c r="JBM44" s="14"/>
      <c r="JBN44" s="125"/>
      <c r="JBO44" s="125"/>
      <c r="JBP44" s="316"/>
      <c r="JBQ44" s="14"/>
      <c r="JBR44" s="125"/>
      <c r="JBS44" s="125"/>
      <c r="JBT44" s="316"/>
      <c r="JBU44" s="10"/>
      <c r="JBV44" s="125"/>
      <c r="JBW44" s="125"/>
      <c r="JBX44" s="316"/>
      <c r="JBY44" s="14"/>
      <c r="JBZ44" s="125"/>
      <c r="JCA44" s="125"/>
      <c r="JCB44" s="316"/>
      <c r="JCC44" s="14"/>
      <c r="JCD44" s="125"/>
      <c r="JCE44" s="125"/>
      <c r="JCF44" s="316"/>
      <c r="JCG44" s="14"/>
      <c r="JCH44" s="125"/>
      <c r="JCI44" s="125"/>
      <c r="JCJ44" s="316"/>
      <c r="JCK44" s="10"/>
      <c r="JCL44" s="125"/>
      <c r="JCM44" s="125"/>
      <c r="JCN44" s="316"/>
      <c r="JCO44" s="14"/>
      <c r="JCP44" s="125"/>
      <c r="JCQ44" s="125"/>
      <c r="JCR44" s="316"/>
      <c r="JCS44" s="14"/>
      <c r="JCT44" s="125"/>
      <c r="JCU44" s="125"/>
      <c r="JCV44" s="316"/>
      <c r="JCW44" s="14"/>
      <c r="JCX44" s="125"/>
      <c r="JCY44" s="125"/>
      <c r="JCZ44" s="316"/>
      <c r="JDA44" s="10"/>
      <c r="JDB44" s="125"/>
      <c r="JDC44" s="125"/>
      <c r="JDD44" s="316"/>
      <c r="JDE44" s="14"/>
      <c r="JDF44" s="125"/>
      <c r="JDG44" s="125"/>
      <c r="JDH44" s="316"/>
      <c r="JDI44" s="14"/>
      <c r="JDJ44" s="125"/>
      <c r="JDK44" s="125"/>
      <c r="JDL44" s="316"/>
      <c r="JDM44" s="14"/>
      <c r="JDN44" s="125"/>
      <c r="JDO44" s="125"/>
      <c r="JDP44" s="316"/>
      <c r="JDQ44" s="10"/>
      <c r="JDR44" s="125"/>
      <c r="JDS44" s="125"/>
      <c r="JDT44" s="316"/>
      <c r="JDU44" s="14"/>
      <c r="JDV44" s="125"/>
      <c r="JDW44" s="125"/>
      <c r="JDX44" s="316"/>
      <c r="JDY44" s="14"/>
      <c r="JDZ44" s="125"/>
      <c r="JEA44" s="125"/>
      <c r="JEB44" s="316"/>
      <c r="JEC44" s="14"/>
      <c r="JED44" s="125"/>
      <c r="JEE44" s="125"/>
      <c r="JEF44" s="316"/>
      <c r="JEG44" s="10"/>
      <c r="JEH44" s="125"/>
      <c r="JEI44" s="125"/>
      <c r="JEJ44" s="316"/>
      <c r="JEK44" s="14"/>
      <c r="JEL44" s="125"/>
      <c r="JEM44" s="125"/>
      <c r="JEN44" s="316"/>
      <c r="JEO44" s="14"/>
      <c r="JEP44" s="125"/>
      <c r="JEQ44" s="125"/>
      <c r="JER44" s="316"/>
      <c r="JES44" s="14"/>
      <c r="JET44" s="125"/>
      <c r="JEU44" s="125"/>
      <c r="JEV44" s="316"/>
      <c r="JEW44" s="10"/>
      <c r="JEX44" s="125"/>
      <c r="JEY44" s="125"/>
      <c r="JEZ44" s="316"/>
      <c r="JFA44" s="14"/>
      <c r="JFB44" s="125"/>
      <c r="JFC44" s="125"/>
      <c r="JFD44" s="316"/>
      <c r="JFE44" s="14"/>
      <c r="JFF44" s="125"/>
      <c r="JFG44" s="125"/>
      <c r="JFH44" s="316"/>
      <c r="JFI44" s="14"/>
      <c r="JFJ44" s="125"/>
      <c r="JFK44" s="125"/>
      <c r="JFL44" s="316"/>
      <c r="JFM44" s="10"/>
      <c r="JFN44" s="125"/>
      <c r="JFO44" s="125"/>
      <c r="JFP44" s="316"/>
      <c r="JFQ44" s="14"/>
      <c r="JFR44" s="125"/>
      <c r="JFS44" s="125"/>
      <c r="JFT44" s="316"/>
      <c r="JFU44" s="14"/>
      <c r="JFV44" s="125"/>
      <c r="JFW44" s="125"/>
      <c r="JFX44" s="316"/>
      <c r="JFY44" s="14"/>
      <c r="JFZ44" s="125"/>
      <c r="JGA44" s="125"/>
      <c r="JGB44" s="316"/>
      <c r="JGC44" s="10"/>
      <c r="JGD44" s="125"/>
      <c r="JGE44" s="125"/>
      <c r="JGF44" s="316"/>
      <c r="JGG44" s="14"/>
      <c r="JGH44" s="125"/>
      <c r="JGI44" s="125"/>
      <c r="JGJ44" s="316"/>
      <c r="JGK44" s="14"/>
      <c r="JGL44" s="125"/>
      <c r="JGM44" s="125"/>
      <c r="JGN44" s="316"/>
      <c r="JGO44" s="14"/>
      <c r="JGP44" s="125"/>
      <c r="JGQ44" s="125"/>
      <c r="JGR44" s="316"/>
      <c r="JGS44" s="10"/>
      <c r="JGT44" s="125"/>
      <c r="JGU44" s="125"/>
      <c r="JGV44" s="316"/>
      <c r="JGW44" s="14"/>
      <c r="JGX44" s="125"/>
      <c r="JGY44" s="125"/>
      <c r="JGZ44" s="316"/>
      <c r="JHA44" s="14"/>
      <c r="JHB44" s="125"/>
      <c r="JHC44" s="125"/>
      <c r="JHD44" s="316"/>
      <c r="JHE44" s="14"/>
      <c r="JHF44" s="125"/>
      <c r="JHG44" s="125"/>
      <c r="JHH44" s="316"/>
      <c r="JHI44" s="10"/>
      <c r="JHJ44" s="125"/>
      <c r="JHK44" s="125"/>
      <c r="JHL44" s="316"/>
      <c r="JHM44" s="14"/>
      <c r="JHN44" s="125"/>
      <c r="JHO44" s="125"/>
      <c r="JHP44" s="316"/>
      <c r="JHQ44" s="14"/>
      <c r="JHR44" s="125"/>
      <c r="JHS44" s="125"/>
      <c r="JHT44" s="316"/>
      <c r="JHU44" s="14"/>
      <c r="JHV44" s="125"/>
      <c r="JHW44" s="125"/>
      <c r="JHX44" s="316"/>
      <c r="JHY44" s="10"/>
      <c r="JHZ44" s="125"/>
      <c r="JIA44" s="125"/>
      <c r="JIB44" s="316"/>
      <c r="JIC44" s="14"/>
      <c r="JID44" s="125"/>
      <c r="JIE44" s="125"/>
      <c r="JIF44" s="316"/>
      <c r="JIG44" s="14"/>
      <c r="JIH44" s="125"/>
      <c r="JII44" s="125"/>
      <c r="JIJ44" s="316"/>
      <c r="JIK44" s="14"/>
      <c r="JIL44" s="125"/>
      <c r="JIM44" s="125"/>
      <c r="JIN44" s="316"/>
      <c r="JIO44" s="10"/>
      <c r="JIP44" s="125"/>
      <c r="JIQ44" s="125"/>
      <c r="JIR44" s="316"/>
      <c r="JIS44" s="14"/>
      <c r="JIT44" s="125"/>
      <c r="JIU44" s="125"/>
      <c r="JIV44" s="316"/>
      <c r="JIW44" s="14"/>
      <c r="JIX44" s="125"/>
      <c r="JIY44" s="125"/>
      <c r="JIZ44" s="316"/>
      <c r="JJA44" s="14"/>
      <c r="JJB44" s="125"/>
      <c r="JJC44" s="125"/>
      <c r="JJD44" s="316"/>
      <c r="JJE44" s="10"/>
      <c r="JJF44" s="125"/>
      <c r="JJG44" s="125"/>
      <c r="JJH44" s="316"/>
      <c r="JJI44" s="14"/>
      <c r="JJJ44" s="125"/>
      <c r="JJK44" s="125"/>
      <c r="JJL44" s="316"/>
      <c r="JJM44" s="14"/>
      <c r="JJN44" s="125"/>
      <c r="JJO44" s="125"/>
      <c r="JJP44" s="316"/>
      <c r="JJQ44" s="14"/>
      <c r="JJR44" s="125"/>
      <c r="JJS44" s="125"/>
      <c r="JJT44" s="316"/>
      <c r="JJU44" s="10"/>
      <c r="JJV44" s="125"/>
      <c r="JJW44" s="125"/>
      <c r="JJX44" s="316"/>
      <c r="JJY44" s="14"/>
      <c r="JJZ44" s="125"/>
      <c r="JKA44" s="125"/>
      <c r="JKB44" s="316"/>
      <c r="JKC44" s="14"/>
      <c r="JKD44" s="125"/>
      <c r="JKE44" s="125"/>
      <c r="JKF44" s="316"/>
      <c r="JKG44" s="14"/>
      <c r="JKH44" s="125"/>
      <c r="JKI44" s="125"/>
      <c r="JKJ44" s="316"/>
      <c r="JKK44" s="10"/>
      <c r="JKL44" s="125"/>
      <c r="JKM44" s="125"/>
      <c r="JKN44" s="316"/>
      <c r="JKO44" s="14"/>
      <c r="JKP44" s="125"/>
      <c r="JKQ44" s="125"/>
      <c r="JKR44" s="316"/>
      <c r="JKS44" s="14"/>
      <c r="JKT44" s="125"/>
      <c r="JKU44" s="125"/>
      <c r="JKV44" s="316"/>
      <c r="JKW44" s="14"/>
      <c r="JKX44" s="125"/>
      <c r="JKY44" s="125"/>
      <c r="JKZ44" s="316"/>
      <c r="JLA44" s="10"/>
      <c r="JLB44" s="125"/>
      <c r="JLC44" s="125"/>
      <c r="JLD44" s="316"/>
      <c r="JLE44" s="14"/>
      <c r="JLF44" s="125"/>
      <c r="JLG44" s="125"/>
      <c r="JLH44" s="316"/>
      <c r="JLI44" s="14"/>
      <c r="JLJ44" s="125"/>
      <c r="JLK44" s="125"/>
      <c r="JLL44" s="316"/>
      <c r="JLM44" s="14"/>
      <c r="JLN44" s="125"/>
      <c r="JLO44" s="125"/>
      <c r="JLP44" s="316"/>
      <c r="JLQ44" s="10"/>
      <c r="JLR44" s="125"/>
      <c r="JLS44" s="125"/>
      <c r="JLT44" s="316"/>
      <c r="JLU44" s="14"/>
      <c r="JLV44" s="125"/>
      <c r="JLW44" s="125"/>
      <c r="JLX44" s="316"/>
      <c r="JLY44" s="14"/>
      <c r="JLZ44" s="125"/>
      <c r="JMA44" s="125"/>
      <c r="JMB44" s="316"/>
      <c r="JMC44" s="14"/>
      <c r="JMD44" s="125"/>
      <c r="JME44" s="125"/>
      <c r="JMF44" s="316"/>
      <c r="JMG44" s="10"/>
      <c r="JMH44" s="125"/>
      <c r="JMI44" s="125"/>
      <c r="JMJ44" s="316"/>
      <c r="JMK44" s="14"/>
      <c r="JML44" s="125"/>
      <c r="JMM44" s="125"/>
      <c r="JMN44" s="316"/>
      <c r="JMO44" s="14"/>
      <c r="JMP44" s="125"/>
      <c r="JMQ44" s="125"/>
      <c r="JMR44" s="316"/>
      <c r="JMS44" s="14"/>
      <c r="JMT44" s="125"/>
      <c r="JMU44" s="125"/>
      <c r="JMV44" s="316"/>
      <c r="JMW44" s="10"/>
      <c r="JMX44" s="125"/>
      <c r="JMY44" s="125"/>
      <c r="JMZ44" s="316"/>
      <c r="JNA44" s="14"/>
      <c r="JNB44" s="125"/>
      <c r="JNC44" s="125"/>
      <c r="JND44" s="316"/>
      <c r="JNE44" s="14"/>
      <c r="JNF44" s="125"/>
      <c r="JNG44" s="125"/>
      <c r="JNH44" s="316"/>
      <c r="JNI44" s="14"/>
      <c r="JNJ44" s="125"/>
      <c r="JNK44" s="125"/>
      <c r="JNL44" s="316"/>
      <c r="JNM44" s="10"/>
      <c r="JNN44" s="125"/>
      <c r="JNO44" s="125"/>
      <c r="JNP44" s="316"/>
      <c r="JNQ44" s="14"/>
      <c r="JNR44" s="125"/>
      <c r="JNS44" s="125"/>
      <c r="JNT44" s="316"/>
      <c r="JNU44" s="14"/>
      <c r="JNV44" s="125"/>
      <c r="JNW44" s="125"/>
      <c r="JNX44" s="316"/>
      <c r="JNY44" s="14"/>
      <c r="JNZ44" s="125"/>
      <c r="JOA44" s="125"/>
      <c r="JOB44" s="316"/>
      <c r="JOC44" s="10"/>
      <c r="JOD44" s="125"/>
      <c r="JOE44" s="125"/>
      <c r="JOF44" s="316"/>
      <c r="JOG44" s="14"/>
      <c r="JOH44" s="125"/>
      <c r="JOI44" s="125"/>
      <c r="JOJ44" s="316"/>
      <c r="JOK44" s="14"/>
      <c r="JOL44" s="125"/>
      <c r="JOM44" s="125"/>
      <c r="JON44" s="316"/>
      <c r="JOO44" s="14"/>
      <c r="JOP44" s="125"/>
      <c r="JOQ44" s="125"/>
      <c r="JOR44" s="316"/>
      <c r="JOS44" s="10"/>
      <c r="JOT44" s="125"/>
      <c r="JOU44" s="125"/>
      <c r="JOV44" s="316"/>
      <c r="JOW44" s="14"/>
      <c r="JOX44" s="125"/>
      <c r="JOY44" s="125"/>
      <c r="JOZ44" s="316"/>
      <c r="JPA44" s="14"/>
      <c r="JPB44" s="125"/>
      <c r="JPC44" s="125"/>
      <c r="JPD44" s="316"/>
      <c r="JPE44" s="14"/>
      <c r="JPF44" s="125"/>
      <c r="JPG44" s="125"/>
      <c r="JPH44" s="316"/>
      <c r="JPI44" s="10"/>
      <c r="JPJ44" s="125"/>
      <c r="JPK44" s="125"/>
      <c r="JPL44" s="316"/>
      <c r="JPM44" s="14"/>
      <c r="JPN44" s="125"/>
      <c r="JPO44" s="125"/>
      <c r="JPP44" s="316"/>
      <c r="JPQ44" s="14"/>
      <c r="JPR44" s="125"/>
      <c r="JPS44" s="125"/>
      <c r="JPT44" s="316"/>
      <c r="JPU44" s="14"/>
      <c r="JPV44" s="125"/>
      <c r="JPW44" s="125"/>
      <c r="JPX44" s="316"/>
      <c r="JPY44" s="10"/>
      <c r="JPZ44" s="125"/>
      <c r="JQA44" s="125"/>
      <c r="JQB44" s="316"/>
      <c r="JQC44" s="14"/>
      <c r="JQD44" s="125"/>
      <c r="JQE44" s="125"/>
      <c r="JQF44" s="316"/>
      <c r="JQG44" s="14"/>
      <c r="JQH44" s="125"/>
      <c r="JQI44" s="125"/>
      <c r="JQJ44" s="316"/>
      <c r="JQK44" s="14"/>
      <c r="JQL44" s="125"/>
      <c r="JQM44" s="125"/>
      <c r="JQN44" s="316"/>
      <c r="JQO44" s="10"/>
      <c r="JQP44" s="125"/>
      <c r="JQQ44" s="125"/>
      <c r="JQR44" s="316"/>
      <c r="JQS44" s="14"/>
      <c r="JQT44" s="125"/>
      <c r="JQU44" s="125"/>
      <c r="JQV44" s="316"/>
      <c r="JQW44" s="14"/>
      <c r="JQX44" s="125"/>
      <c r="JQY44" s="125"/>
      <c r="JQZ44" s="316"/>
      <c r="JRA44" s="14"/>
      <c r="JRB44" s="125"/>
      <c r="JRC44" s="125"/>
      <c r="JRD44" s="316"/>
      <c r="JRE44" s="10"/>
      <c r="JRF44" s="125"/>
      <c r="JRG44" s="125"/>
      <c r="JRH44" s="316"/>
      <c r="JRI44" s="14"/>
      <c r="JRJ44" s="125"/>
      <c r="JRK44" s="125"/>
      <c r="JRL44" s="316"/>
      <c r="JRM44" s="14"/>
      <c r="JRN44" s="125"/>
      <c r="JRO44" s="125"/>
      <c r="JRP44" s="316"/>
      <c r="JRQ44" s="14"/>
      <c r="JRR44" s="125"/>
      <c r="JRS44" s="125"/>
      <c r="JRT44" s="316"/>
      <c r="JRU44" s="10"/>
      <c r="JRV44" s="125"/>
      <c r="JRW44" s="125"/>
      <c r="JRX44" s="316"/>
      <c r="JRY44" s="14"/>
      <c r="JRZ44" s="125"/>
      <c r="JSA44" s="125"/>
      <c r="JSB44" s="316"/>
      <c r="JSC44" s="14"/>
      <c r="JSD44" s="125"/>
      <c r="JSE44" s="125"/>
      <c r="JSF44" s="316"/>
      <c r="JSG44" s="14"/>
      <c r="JSH44" s="125"/>
      <c r="JSI44" s="125"/>
      <c r="JSJ44" s="316"/>
      <c r="JSK44" s="10"/>
      <c r="JSL44" s="125"/>
      <c r="JSM44" s="125"/>
      <c r="JSN44" s="316"/>
      <c r="JSO44" s="14"/>
      <c r="JSP44" s="125"/>
      <c r="JSQ44" s="125"/>
      <c r="JSR44" s="316"/>
      <c r="JSS44" s="14"/>
      <c r="JST44" s="125"/>
      <c r="JSU44" s="125"/>
      <c r="JSV44" s="316"/>
      <c r="JSW44" s="14"/>
      <c r="JSX44" s="125"/>
      <c r="JSY44" s="125"/>
      <c r="JSZ44" s="316"/>
      <c r="JTA44" s="10"/>
      <c r="JTB44" s="125"/>
      <c r="JTC44" s="125"/>
      <c r="JTD44" s="316"/>
      <c r="JTE44" s="14"/>
      <c r="JTF44" s="125"/>
      <c r="JTG44" s="125"/>
      <c r="JTH44" s="316"/>
      <c r="JTI44" s="14"/>
      <c r="JTJ44" s="125"/>
      <c r="JTK44" s="125"/>
      <c r="JTL44" s="316"/>
      <c r="JTM44" s="14"/>
      <c r="JTN44" s="125"/>
      <c r="JTO44" s="125"/>
      <c r="JTP44" s="316"/>
      <c r="JTQ44" s="10"/>
      <c r="JTR44" s="125"/>
      <c r="JTS44" s="125"/>
      <c r="JTT44" s="316"/>
      <c r="JTU44" s="14"/>
      <c r="JTV44" s="125"/>
      <c r="JTW44" s="125"/>
      <c r="JTX44" s="316"/>
      <c r="JTY44" s="14"/>
      <c r="JTZ44" s="125"/>
      <c r="JUA44" s="125"/>
      <c r="JUB44" s="316"/>
      <c r="JUC44" s="14"/>
      <c r="JUD44" s="125"/>
      <c r="JUE44" s="125"/>
      <c r="JUF44" s="316"/>
      <c r="JUG44" s="10"/>
      <c r="JUH44" s="125"/>
      <c r="JUI44" s="125"/>
      <c r="JUJ44" s="316"/>
      <c r="JUK44" s="14"/>
      <c r="JUL44" s="125"/>
      <c r="JUM44" s="125"/>
      <c r="JUN44" s="316"/>
      <c r="JUO44" s="14"/>
      <c r="JUP44" s="125"/>
      <c r="JUQ44" s="125"/>
      <c r="JUR44" s="316"/>
      <c r="JUS44" s="14"/>
      <c r="JUT44" s="125"/>
      <c r="JUU44" s="125"/>
      <c r="JUV44" s="316"/>
      <c r="JUW44" s="10"/>
      <c r="JUX44" s="125"/>
      <c r="JUY44" s="125"/>
      <c r="JUZ44" s="316"/>
      <c r="JVA44" s="14"/>
      <c r="JVB44" s="125"/>
      <c r="JVC44" s="125"/>
      <c r="JVD44" s="316"/>
      <c r="JVE44" s="14"/>
      <c r="JVF44" s="125"/>
      <c r="JVG44" s="125"/>
      <c r="JVH44" s="316"/>
      <c r="JVI44" s="14"/>
      <c r="JVJ44" s="125"/>
      <c r="JVK44" s="125"/>
      <c r="JVL44" s="316"/>
      <c r="JVM44" s="10"/>
      <c r="JVN44" s="125"/>
      <c r="JVO44" s="125"/>
      <c r="JVP44" s="316"/>
      <c r="JVQ44" s="14"/>
      <c r="JVR44" s="125"/>
      <c r="JVS44" s="125"/>
      <c r="JVT44" s="316"/>
      <c r="JVU44" s="14"/>
      <c r="JVV44" s="125"/>
      <c r="JVW44" s="125"/>
      <c r="JVX44" s="316"/>
      <c r="JVY44" s="14"/>
      <c r="JVZ44" s="125"/>
      <c r="JWA44" s="125"/>
      <c r="JWB44" s="316"/>
      <c r="JWC44" s="10"/>
      <c r="JWD44" s="125"/>
      <c r="JWE44" s="125"/>
      <c r="JWF44" s="316"/>
      <c r="JWG44" s="14"/>
      <c r="JWH44" s="125"/>
      <c r="JWI44" s="125"/>
      <c r="JWJ44" s="316"/>
      <c r="JWK44" s="14"/>
      <c r="JWL44" s="125"/>
      <c r="JWM44" s="125"/>
      <c r="JWN44" s="316"/>
      <c r="JWO44" s="14"/>
      <c r="JWP44" s="125"/>
      <c r="JWQ44" s="125"/>
      <c r="JWR44" s="316"/>
      <c r="JWS44" s="10"/>
      <c r="JWT44" s="125"/>
      <c r="JWU44" s="125"/>
      <c r="JWV44" s="316"/>
      <c r="JWW44" s="14"/>
      <c r="JWX44" s="125"/>
      <c r="JWY44" s="125"/>
      <c r="JWZ44" s="316"/>
      <c r="JXA44" s="14"/>
      <c r="JXB44" s="125"/>
      <c r="JXC44" s="125"/>
      <c r="JXD44" s="316"/>
      <c r="JXE44" s="14"/>
      <c r="JXF44" s="125"/>
      <c r="JXG44" s="125"/>
      <c r="JXH44" s="316"/>
      <c r="JXI44" s="10"/>
      <c r="JXJ44" s="125"/>
      <c r="JXK44" s="125"/>
      <c r="JXL44" s="316"/>
      <c r="JXM44" s="14"/>
      <c r="JXN44" s="125"/>
      <c r="JXO44" s="125"/>
      <c r="JXP44" s="316"/>
      <c r="JXQ44" s="14"/>
      <c r="JXR44" s="125"/>
      <c r="JXS44" s="125"/>
      <c r="JXT44" s="316"/>
      <c r="JXU44" s="14"/>
      <c r="JXV44" s="125"/>
      <c r="JXW44" s="125"/>
      <c r="JXX44" s="316"/>
      <c r="JXY44" s="10"/>
      <c r="JXZ44" s="125"/>
      <c r="JYA44" s="125"/>
      <c r="JYB44" s="316"/>
      <c r="JYC44" s="14"/>
      <c r="JYD44" s="125"/>
      <c r="JYE44" s="125"/>
      <c r="JYF44" s="316"/>
      <c r="JYG44" s="14"/>
      <c r="JYH44" s="125"/>
      <c r="JYI44" s="125"/>
      <c r="JYJ44" s="316"/>
      <c r="JYK44" s="14"/>
      <c r="JYL44" s="125"/>
      <c r="JYM44" s="125"/>
      <c r="JYN44" s="316"/>
      <c r="JYO44" s="10"/>
      <c r="JYP44" s="125"/>
      <c r="JYQ44" s="125"/>
      <c r="JYR44" s="316"/>
      <c r="JYS44" s="14"/>
      <c r="JYT44" s="125"/>
      <c r="JYU44" s="125"/>
      <c r="JYV44" s="316"/>
      <c r="JYW44" s="14"/>
      <c r="JYX44" s="125"/>
      <c r="JYY44" s="125"/>
      <c r="JYZ44" s="316"/>
      <c r="JZA44" s="14"/>
      <c r="JZB44" s="125"/>
      <c r="JZC44" s="125"/>
      <c r="JZD44" s="316"/>
      <c r="JZE44" s="10"/>
      <c r="JZF44" s="125"/>
      <c r="JZG44" s="125"/>
      <c r="JZH44" s="316"/>
      <c r="JZI44" s="14"/>
      <c r="JZJ44" s="125"/>
      <c r="JZK44" s="125"/>
      <c r="JZL44" s="316"/>
      <c r="JZM44" s="14"/>
      <c r="JZN44" s="125"/>
      <c r="JZO44" s="125"/>
      <c r="JZP44" s="316"/>
      <c r="JZQ44" s="14"/>
      <c r="JZR44" s="125"/>
      <c r="JZS44" s="125"/>
      <c r="JZT44" s="316"/>
      <c r="JZU44" s="10"/>
      <c r="JZV44" s="125"/>
      <c r="JZW44" s="125"/>
      <c r="JZX44" s="316"/>
      <c r="JZY44" s="14"/>
      <c r="JZZ44" s="125"/>
      <c r="KAA44" s="125"/>
      <c r="KAB44" s="316"/>
      <c r="KAC44" s="14"/>
      <c r="KAD44" s="125"/>
      <c r="KAE44" s="125"/>
      <c r="KAF44" s="316"/>
      <c r="KAG44" s="14"/>
      <c r="KAH44" s="125"/>
      <c r="KAI44" s="125"/>
      <c r="KAJ44" s="316"/>
      <c r="KAK44" s="10"/>
      <c r="KAL44" s="125"/>
      <c r="KAM44" s="125"/>
      <c r="KAN44" s="316"/>
      <c r="KAO44" s="14"/>
      <c r="KAP44" s="125"/>
      <c r="KAQ44" s="125"/>
      <c r="KAR44" s="316"/>
      <c r="KAS44" s="14"/>
      <c r="KAT44" s="125"/>
      <c r="KAU44" s="125"/>
      <c r="KAV44" s="316"/>
      <c r="KAW44" s="14"/>
      <c r="KAX44" s="125"/>
      <c r="KAY44" s="125"/>
      <c r="KAZ44" s="316"/>
      <c r="KBA44" s="10"/>
      <c r="KBB44" s="125"/>
      <c r="KBC44" s="125"/>
      <c r="KBD44" s="316"/>
      <c r="KBE44" s="14"/>
      <c r="KBF44" s="125"/>
      <c r="KBG44" s="125"/>
      <c r="KBH44" s="316"/>
      <c r="KBI44" s="14"/>
      <c r="KBJ44" s="125"/>
      <c r="KBK44" s="125"/>
      <c r="KBL44" s="316"/>
      <c r="KBM44" s="14"/>
      <c r="KBN44" s="125"/>
      <c r="KBO44" s="125"/>
      <c r="KBP44" s="316"/>
      <c r="KBQ44" s="10"/>
      <c r="KBR44" s="125"/>
      <c r="KBS44" s="125"/>
      <c r="KBT44" s="316"/>
      <c r="KBU44" s="14"/>
      <c r="KBV44" s="125"/>
      <c r="KBW44" s="125"/>
      <c r="KBX44" s="316"/>
      <c r="KBY44" s="14"/>
      <c r="KBZ44" s="125"/>
      <c r="KCA44" s="125"/>
      <c r="KCB44" s="316"/>
      <c r="KCC44" s="14"/>
      <c r="KCD44" s="125"/>
      <c r="KCE44" s="125"/>
      <c r="KCF44" s="316"/>
      <c r="KCG44" s="10"/>
      <c r="KCH44" s="125"/>
      <c r="KCI44" s="125"/>
      <c r="KCJ44" s="316"/>
      <c r="KCK44" s="14"/>
      <c r="KCL44" s="125"/>
      <c r="KCM44" s="125"/>
      <c r="KCN44" s="316"/>
      <c r="KCO44" s="14"/>
      <c r="KCP44" s="125"/>
      <c r="KCQ44" s="125"/>
      <c r="KCR44" s="316"/>
      <c r="KCS44" s="14"/>
      <c r="KCT44" s="125"/>
      <c r="KCU44" s="125"/>
      <c r="KCV44" s="316"/>
      <c r="KCW44" s="10"/>
      <c r="KCX44" s="125"/>
      <c r="KCY44" s="125"/>
      <c r="KCZ44" s="316"/>
      <c r="KDA44" s="14"/>
      <c r="KDB44" s="125"/>
      <c r="KDC44" s="125"/>
      <c r="KDD44" s="316"/>
      <c r="KDE44" s="14"/>
      <c r="KDF44" s="125"/>
      <c r="KDG44" s="125"/>
      <c r="KDH44" s="316"/>
      <c r="KDI44" s="14"/>
      <c r="KDJ44" s="125"/>
      <c r="KDK44" s="125"/>
      <c r="KDL44" s="316"/>
      <c r="KDM44" s="10"/>
      <c r="KDN44" s="125"/>
      <c r="KDO44" s="125"/>
      <c r="KDP44" s="316"/>
      <c r="KDQ44" s="14"/>
      <c r="KDR44" s="125"/>
      <c r="KDS44" s="125"/>
      <c r="KDT44" s="316"/>
      <c r="KDU44" s="14"/>
      <c r="KDV44" s="125"/>
      <c r="KDW44" s="125"/>
      <c r="KDX44" s="316"/>
      <c r="KDY44" s="14"/>
      <c r="KDZ44" s="125"/>
      <c r="KEA44" s="125"/>
      <c r="KEB44" s="316"/>
      <c r="KEC44" s="10"/>
      <c r="KED44" s="125"/>
      <c r="KEE44" s="125"/>
      <c r="KEF44" s="316"/>
      <c r="KEG44" s="14"/>
      <c r="KEH44" s="125"/>
      <c r="KEI44" s="125"/>
      <c r="KEJ44" s="316"/>
      <c r="KEK44" s="14"/>
      <c r="KEL44" s="125"/>
      <c r="KEM44" s="125"/>
      <c r="KEN44" s="316"/>
      <c r="KEO44" s="14"/>
      <c r="KEP44" s="125"/>
      <c r="KEQ44" s="125"/>
      <c r="KER44" s="316"/>
      <c r="KES44" s="10"/>
      <c r="KET44" s="125"/>
      <c r="KEU44" s="125"/>
      <c r="KEV44" s="316"/>
      <c r="KEW44" s="14"/>
      <c r="KEX44" s="125"/>
      <c r="KEY44" s="125"/>
      <c r="KEZ44" s="316"/>
      <c r="KFA44" s="14"/>
      <c r="KFB44" s="125"/>
      <c r="KFC44" s="125"/>
      <c r="KFD44" s="316"/>
      <c r="KFE44" s="14"/>
      <c r="KFF44" s="125"/>
      <c r="KFG44" s="125"/>
      <c r="KFH44" s="316"/>
      <c r="KFI44" s="10"/>
      <c r="KFJ44" s="125"/>
      <c r="KFK44" s="125"/>
      <c r="KFL44" s="316"/>
      <c r="KFM44" s="14"/>
      <c r="KFN44" s="125"/>
      <c r="KFO44" s="125"/>
      <c r="KFP44" s="316"/>
      <c r="KFQ44" s="14"/>
      <c r="KFR44" s="125"/>
      <c r="KFS44" s="125"/>
      <c r="KFT44" s="316"/>
      <c r="KFU44" s="14"/>
      <c r="KFV44" s="125"/>
      <c r="KFW44" s="125"/>
      <c r="KFX44" s="316"/>
      <c r="KFY44" s="10"/>
      <c r="KFZ44" s="125"/>
      <c r="KGA44" s="125"/>
      <c r="KGB44" s="316"/>
      <c r="KGC44" s="14"/>
      <c r="KGD44" s="125"/>
      <c r="KGE44" s="125"/>
      <c r="KGF44" s="316"/>
      <c r="KGG44" s="14"/>
      <c r="KGH44" s="125"/>
      <c r="KGI44" s="125"/>
      <c r="KGJ44" s="316"/>
      <c r="KGK44" s="14"/>
      <c r="KGL44" s="125"/>
      <c r="KGM44" s="125"/>
      <c r="KGN44" s="316"/>
      <c r="KGO44" s="10"/>
      <c r="KGP44" s="125"/>
      <c r="KGQ44" s="125"/>
      <c r="KGR44" s="316"/>
      <c r="KGS44" s="14"/>
      <c r="KGT44" s="125"/>
      <c r="KGU44" s="125"/>
      <c r="KGV44" s="316"/>
      <c r="KGW44" s="14"/>
      <c r="KGX44" s="125"/>
      <c r="KGY44" s="125"/>
      <c r="KGZ44" s="316"/>
      <c r="KHA44" s="14"/>
      <c r="KHB44" s="125"/>
      <c r="KHC44" s="125"/>
      <c r="KHD44" s="316"/>
      <c r="KHE44" s="10"/>
      <c r="KHF44" s="125"/>
      <c r="KHG44" s="125"/>
      <c r="KHH44" s="316"/>
      <c r="KHI44" s="14"/>
      <c r="KHJ44" s="125"/>
      <c r="KHK44" s="125"/>
      <c r="KHL44" s="316"/>
      <c r="KHM44" s="14"/>
      <c r="KHN44" s="125"/>
      <c r="KHO44" s="125"/>
      <c r="KHP44" s="316"/>
      <c r="KHQ44" s="14"/>
      <c r="KHR44" s="125"/>
      <c r="KHS44" s="125"/>
      <c r="KHT44" s="316"/>
      <c r="KHU44" s="10"/>
      <c r="KHV44" s="125"/>
      <c r="KHW44" s="125"/>
      <c r="KHX44" s="316"/>
      <c r="KHY44" s="14"/>
      <c r="KHZ44" s="125"/>
      <c r="KIA44" s="125"/>
      <c r="KIB44" s="316"/>
      <c r="KIC44" s="14"/>
      <c r="KID44" s="125"/>
      <c r="KIE44" s="125"/>
      <c r="KIF44" s="316"/>
      <c r="KIG44" s="14"/>
      <c r="KIH44" s="125"/>
      <c r="KII44" s="125"/>
      <c r="KIJ44" s="316"/>
      <c r="KIK44" s="10"/>
      <c r="KIL44" s="125"/>
      <c r="KIM44" s="125"/>
      <c r="KIN44" s="316"/>
      <c r="KIO44" s="14"/>
      <c r="KIP44" s="125"/>
      <c r="KIQ44" s="125"/>
      <c r="KIR44" s="316"/>
      <c r="KIS44" s="14"/>
      <c r="KIT44" s="125"/>
      <c r="KIU44" s="125"/>
      <c r="KIV44" s="316"/>
      <c r="KIW44" s="14"/>
      <c r="KIX44" s="125"/>
      <c r="KIY44" s="125"/>
      <c r="KIZ44" s="316"/>
      <c r="KJA44" s="10"/>
      <c r="KJB44" s="125"/>
      <c r="KJC44" s="125"/>
      <c r="KJD44" s="316"/>
      <c r="KJE44" s="14"/>
      <c r="KJF44" s="125"/>
      <c r="KJG44" s="125"/>
      <c r="KJH44" s="316"/>
      <c r="KJI44" s="14"/>
      <c r="KJJ44" s="125"/>
      <c r="KJK44" s="125"/>
      <c r="KJL44" s="316"/>
      <c r="KJM44" s="14"/>
      <c r="KJN44" s="125"/>
      <c r="KJO44" s="125"/>
      <c r="KJP44" s="316"/>
      <c r="KJQ44" s="10"/>
      <c r="KJR44" s="125"/>
      <c r="KJS44" s="125"/>
      <c r="KJT44" s="316"/>
      <c r="KJU44" s="14"/>
      <c r="KJV44" s="125"/>
      <c r="KJW44" s="125"/>
      <c r="KJX44" s="316"/>
      <c r="KJY44" s="14"/>
      <c r="KJZ44" s="125"/>
      <c r="KKA44" s="125"/>
      <c r="KKB44" s="316"/>
      <c r="KKC44" s="14"/>
      <c r="KKD44" s="125"/>
      <c r="KKE44" s="125"/>
      <c r="KKF44" s="316"/>
      <c r="KKG44" s="10"/>
      <c r="KKH44" s="125"/>
      <c r="KKI44" s="125"/>
      <c r="KKJ44" s="316"/>
      <c r="KKK44" s="14"/>
      <c r="KKL44" s="125"/>
      <c r="KKM44" s="125"/>
      <c r="KKN44" s="316"/>
      <c r="KKO44" s="14"/>
      <c r="KKP44" s="125"/>
      <c r="KKQ44" s="125"/>
      <c r="KKR44" s="316"/>
      <c r="KKS44" s="14"/>
      <c r="KKT44" s="125"/>
      <c r="KKU44" s="125"/>
      <c r="KKV44" s="316"/>
      <c r="KKW44" s="10"/>
      <c r="KKX44" s="125"/>
      <c r="KKY44" s="125"/>
      <c r="KKZ44" s="316"/>
      <c r="KLA44" s="14"/>
      <c r="KLB44" s="125"/>
      <c r="KLC44" s="125"/>
      <c r="KLD44" s="316"/>
      <c r="KLE44" s="14"/>
      <c r="KLF44" s="125"/>
      <c r="KLG44" s="125"/>
      <c r="KLH44" s="316"/>
      <c r="KLI44" s="14"/>
      <c r="KLJ44" s="125"/>
      <c r="KLK44" s="125"/>
      <c r="KLL44" s="316"/>
      <c r="KLM44" s="10"/>
      <c r="KLN44" s="125"/>
      <c r="KLO44" s="125"/>
      <c r="KLP44" s="316"/>
      <c r="KLQ44" s="14"/>
      <c r="KLR44" s="125"/>
      <c r="KLS44" s="125"/>
      <c r="KLT44" s="316"/>
      <c r="KLU44" s="14"/>
      <c r="KLV44" s="125"/>
      <c r="KLW44" s="125"/>
      <c r="KLX44" s="316"/>
      <c r="KLY44" s="14"/>
      <c r="KLZ44" s="125"/>
      <c r="KMA44" s="125"/>
      <c r="KMB44" s="316"/>
      <c r="KMC44" s="10"/>
      <c r="KMD44" s="125"/>
      <c r="KME44" s="125"/>
      <c r="KMF44" s="316"/>
      <c r="KMG44" s="14"/>
      <c r="KMH44" s="125"/>
      <c r="KMI44" s="125"/>
      <c r="KMJ44" s="316"/>
      <c r="KMK44" s="14"/>
      <c r="KML44" s="125"/>
      <c r="KMM44" s="125"/>
      <c r="KMN44" s="316"/>
      <c r="KMO44" s="14"/>
      <c r="KMP44" s="125"/>
      <c r="KMQ44" s="125"/>
      <c r="KMR44" s="316"/>
      <c r="KMS44" s="10"/>
      <c r="KMT44" s="125"/>
      <c r="KMU44" s="125"/>
      <c r="KMV44" s="316"/>
      <c r="KMW44" s="14"/>
      <c r="KMX44" s="125"/>
      <c r="KMY44" s="125"/>
      <c r="KMZ44" s="316"/>
      <c r="KNA44" s="14"/>
      <c r="KNB44" s="125"/>
      <c r="KNC44" s="125"/>
      <c r="KND44" s="316"/>
      <c r="KNE44" s="14"/>
      <c r="KNF44" s="125"/>
      <c r="KNG44" s="125"/>
      <c r="KNH44" s="316"/>
      <c r="KNI44" s="10"/>
      <c r="KNJ44" s="125"/>
      <c r="KNK44" s="125"/>
      <c r="KNL44" s="316"/>
      <c r="KNM44" s="14"/>
      <c r="KNN44" s="125"/>
      <c r="KNO44" s="125"/>
      <c r="KNP44" s="316"/>
      <c r="KNQ44" s="14"/>
      <c r="KNR44" s="125"/>
      <c r="KNS44" s="125"/>
      <c r="KNT44" s="316"/>
      <c r="KNU44" s="14"/>
      <c r="KNV44" s="125"/>
      <c r="KNW44" s="125"/>
      <c r="KNX44" s="316"/>
      <c r="KNY44" s="10"/>
      <c r="KNZ44" s="125"/>
      <c r="KOA44" s="125"/>
      <c r="KOB44" s="316"/>
      <c r="KOC44" s="14"/>
      <c r="KOD44" s="125"/>
      <c r="KOE44" s="125"/>
      <c r="KOF44" s="316"/>
      <c r="KOG44" s="14"/>
      <c r="KOH44" s="125"/>
      <c r="KOI44" s="125"/>
      <c r="KOJ44" s="316"/>
      <c r="KOK44" s="14"/>
      <c r="KOL44" s="125"/>
      <c r="KOM44" s="125"/>
      <c r="KON44" s="316"/>
      <c r="KOO44" s="10"/>
      <c r="KOP44" s="125"/>
      <c r="KOQ44" s="125"/>
      <c r="KOR44" s="316"/>
      <c r="KOS44" s="14"/>
      <c r="KOT44" s="125"/>
      <c r="KOU44" s="125"/>
      <c r="KOV44" s="316"/>
      <c r="KOW44" s="14"/>
      <c r="KOX44" s="125"/>
      <c r="KOY44" s="125"/>
      <c r="KOZ44" s="316"/>
      <c r="KPA44" s="14"/>
      <c r="KPB44" s="125"/>
      <c r="KPC44" s="125"/>
      <c r="KPD44" s="316"/>
      <c r="KPE44" s="10"/>
      <c r="KPF44" s="125"/>
      <c r="KPG44" s="125"/>
      <c r="KPH44" s="316"/>
      <c r="KPI44" s="14"/>
      <c r="KPJ44" s="125"/>
      <c r="KPK44" s="125"/>
      <c r="KPL44" s="316"/>
      <c r="KPM44" s="14"/>
      <c r="KPN44" s="125"/>
      <c r="KPO44" s="125"/>
      <c r="KPP44" s="316"/>
      <c r="KPQ44" s="14"/>
      <c r="KPR44" s="125"/>
      <c r="KPS44" s="125"/>
      <c r="KPT44" s="316"/>
      <c r="KPU44" s="10"/>
      <c r="KPV44" s="125"/>
      <c r="KPW44" s="125"/>
      <c r="KPX44" s="316"/>
      <c r="KPY44" s="14"/>
      <c r="KPZ44" s="125"/>
      <c r="KQA44" s="125"/>
      <c r="KQB44" s="316"/>
      <c r="KQC44" s="14"/>
      <c r="KQD44" s="125"/>
      <c r="KQE44" s="125"/>
      <c r="KQF44" s="316"/>
      <c r="KQG44" s="14"/>
      <c r="KQH44" s="125"/>
      <c r="KQI44" s="125"/>
      <c r="KQJ44" s="316"/>
      <c r="KQK44" s="10"/>
      <c r="KQL44" s="125"/>
      <c r="KQM44" s="125"/>
      <c r="KQN44" s="316"/>
      <c r="KQO44" s="14"/>
      <c r="KQP44" s="125"/>
      <c r="KQQ44" s="125"/>
      <c r="KQR44" s="316"/>
      <c r="KQS44" s="14"/>
      <c r="KQT44" s="125"/>
      <c r="KQU44" s="125"/>
      <c r="KQV44" s="316"/>
      <c r="KQW44" s="14"/>
      <c r="KQX44" s="125"/>
      <c r="KQY44" s="125"/>
      <c r="KQZ44" s="316"/>
      <c r="KRA44" s="10"/>
      <c r="KRB44" s="125"/>
      <c r="KRC44" s="125"/>
      <c r="KRD44" s="316"/>
      <c r="KRE44" s="14"/>
      <c r="KRF44" s="125"/>
      <c r="KRG44" s="125"/>
      <c r="KRH44" s="316"/>
      <c r="KRI44" s="14"/>
      <c r="KRJ44" s="125"/>
      <c r="KRK44" s="125"/>
      <c r="KRL44" s="316"/>
      <c r="KRM44" s="14"/>
      <c r="KRN44" s="125"/>
      <c r="KRO44" s="125"/>
      <c r="KRP44" s="316"/>
      <c r="KRQ44" s="10"/>
      <c r="KRR44" s="125"/>
      <c r="KRS44" s="125"/>
      <c r="KRT44" s="316"/>
      <c r="KRU44" s="14"/>
      <c r="KRV44" s="125"/>
      <c r="KRW44" s="125"/>
      <c r="KRX44" s="316"/>
      <c r="KRY44" s="14"/>
      <c r="KRZ44" s="125"/>
      <c r="KSA44" s="125"/>
      <c r="KSB44" s="316"/>
      <c r="KSC44" s="14"/>
      <c r="KSD44" s="125"/>
      <c r="KSE44" s="125"/>
      <c r="KSF44" s="316"/>
      <c r="KSG44" s="10"/>
      <c r="KSH44" s="125"/>
      <c r="KSI44" s="125"/>
      <c r="KSJ44" s="316"/>
      <c r="KSK44" s="14"/>
      <c r="KSL44" s="125"/>
      <c r="KSM44" s="125"/>
      <c r="KSN44" s="316"/>
      <c r="KSO44" s="14"/>
      <c r="KSP44" s="125"/>
      <c r="KSQ44" s="125"/>
      <c r="KSR44" s="316"/>
      <c r="KSS44" s="14"/>
      <c r="KST44" s="125"/>
      <c r="KSU44" s="125"/>
      <c r="KSV44" s="316"/>
      <c r="KSW44" s="10"/>
      <c r="KSX44" s="125"/>
      <c r="KSY44" s="125"/>
      <c r="KSZ44" s="316"/>
      <c r="KTA44" s="14"/>
      <c r="KTB44" s="125"/>
      <c r="KTC44" s="125"/>
      <c r="KTD44" s="316"/>
      <c r="KTE44" s="14"/>
      <c r="KTF44" s="125"/>
      <c r="KTG44" s="125"/>
      <c r="KTH44" s="316"/>
      <c r="KTI44" s="14"/>
      <c r="KTJ44" s="125"/>
      <c r="KTK44" s="125"/>
      <c r="KTL44" s="316"/>
      <c r="KTM44" s="10"/>
      <c r="KTN44" s="125"/>
      <c r="KTO44" s="125"/>
      <c r="KTP44" s="316"/>
      <c r="KTQ44" s="14"/>
      <c r="KTR44" s="125"/>
      <c r="KTS44" s="125"/>
      <c r="KTT44" s="316"/>
      <c r="KTU44" s="14"/>
      <c r="KTV44" s="125"/>
      <c r="KTW44" s="125"/>
      <c r="KTX44" s="316"/>
      <c r="KTY44" s="14"/>
      <c r="KTZ44" s="125"/>
      <c r="KUA44" s="125"/>
      <c r="KUB44" s="316"/>
      <c r="KUC44" s="10"/>
      <c r="KUD44" s="125"/>
      <c r="KUE44" s="125"/>
      <c r="KUF44" s="316"/>
      <c r="KUG44" s="14"/>
      <c r="KUH44" s="125"/>
      <c r="KUI44" s="125"/>
      <c r="KUJ44" s="316"/>
      <c r="KUK44" s="14"/>
      <c r="KUL44" s="125"/>
      <c r="KUM44" s="125"/>
      <c r="KUN44" s="316"/>
      <c r="KUO44" s="14"/>
      <c r="KUP44" s="125"/>
      <c r="KUQ44" s="125"/>
      <c r="KUR44" s="316"/>
      <c r="KUS44" s="10"/>
      <c r="KUT44" s="125"/>
      <c r="KUU44" s="125"/>
      <c r="KUV44" s="316"/>
      <c r="KUW44" s="14"/>
      <c r="KUX44" s="125"/>
      <c r="KUY44" s="125"/>
      <c r="KUZ44" s="316"/>
      <c r="KVA44" s="14"/>
      <c r="KVB44" s="125"/>
      <c r="KVC44" s="125"/>
      <c r="KVD44" s="316"/>
      <c r="KVE44" s="14"/>
      <c r="KVF44" s="125"/>
      <c r="KVG44" s="125"/>
      <c r="KVH44" s="316"/>
      <c r="KVI44" s="10"/>
      <c r="KVJ44" s="125"/>
      <c r="KVK44" s="125"/>
      <c r="KVL44" s="316"/>
      <c r="KVM44" s="14"/>
      <c r="KVN44" s="125"/>
      <c r="KVO44" s="125"/>
      <c r="KVP44" s="316"/>
      <c r="KVQ44" s="14"/>
      <c r="KVR44" s="125"/>
      <c r="KVS44" s="125"/>
      <c r="KVT44" s="316"/>
      <c r="KVU44" s="14"/>
      <c r="KVV44" s="125"/>
      <c r="KVW44" s="125"/>
      <c r="KVX44" s="316"/>
      <c r="KVY44" s="10"/>
      <c r="KVZ44" s="125"/>
      <c r="KWA44" s="125"/>
      <c r="KWB44" s="316"/>
      <c r="KWC44" s="14"/>
      <c r="KWD44" s="125"/>
      <c r="KWE44" s="125"/>
      <c r="KWF44" s="316"/>
      <c r="KWG44" s="14"/>
      <c r="KWH44" s="125"/>
      <c r="KWI44" s="125"/>
      <c r="KWJ44" s="316"/>
      <c r="KWK44" s="14"/>
      <c r="KWL44" s="125"/>
      <c r="KWM44" s="125"/>
      <c r="KWN44" s="316"/>
      <c r="KWO44" s="10"/>
      <c r="KWP44" s="125"/>
      <c r="KWQ44" s="125"/>
      <c r="KWR44" s="316"/>
      <c r="KWS44" s="14"/>
      <c r="KWT44" s="125"/>
      <c r="KWU44" s="125"/>
      <c r="KWV44" s="316"/>
      <c r="KWW44" s="14"/>
      <c r="KWX44" s="125"/>
      <c r="KWY44" s="125"/>
      <c r="KWZ44" s="316"/>
      <c r="KXA44" s="14"/>
      <c r="KXB44" s="125"/>
      <c r="KXC44" s="125"/>
      <c r="KXD44" s="316"/>
      <c r="KXE44" s="10"/>
      <c r="KXF44" s="125"/>
      <c r="KXG44" s="125"/>
      <c r="KXH44" s="316"/>
      <c r="KXI44" s="14"/>
      <c r="KXJ44" s="125"/>
      <c r="KXK44" s="125"/>
      <c r="KXL44" s="316"/>
      <c r="KXM44" s="14"/>
      <c r="KXN44" s="125"/>
      <c r="KXO44" s="125"/>
      <c r="KXP44" s="316"/>
      <c r="KXQ44" s="14"/>
      <c r="KXR44" s="125"/>
      <c r="KXS44" s="125"/>
      <c r="KXT44" s="316"/>
      <c r="KXU44" s="10"/>
      <c r="KXV44" s="125"/>
      <c r="KXW44" s="125"/>
      <c r="KXX44" s="316"/>
      <c r="KXY44" s="14"/>
      <c r="KXZ44" s="125"/>
      <c r="KYA44" s="125"/>
      <c r="KYB44" s="316"/>
      <c r="KYC44" s="14"/>
      <c r="KYD44" s="125"/>
      <c r="KYE44" s="125"/>
      <c r="KYF44" s="316"/>
      <c r="KYG44" s="14"/>
      <c r="KYH44" s="125"/>
      <c r="KYI44" s="125"/>
      <c r="KYJ44" s="316"/>
      <c r="KYK44" s="10"/>
      <c r="KYL44" s="125"/>
      <c r="KYM44" s="125"/>
      <c r="KYN44" s="316"/>
      <c r="KYO44" s="14"/>
      <c r="KYP44" s="125"/>
      <c r="KYQ44" s="125"/>
      <c r="KYR44" s="316"/>
      <c r="KYS44" s="14"/>
      <c r="KYT44" s="125"/>
      <c r="KYU44" s="125"/>
      <c r="KYV44" s="316"/>
      <c r="KYW44" s="14"/>
      <c r="KYX44" s="125"/>
      <c r="KYY44" s="125"/>
      <c r="KYZ44" s="316"/>
      <c r="KZA44" s="10"/>
      <c r="KZB44" s="125"/>
      <c r="KZC44" s="125"/>
      <c r="KZD44" s="316"/>
      <c r="KZE44" s="14"/>
      <c r="KZF44" s="125"/>
      <c r="KZG44" s="125"/>
      <c r="KZH44" s="316"/>
      <c r="KZI44" s="14"/>
      <c r="KZJ44" s="125"/>
      <c r="KZK44" s="125"/>
      <c r="KZL44" s="316"/>
      <c r="KZM44" s="14"/>
      <c r="KZN44" s="125"/>
      <c r="KZO44" s="125"/>
      <c r="KZP44" s="316"/>
      <c r="KZQ44" s="10"/>
      <c r="KZR44" s="125"/>
      <c r="KZS44" s="125"/>
      <c r="KZT44" s="316"/>
      <c r="KZU44" s="14"/>
      <c r="KZV44" s="125"/>
      <c r="KZW44" s="125"/>
      <c r="KZX44" s="316"/>
      <c r="KZY44" s="14"/>
      <c r="KZZ44" s="125"/>
      <c r="LAA44" s="125"/>
      <c r="LAB44" s="316"/>
      <c r="LAC44" s="14"/>
      <c r="LAD44" s="125"/>
      <c r="LAE44" s="125"/>
      <c r="LAF44" s="316"/>
      <c r="LAG44" s="10"/>
      <c r="LAH44" s="125"/>
      <c r="LAI44" s="125"/>
      <c r="LAJ44" s="316"/>
      <c r="LAK44" s="14"/>
      <c r="LAL44" s="125"/>
      <c r="LAM44" s="125"/>
      <c r="LAN44" s="316"/>
      <c r="LAO44" s="14"/>
      <c r="LAP44" s="125"/>
      <c r="LAQ44" s="125"/>
      <c r="LAR44" s="316"/>
      <c r="LAS44" s="14"/>
      <c r="LAT44" s="125"/>
      <c r="LAU44" s="125"/>
      <c r="LAV44" s="316"/>
      <c r="LAW44" s="10"/>
      <c r="LAX44" s="125"/>
      <c r="LAY44" s="125"/>
      <c r="LAZ44" s="316"/>
      <c r="LBA44" s="14"/>
      <c r="LBB44" s="125"/>
      <c r="LBC44" s="125"/>
      <c r="LBD44" s="316"/>
      <c r="LBE44" s="14"/>
      <c r="LBF44" s="125"/>
      <c r="LBG44" s="125"/>
      <c r="LBH44" s="316"/>
      <c r="LBI44" s="14"/>
      <c r="LBJ44" s="125"/>
      <c r="LBK44" s="125"/>
      <c r="LBL44" s="316"/>
      <c r="LBM44" s="10"/>
      <c r="LBN44" s="125"/>
      <c r="LBO44" s="125"/>
      <c r="LBP44" s="316"/>
      <c r="LBQ44" s="14"/>
      <c r="LBR44" s="125"/>
      <c r="LBS44" s="125"/>
      <c r="LBT44" s="316"/>
      <c r="LBU44" s="14"/>
      <c r="LBV44" s="125"/>
      <c r="LBW44" s="125"/>
      <c r="LBX44" s="316"/>
      <c r="LBY44" s="14"/>
      <c r="LBZ44" s="125"/>
      <c r="LCA44" s="125"/>
      <c r="LCB44" s="316"/>
      <c r="LCC44" s="10"/>
      <c r="LCD44" s="125"/>
      <c r="LCE44" s="125"/>
      <c r="LCF44" s="316"/>
      <c r="LCG44" s="14"/>
      <c r="LCH44" s="125"/>
      <c r="LCI44" s="125"/>
      <c r="LCJ44" s="316"/>
      <c r="LCK44" s="14"/>
      <c r="LCL44" s="125"/>
      <c r="LCM44" s="125"/>
      <c r="LCN44" s="316"/>
      <c r="LCO44" s="14"/>
      <c r="LCP44" s="125"/>
      <c r="LCQ44" s="125"/>
      <c r="LCR44" s="316"/>
      <c r="LCS44" s="10"/>
      <c r="LCT44" s="125"/>
      <c r="LCU44" s="125"/>
      <c r="LCV44" s="316"/>
      <c r="LCW44" s="14"/>
      <c r="LCX44" s="125"/>
      <c r="LCY44" s="125"/>
      <c r="LCZ44" s="316"/>
      <c r="LDA44" s="14"/>
      <c r="LDB44" s="125"/>
      <c r="LDC44" s="125"/>
      <c r="LDD44" s="316"/>
      <c r="LDE44" s="14"/>
      <c r="LDF44" s="125"/>
      <c r="LDG44" s="125"/>
      <c r="LDH44" s="316"/>
      <c r="LDI44" s="10"/>
      <c r="LDJ44" s="125"/>
      <c r="LDK44" s="125"/>
      <c r="LDL44" s="316"/>
      <c r="LDM44" s="14"/>
      <c r="LDN44" s="125"/>
      <c r="LDO44" s="125"/>
      <c r="LDP44" s="316"/>
      <c r="LDQ44" s="14"/>
      <c r="LDR44" s="125"/>
      <c r="LDS44" s="125"/>
      <c r="LDT44" s="316"/>
      <c r="LDU44" s="14"/>
      <c r="LDV44" s="125"/>
      <c r="LDW44" s="125"/>
      <c r="LDX44" s="316"/>
      <c r="LDY44" s="10"/>
      <c r="LDZ44" s="125"/>
      <c r="LEA44" s="125"/>
      <c r="LEB44" s="316"/>
      <c r="LEC44" s="14"/>
      <c r="LED44" s="125"/>
      <c r="LEE44" s="125"/>
      <c r="LEF44" s="316"/>
      <c r="LEG44" s="14"/>
      <c r="LEH44" s="125"/>
      <c r="LEI44" s="125"/>
      <c r="LEJ44" s="316"/>
      <c r="LEK44" s="14"/>
      <c r="LEL44" s="125"/>
      <c r="LEM44" s="125"/>
      <c r="LEN44" s="316"/>
      <c r="LEO44" s="10"/>
      <c r="LEP44" s="125"/>
      <c r="LEQ44" s="125"/>
      <c r="LER44" s="316"/>
      <c r="LES44" s="14"/>
      <c r="LET44" s="125"/>
      <c r="LEU44" s="125"/>
      <c r="LEV44" s="316"/>
      <c r="LEW44" s="14"/>
      <c r="LEX44" s="125"/>
      <c r="LEY44" s="125"/>
      <c r="LEZ44" s="316"/>
      <c r="LFA44" s="14"/>
      <c r="LFB44" s="125"/>
      <c r="LFC44" s="125"/>
      <c r="LFD44" s="316"/>
      <c r="LFE44" s="10"/>
      <c r="LFF44" s="125"/>
      <c r="LFG44" s="125"/>
      <c r="LFH44" s="316"/>
      <c r="LFI44" s="14"/>
      <c r="LFJ44" s="125"/>
      <c r="LFK44" s="125"/>
      <c r="LFL44" s="316"/>
      <c r="LFM44" s="14"/>
      <c r="LFN44" s="125"/>
      <c r="LFO44" s="125"/>
      <c r="LFP44" s="316"/>
      <c r="LFQ44" s="14"/>
      <c r="LFR44" s="125"/>
      <c r="LFS44" s="125"/>
      <c r="LFT44" s="316"/>
      <c r="LFU44" s="10"/>
      <c r="LFV44" s="125"/>
      <c r="LFW44" s="125"/>
      <c r="LFX44" s="316"/>
      <c r="LFY44" s="14"/>
      <c r="LFZ44" s="125"/>
      <c r="LGA44" s="125"/>
      <c r="LGB44" s="316"/>
      <c r="LGC44" s="14"/>
      <c r="LGD44" s="125"/>
      <c r="LGE44" s="125"/>
      <c r="LGF44" s="316"/>
      <c r="LGG44" s="14"/>
      <c r="LGH44" s="125"/>
      <c r="LGI44" s="125"/>
      <c r="LGJ44" s="316"/>
      <c r="LGK44" s="10"/>
      <c r="LGL44" s="125"/>
      <c r="LGM44" s="125"/>
      <c r="LGN44" s="316"/>
      <c r="LGO44" s="14"/>
      <c r="LGP44" s="125"/>
      <c r="LGQ44" s="125"/>
      <c r="LGR44" s="316"/>
      <c r="LGS44" s="14"/>
      <c r="LGT44" s="125"/>
      <c r="LGU44" s="125"/>
      <c r="LGV44" s="316"/>
      <c r="LGW44" s="14"/>
      <c r="LGX44" s="125"/>
      <c r="LGY44" s="125"/>
      <c r="LGZ44" s="316"/>
      <c r="LHA44" s="10"/>
      <c r="LHB44" s="125"/>
      <c r="LHC44" s="125"/>
      <c r="LHD44" s="316"/>
      <c r="LHE44" s="14"/>
      <c r="LHF44" s="125"/>
      <c r="LHG44" s="125"/>
      <c r="LHH44" s="316"/>
      <c r="LHI44" s="14"/>
      <c r="LHJ44" s="125"/>
      <c r="LHK44" s="125"/>
      <c r="LHL44" s="316"/>
      <c r="LHM44" s="14"/>
      <c r="LHN44" s="125"/>
      <c r="LHO44" s="125"/>
      <c r="LHP44" s="316"/>
      <c r="LHQ44" s="10"/>
      <c r="LHR44" s="125"/>
      <c r="LHS44" s="125"/>
      <c r="LHT44" s="316"/>
      <c r="LHU44" s="14"/>
      <c r="LHV44" s="125"/>
      <c r="LHW44" s="125"/>
      <c r="LHX44" s="316"/>
      <c r="LHY44" s="14"/>
      <c r="LHZ44" s="125"/>
      <c r="LIA44" s="125"/>
      <c r="LIB44" s="316"/>
      <c r="LIC44" s="14"/>
      <c r="LID44" s="125"/>
      <c r="LIE44" s="125"/>
      <c r="LIF44" s="316"/>
      <c r="LIG44" s="10"/>
      <c r="LIH44" s="125"/>
      <c r="LII44" s="125"/>
      <c r="LIJ44" s="316"/>
      <c r="LIK44" s="14"/>
      <c r="LIL44" s="125"/>
      <c r="LIM44" s="125"/>
      <c r="LIN44" s="316"/>
      <c r="LIO44" s="14"/>
      <c r="LIP44" s="125"/>
      <c r="LIQ44" s="125"/>
      <c r="LIR44" s="316"/>
      <c r="LIS44" s="14"/>
      <c r="LIT44" s="125"/>
      <c r="LIU44" s="125"/>
      <c r="LIV44" s="316"/>
      <c r="LIW44" s="10"/>
      <c r="LIX44" s="125"/>
      <c r="LIY44" s="125"/>
      <c r="LIZ44" s="316"/>
      <c r="LJA44" s="14"/>
      <c r="LJB44" s="125"/>
      <c r="LJC44" s="125"/>
      <c r="LJD44" s="316"/>
      <c r="LJE44" s="14"/>
      <c r="LJF44" s="125"/>
      <c r="LJG44" s="125"/>
      <c r="LJH44" s="316"/>
      <c r="LJI44" s="14"/>
      <c r="LJJ44" s="125"/>
      <c r="LJK44" s="125"/>
      <c r="LJL44" s="316"/>
      <c r="LJM44" s="10"/>
      <c r="LJN44" s="125"/>
      <c r="LJO44" s="125"/>
      <c r="LJP44" s="316"/>
      <c r="LJQ44" s="14"/>
      <c r="LJR44" s="125"/>
      <c r="LJS44" s="125"/>
      <c r="LJT44" s="316"/>
      <c r="LJU44" s="14"/>
      <c r="LJV44" s="125"/>
      <c r="LJW44" s="125"/>
      <c r="LJX44" s="316"/>
      <c r="LJY44" s="14"/>
      <c r="LJZ44" s="125"/>
      <c r="LKA44" s="125"/>
      <c r="LKB44" s="316"/>
      <c r="LKC44" s="10"/>
      <c r="LKD44" s="125"/>
      <c r="LKE44" s="125"/>
      <c r="LKF44" s="316"/>
      <c r="LKG44" s="14"/>
      <c r="LKH44" s="125"/>
      <c r="LKI44" s="125"/>
      <c r="LKJ44" s="316"/>
      <c r="LKK44" s="14"/>
      <c r="LKL44" s="125"/>
      <c r="LKM44" s="125"/>
      <c r="LKN44" s="316"/>
      <c r="LKO44" s="14"/>
      <c r="LKP44" s="125"/>
      <c r="LKQ44" s="125"/>
      <c r="LKR44" s="316"/>
      <c r="LKS44" s="10"/>
      <c r="LKT44" s="125"/>
      <c r="LKU44" s="125"/>
      <c r="LKV44" s="316"/>
      <c r="LKW44" s="14"/>
      <c r="LKX44" s="125"/>
      <c r="LKY44" s="125"/>
      <c r="LKZ44" s="316"/>
      <c r="LLA44" s="14"/>
      <c r="LLB44" s="125"/>
      <c r="LLC44" s="125"/>
      <c r="LLD44" s="316"/>
      <c r="LLE44" s="14"/>
      <c r="LLF44" s="125"/>
      <c r="LLG44" s="125"/>
      <c r="LLH44" s="316"/>
      <c r="LLI44" s="10"/>
      <c r="LLJ44" s="125"/>
      <c r="LLK44" s="125"/>
      <c r="LLL44" s="316"/>
      <c r="LLM44" s="14"/>
      <c r="LLN44" s="125"/>
      <c r="LLO44" s="125"/>
      <c r="LLP44" s="316"/>
      <c r="LLQ44" s="14"/>
      <c r="LLR44" s="125"/>
      <c r="LLS44" s="125"/>
      <c r="LLT44" s="316"/>
      <c r="LLU44" s="14"/>
      <c r="LLV44" s="125"/>
      <c r="LLW44" s="125"/>
      <c r="LLX44" s="316"/>
      <c r="LLY44" s="10"/>
      <c r="LLZ44" s="125"/>
      <c r="LMA44" s="125"/>
      <c r="LMB44" s="316"/>
      <c r="LMC44" s="14"/>
      <c r="LMD44" s="125"/>
      <c r="LME44" s="125"/>
      <c r="LMF44" s="316"/>
      <c r="LMG44" s="14"/>
      <c r="LMH44" s="125"/>
      <c r="LMI44" s="125"/>
      <c r="LMJ44" s="316"/>
      <c r="LMK44" s="14"/>
      <c r="LML44" s="125"/>
      <c r="LMM44" s="125"/>
      <c r="LMN44" s="316"/>
      <c r="LMO44" s="10"/>
      <c r="LMP44" s="125"/>
      <c r="LMQ44" s="125"/>
      <c r="LMR44" s="316"/>
      <c r="LMS44" s="14"/>
      <c r="LMT44" s="125"/>
      <c r="LMU44" s="125"/>
      <c r="LMV44" s="316"/>
      <c r="LMW44" s="14"/>
      <c r="LMX44" s="125"/>
      <c r="LMY44" s="125"/>
      <c r="LMZ44" s="316"/>
      <c r="LNA44" s="14"/>
      <c r="LNB44" s="125"/>
      <c r="LNC44" s="125"/>
      <c r="LND44" s="316"/>
      <c r="LNE44" s="10"/>
      <c r="LNF44" s="125"/>
      <c r="LNG44" s="125"/>
      <c r="LNH44" s="316"/>
      <c r="LNI44" s="14"/>
      <c r="LNJ44" s="125"/>
      <c r="LNK44" s="125"/>
      <c r="LNL44" s="316"/>
      <c r="LNM44" s="14"/>
      <c r="LNN44" s="125"/>
      <c r="LNO44" s="125"/>
      <c r="LNP44" s="316"/>
      <c r="LNQ44" s="14"/>
      <c r="LNR44" s="125"/>
      <c r="LNS44" s="125"/>
      <c r="LNT44" s="316"/>
      <c r="LNU44" s="10"/>
      <c r="LNV44" s="125"/>
      <c r="LNW44" s="125"/>
      <c r="LNX44" s="316"/>
      <c r="LNY44" s="14"/>
      <c r="LNZ44" s="125"/>
      <c r="LOA44" s="125"/>
      <c r="LOB44" s="316"/>
      <c r="LOC44" s="14"/>
      <c r="LOD44" s="125"/>
      <c r="LOE44" s="125"/>
      <c r="LOF44" s="316"/>
      <c r="LOG44" s="14"/>
      <c r="LOH44" s="125"/>
      <c r="LOI44" s="125"/>
      <c r="LOJ44" s="316"/>
      <c r="LOK44" s="10"/>
      <c r="LOL44" s="125"/>
      <c r="LOM44" s="125"/>
      <c r="LON44" s="316"/>
      <c r="LOO44" s="14"/>
      <c r="LOP44" s="125"/>
      <c r="LOQ44" s="125"/>
      <c r="LOR44" s="316"/>
      <c r="LOS44" s="14"/>
      <c r="LOT44" s="125"/>
      <c r="LOU44" s="125"/>
      <c r="LOV44" s="316"/>
      <c r="LOW44" s="14"/>
      <c r="LOX44" s="125"/>
      <c r="LOY44" s="125"/>
      <c r="LOZ44" s="316"/>
      <c r="LPA44" s="10"/>
      <c r="LPB44" s="125"/>
      <c r="LPC44" s="125"/>
      <c r="LPD44" s="316"/>
      <c r="LPE44" s="14"/>
      <c r="LPF44" s="125"/>
      <c r="LPG44" s="125"/>
      <c r="LPH44" s="316"/>
      <c r="LPI44" s="14"/>
      <c r="LPJ44" s="125"/>
      <c r="LPK44" s="125"/>
      <c r="LPL44" s="316"/>
      <c r="LPM44" s="14"/>
      <c r="LPN44" s="125"/>
      <c r="LPO44" s="125"/>
      <c r="LPP44" s="316"/>
      <c r="LPQ44" s="10"/>
      <c r="LPR44" s="125"/>
      <c r="LPS44" s="125"/>
      <c r="LPT44" s="316"/>
      <c r="LPU44" s="14"/>
      <c r="LPV44" s="125"/>
      <c r="LPW44" s="125"/>
      <c r="LPX44" s="316"/>
      <c r="LPY44" s="14"/>
      <c r="LPZ44" s="125"/>
      <c r="LQA44" s="125"/>
      <c r="LQB44" s="316"/>
      <c r="LQC44" s="14"/>
      <c r="LQD44" s="125"/>
      <c r="LQE44" s="125"/>
      <c r="LQF44" s="316"/>
      <c r="LQG44" s="10"/>
      <c r="LQH44" s="125"/>
      <c r="LQI44" s="125"/>
      <c r="LQJ44" s="316"/>
      <c r="LQK44" s="14"/>
      <c r="LQL44" s="125"/>
      <c r="LQM44" s="125"/>
      <c r="LQN44" s="316"/>
      <c r="LQO44" s="14"/>
      <c r="LQP44" s="125"/>
      <c r="LQQ44" s="125"/>
      <c r="LQR44" s="316"/>
      <c r="LQS44" s="14"/>
      <c r="LQT44" s="125"/>
      <c r="LQU44" s="125"/>
      <c r="LQV44" s="316"/>
      <c r="LQW44" s="10"/>
      <c r="LQX44" s="125"/>
      <c r="LQY44" s="125"/>
      <c r="LQZ44" s="316"/>
      <c r="LRA44" s="14"/>
      <c r="LRB44" s="125"/>
      <c r="LRC44" s="125"/>
      <c r="LRD44" s="316"/>
      <c r="LRE44" s="14"/>
      <c r="LRF44" s="125"/>
      <c r="LRG44" s="125"/>
      <c r="LRH44" s="316"/>
      <c r="LRI44" s="14"/>
      <c r="LRJ44" s="125"/>
      <c r="LRK44" s="125"/>
      <c r="LRL44" s="316"/>
      <c r="LRM44" s="10"/>
      <c r="LRN44" s="125"/>
      <c r="LRO44" s="125"/>
      <c r="LRP44" s="316"/>
      <c r="LRQ44" s="14"/>
      <c r="LRR44" s="125"/>
      <c r="LRS44" s="125"/>
      <c r="LRT44" s="316"/>
      <c r="LRU44" s="14"/>
      <c r="LRV44" s="125"/>
      <c r="LRW44" s="125"/>
      <c r="LRX44" s="316"/>
      <c r="LRY44" s="14"/>
      <c r="LRZ44" s="125"/>
      <c r="LSA44" s="125"/>
      <c r="LSB44" s="316"/>
      <c r="LSC44" s="10"/>
      <c r="LSD44" s="125"/>
      <c r="LSE44" s="125"/>
      <c r="LSF44" s="316"/>
      <c r="LSG44" s="14"/>
      <c r="LSH44" s="125"/>
      <c r="LSI44" s="125"/>
      <c r="LSJ44" s="316"/>
      <c r="LSK44" s="14"/>
      <c r="LSL44" s="125"/>
      <c r="LSM44" s="125"/>
      <c r="LSN44" s="316"/>
      <c r="LSO44" s="14"/>
      <c r="LSP44" s="125"/>
      <c r="LSQ44" s="125"/>
      <c r="LSR44" s="316"/>
      <c r="LSS44" s="10"/>
      <c r="LST44" s="125"/>
      <c r="LSU44" s="125"/>
      <c r="LSV44" s="316"/>
      <c r="LSW44" s="14"/>
      <c r="LSX44" s="125"/>
      <c r="LSY44" s="125"/>
      <c r="LSZ44" s="316"/>
      <c r="LTA44" s="14"/>
      <c r="LTB44" s="125"/>
      <c r="LTC44" s="125"/>
      <c r="LTD44" s="316"/>
      <c r="LTE44" s="14"/>
      <c r="LTF44" s="125"/>
      <c r="LTG44" s="125"/>
      <c r="LTH44" s="316"/>
      <c r="LTI44" s="10"/>
      <c r="LTJ44" s="125"/>
      <c r="LTK44" s="125"/>
      <c r="LTL44" s="316"/>
      <c r="LTM44" s="14"/>
      <c r="LTN44" s="125"/>
      <c r="LTO44" s="125"/>
      <c r="LTP44" s="316"/>
      <c r="LTQ44" s="14"/>
      <c r="LTR44" s="125"/>
      <c r="LTS44" s="125"/>
      <c r="LTT44" s="316"/>
      <c r="LTU44" s="14"/>
      <c r="LTV44" s="125"/>
      <c r="LTW44" s="125"/>
      <c r="LTX44" s="316"/>
      <c r="LTY44" s="10"/>
      <c r="LTZ44" s="125"/>
      <c r="LUA44" s="125"/>
      <c r="LUB44" s="316"/>
      <c r="LUC44" s="14"/>
      <c r="LUD44" s="125"/>
      <c r="LUE44" s="125"/>
      <c r="LUF44" s="316"/>
      <c r="LUG44" s="14"/>
      <c r="LUH44" s="125"/>
      <c r="LUI44" s="125"/>
      <c r="LUJ44" s="316"/>
      <c r="LUK44" s="14"/>
      <c r="LUL44" s="125"/>
      <c r="LUM44" s="125"/>
      <c r="LUN44" s="316"/>
      <c r="LUO44" s="10"/>
      <c r="LUP44" s="125"/>
      <c r="LUQ44" s="125"/>
      <c r="LUR44" s="316"/>
      <c r="LUS44" s="14"/>
      <c r="LUT44" s="125"/>
      <c r="LUU44" s="125"/>
      <c r="LUV44" s="316"/>
      <c r="LUW44" s="14"/>
      <c r="LUX44" s="125"/>
      <c r="LUY44" s="125"/>
      <c r="LUZ44" s="316"/>
      <c r="LVA44" s="14"/>
      <c r="LVB44" s="125"/>
      <c r="LVC44" s="125"/>
      <c r="LVD44" s="316"/>
      <c r="LVE44" s="10"/>
      <c r="LVF44" s="125"/>
      <c r="LVG44" s="125"/>
      <c r="LVH44" s="316"/>
      <c r="LVI44" s="14"/>
      <c r="LVJ44" s="125"/>
      <c r="LVK44" s="125"/>
      <c r="LVL44" s="316"/>
      <c r="LVM44" s="14"/>
      <c r="LVN44" s="125"/>
      <c r="LVO44" s="125"/>
      <c r="LVP44" s="316"/>
      <c r="LVQ44" s="14"/>
      <c r="LVR44" s="125"/>
      <c r="LVS44" s="125"/>
      <c r="LVT44" s="316"/>
      <c r="LVU44" s="10"/>
      <c r="LVV44" s="125"/>
      <c r="LVW44" s="125"/>
      <c r="LVX44" s="316"/>
      <c r="LVY44" s="14"/>
      <c r="LVZ44" s="125"/>
      <c r="LWA44" s="125"/>
      <c r="LWB44" s="316"/>
      <c r="LWC44" s="14"/>
      <c r="LWD44" s="125"/>
      <c r="LWE44" s="125"/>
      <c r="LWF44" s="316"/>
      <c r="LWG44" s="14"/>
      <c r="LWH44" s="125"/>
      <c r="LWI44" s="125"/>
      <c r="LWJ44" s="316"/>
      <c r="LWK44" s="10"/>
      <c r="LWL44" s="125"/>
      <c r="LWM44" s="125"/>
      <c r="LWN44" s="316"/>
      <c r="LWO44" s="14"/>
      <c r="LWP44" s="125"/>
      <c r="LWQ44" s="125"/>
      <c r="LWR44" s="316"/>
      <c r="LWS44" s="14"/>
      <c r="LWT44" s="125"/>
      <c r="LWU44" s="125"/>
      <c r="LWV44" s="316"/>
      <c r="LWW44" s="14"/>
      <c r="LWX44" s="125"/>
      <c r="LWY44" s="125"/>
      <c r="LWZ44" s="316"/>
      <c r="LXA44" s="10"/>
      <c r="LXB44" s="125"/>
      <c r="LXC44" s="125"/>
      <c r="LXD44" s="316"/>
      <c r="LXE44" s="14"/>
      <c r="LXF44" s="125"/>
      <c r="LXG44" s="125"/>
      <c r="LXH44" s="316"/>
      <c r="LXI44" s="14"/>
      <c r="LXJ44" s="125"/>
      <c r="LXK44" s="125"/>
      <c r="LXL44" s="316"/>
      <c r="LXM44" s="14"/>
      <c r="LXN44" s="125"/>
      <c r="LXO44" s="125"/>
      <c r="LXP44" s="316"/>
      <c r="LXQ44" s="10"/>
      <c r="LXR44" s="125"/>
      <c r="LXS44" s="125"/>
      <c r="LXT44" s="316"/>
      <c r="LXU44" s="14"/>
      <c r="LXV44" s="125"/>
      <c r="LXW44" s="125"/>
      <c r="LXX44" s="316"/>
      <c r="LXY44" s="14"/>
      <c r="LXZ44" s="125"/>
      <c r="LYA44" s="125"/>
      <c r="LYB44" s="316"/>
      <c r="LYC44" s="14"/>
      <c r="LYD44" s="125"/>
      <c r="LYE44" s="125"/>
      <c r="LYF44" s="316"/>
      <c r="LYG44" s="10"/>
      <c r="LYH44" s="125"/>
      <c r="LYI44" s="125"/>
      <c r="LYJ44" s="316"/>
      <c r="LYK44" s="14"/>
      <c r="LYL44" s="125"/>
      <c r="LYM44" s="125"/>
      <c r="LYN44" s="316"/>
      <c r="LYO44" s="14"/>
      <c r="LYP44" s="125"/>
      <c r="LYQ44" s="125"/>
      <c r="LYR44" s="316"/>
      <c r="LYS44" s="14"/>
      <c r="LYT44" s="125"/>
      <c r="LYU44" s="125"/>
      <c r="LYV44" s="316"/>
      <c r="LYW44" s="10"/>
      <c r="LYX44" s="125"/>
      <c r="LYY44" s="125"/>
      <c r="LYZ44" s="316"/>
      <c r="LZA44" s="14"/>
      <c r="LZB44" s="125"/>
      <c r="LZC44" s="125"/>
      <c r="LZD44" s="316"/>
      <c r="LZE44" s="14"/>
      <c r="LZF44" s="125"/>
      <c r="LZG44" s="125"/>
      <c r="LZH44" s="316"/>
      <c r="LZI44" s="14"/>
      <c r="LZJ44" s="125"/>
      <c r="LZK44" s="125"/>
      <c r="LZL44" s="316"/>
      <c r="LZM44" s="10"/>
      <c r="LZN44" s="125"/>
      <c r="LZO44" s="125"/>
      <c r="LZP44" s="316"/>
      <c r="LZQ44" s="14"/>
      <c r="LZR44" s="125"/>
      <c r="LZS44" s="125"/>
      <c r="LZT44" s="316"/>
      <c r="LZU44" s="14"/>
      <c r="LZV44" s="125"/>
      <c r="LZW44" s="125"/>
      <c r="LZX44" s="316"/>
      <c r="LZY44" s="14"/>
      <c r="LZZ44" s="125"/>
      <c r="MAA44" s="125"/>
      <c r="MAB44" s="316"/>
      <c r="MAC44" s="10"/>
      <c r="MAD44" s="125"/>
      <c r="MAE44" s="125"/>
      <c r="MAF44" s="316"/>
      <c r="MAG44" s="14"/>
      <c r="MAH44" s="125"/>
      <c r="MAI44" s="125"/>
      <c r="MAJ44" s="316"/>
      <c r="MAK44" s="14"/>
      <c r="MAL44" s="125"/>
      <c r="MAM44" s="125"/>
      <c r="MAN44" s="316"/>
      <c r="MAO44" s="14"/>
      <c r="MAP44" s="125"/>
      <c r="MAQ44" s="125"/>
      <c r="MAR44" s="316"/>
      <c r="MAS44" s="10"/>
      <c r="MAT44" s="125"/>
      <c r="MAU44" s="125"/>
      <c r="MAV44" s="316"/>
      <c r="MAW44" s="14"/>
      <c r="MAX44" s="125"/>
      <c r="MAY44" s="125"/>
      <c r="MAZ44" s="316"/>
      <c r="MBA44" s="14"/>
      <c r="MBB44" s="125"/>
      <c r="MBC44" s="125"/>
      <c r="MBD44" s="316"/>
      <c r="MBE44" s="14"/>
      <c r="MBF44" s="125"/>
      <c r="MBG44" s="125"/>
      <c r="MBH44" s="316"/>
      <c r="MBI44" s="10"/>
      <c r="MBJ44" s="125"/>
      <c r="MBK44" s="125"/>
      <c r="MBL44" s="316"/>
      <c r="MBM44" s="14"/>
      <c r="MBN44" s="125"/>
      <c r="MBO44" s="125"/>
      <c r="MBP44" s="316"/>
      <c r="MBQ44" s="14"/>
      <c r="MBR44" s="125"/>
      <c r="MBS44" s="125"/>
      <c r="MBT44" s="316"/>
      <c r="MBU44" s="14"/>
      <c r="MBV44" s="125"/>
      <c r="MBW44" s="125"/>
      <c r="MBX44" s="316"/>
      <c r="MBY44" s="10"/>
      <c r="MBZ44" s="125"/>
      <c r="MCA44" s="125"/>
      <c r="MCB44" s="316"/>
      <c r="MCC44" s="14"/>
      <c r="MCD44" s="125"/>
      <c r="MCE44" s="125"/>
      <c r="MCF44" s="316"/>
      <c r="MCG44" s="14"/>
      <c r="MCH44" s="125"/>
      <c r="MCI44" s="125"/>
      <c r="MCJ44" s="316"/>
      <c r="MCK44" s="14"/>
      <c r="MCL44" s="125"/>
      <c r="MCM44" s="125"/>
      <c r="MCN44" s="316"/>
      <c r="MCO44" s="10"/>
      <c r="MCP44" s="125"/>
      <c r="MCQ44" s="125"/>
      <c r="MCR44" s="316"/>
      <c r="MCS44" s="14"/>
      <c r="MCT44" s="125"/>
      <c r="MCU44" s="125"/>
      <c r="MCV44" s="316"/>
      <c r="MCW44" s="14"/>
      <c r="MCX44" s="125"/>
      <c r="MCY44" s="125"/>
      <c r="MCZ44" s="316"/>
      <c r="MDA44" s="14"/>
      <c r="MDB44" s="125"/>
      <c r="MDC44" s="125"/>
      <c r="MDD44" s="316"/>
      <c r="MDE44" s="10"/>
      <c r="MDF44" s="125"/>
      <c r="MDG44" s="125"/>
      <c r="MDH44" s="316"/>
      <c r="MDI44" s="14"/>
      <c r="MDJ44" s="125"/>
      <c r="MDK44" s="125"/>
      <c r="MDL44" s="316"/>
      <c r="MDM44" s="14"/>
      <c r="MDN44" s="125"/>
      <c r="MDO44" s="125"/>
      <c r="MDP44" s="316"/>
      <c r="MDQ44" s="14"/>
      <c r="MDR44" s="125"/>
      <c r="MDS44" s="125"/>
      <c r="MDT44" s="316"/>
      <c r="MDU44" s="10"/>
      <c r="MDV44" s="125"/>
      <c r="MDW44" s="125"/>
      <c r="MDX44" s="316"/>
      <c r="MDY44" s="14"/>
      <c r="MDZ44" s="125"/>
      <c r="MEA44" s="125"/>
      <c r="MEB44" s="316"/>
      <c r="MEC44" s="14"/>
      <c r="MED44" s="125"/>
      <c r="MEE44" s="125"/>
      <c r="MEF44" s="316"/>
      <c r="MEG44" s="14"/>
      <c r="MEH44" s="125"/>
      <c r="MEI44" s="125"/>
      <c r="MEJ44" s="316"/>
      <c r="MEK44" s="10"/>
      <c r="MEL44" s="125"/>
      <c r="MEM44" s="125"/>
      <c r="MEN44" s="316"/>
      <c r="MEO44" s="14"/>
      <c r="MEP44" s="125"/>
      <c r="MEQ44" s="125"/>
      <c r="MER44" s="316"/>
      <c r="MES44" s="14"/>
      <c r="MET44" s="125"/>
      <c r="MEU44" s="125"/>
      <c r="MEV44" s="316"/>
      <c r="MEW44" s="14"/>
      <c r="MEX44" s="125"/>
      <c r="MEY44" s="125"/>
      <c r="MEZ44" s="316"/>
      <c r="MFA44" s="10"/>
      <c r="MFB44" s="125"/>
      <c r="MFC44" s="125"/>
      <c r="MFD44" s="316"/>
      <c r="MFE44" s="14"/>
      <c r="MFF44" s="125"/>
      <c r="MFG44" s="125"/>
      <c r="MFH44" s="316"/>
      <c r="MFI44" s="14"/>
      <c r="MFJ44" s="125"/>
      <c r="MFK44" s="125"/>
      <c r="MFL44" s="316"/>
      <c r="MFM44" s="14"/>
      <c r="MFN44" s="125"/>
      <c r="MFO44" s="125"/>
      <c r="MFP44" s="316"/>
      <c r="MFQ44" s="10"/>
      <c r="MFR44" s="125"/>
      <c r="MFS44" s="125"/>
      <c r="MFT44" s="316"/>
      <c r="MFU44" s="14"/>
      <c r="MFV44" s="125"/>
      <c r="MFW44" s="125"/>
      <c r="MFX44" s="316"/>
      <c r="MFY44" s="14"/>
      <c r="MFZ44" s="125"/>
      <c r="MGA44" s="125"/>
      <c r="MGB44" s="316"/>
      <c r="MGC44" s="14"/>
      <c r="MGD44" s="125"/>
      <c r="MGE44" s="125"/>
      <c r="MGF44" s="316"/>
      <c r="MGG44" s="10"/>
      <c r="MGH44" s="125"/>
      <c r="MGI44" s="125"/>
      <c r="MGJ44" s="316"/>
      <c r="MGK44" s="14"/>
      <c r="MGL44" s="125"/>
      <c r="MGM44" s="125"/>
      <c r="MGN44" s="316"/>
      <c r="MGO44" s="14"/>
      <c r="MGP44" s="125"/>
      <c r="MGQ44" s="125"/>
      <c r="MGR44" s="316"/>
      <c r="MGS44" s="14"/>
      <c r="MGT44" s="125"/>
      <c r="MGU44" s="125"/>
      <c r="MGV44" s="316"/>
      <c r="MGW44" s="10"/>
      <c r="MGX44" s="125"/>
      <c r="MGY44" s="125"/>
      <c r="MGZ44" s="316"/>
      <c r="MHA44" s="14"/>
      <c r="MHB44" s="125"/>
      <c r="MHC44" s="125"/>
      <c r="MHD44" s="316"/>
      <c r="MHE44" s="14"/>
      <c r="MHF44" s="125"/>
      <c r="MHG44" s="125"/>
      <c r="MHH44" s="316"/>
      <c r="MHI44" s="14"/>
      <c r="MHJ44" s="125"/>
      <c r="MHK44" s="125"/>
      <c r="MHL44" s="316"/>
      <c r="MHM44" s="10"/>
      <c r="MHN44" s="125"/>
      <c r="MHO44" s="125"/>
      <c r="MHP44" s="316"/>
      <c r="MHQ44" s="14"/>
      <c r="MHR44" s="125"/>
      <c r="MHS44" s="125"/>
      <c r="MHT44" s="316"/>
      <c r="MHU44" s="14"/>
      <c r="MHV44" s="125"/>
      <c r="MHW44" s="125"/>
      <c r="MHX44" s="316"/>
      <c r="MHY44" s="14"/>
      <c r="MHZ44" s="125"/>
      <c r="MIA44" s="125"/>
      <c r="MIB44" s="316"/>
      <c r="MIC44" s="10"/>
      <c r="MID44" s="125"/>
      <c r="MIE44" s="125"/>
      <c r="MIF44" s="316"/>
      <c r="MIG44" s="14"/>
      <c r="MIH44" s="125"/>
      <c r="MII44" s="125"/>
      <c r="MIJ44" s="316"/>
      <c r="MIK44" s="14"/>
      <c r="MIL44" s="125"/>
      <c r="MIM44" s="125"/>
      <c r="MIN44" s="316"/>
      <c r="MIO44" s="14"/>
      <c r="MIP44" s="125"/>
      <c r="MIQ44" s="125"/>
      <c r="MIR44" s="316"/>
      <c r="MIS44" s="10"/>
      <c r="MIT44" s="125"/>
      <c r="MIU44" s="125"/>
      <c r="MIV44" s="316"/>
      <c r="MIW44" s="14"/>
      <c r="MIX44" s="125"/>
      <c r="MIY44" s="125"/>
      <c r="MIZ44" s="316"/>
      <c r="MJA44" s="14"/>
      <c r="MJB44" s="125"/>
      <c r="MJC44" s="125"/>
      <c r="MJD44" s="316"/>
      <c r="MJE44" s="14"/>
      <c r="MJF44" s="125"/>
      <c r="MJG44" s="125"/>
      <c r="MJH44" s="316"/>
      <c r="MJI44" s="10"/>
      <c r="MJJ44" s="125"/>
      <c r="MJK44" s="125"/>
      <c r="MJL44" s="316"/>
      <c r="MJM44" s="14"/>
      <c r="MJN44" s="125"/>
      <c r="MJO44" s="125"/>
      <c r="MJP44" s="316"/>
      <c r="MJQ44" s="14"/>
      <c r="MJR44" s="125"/>
      <c r="MJS44" s="125"/>
      <c r="MJT44" s="316"/>
      <c r="MJU44" s="14"/>
      <c r="MJV44" s="125"/>
      <c r="MJW44" s="125"/>
      <c r="MJX44" s="316"/>
      <c r="MJY44" s="10"/>
      <c r="MJZ44" s="125"/>
      <c r="MKA44" s="125"/>
      <c r="MKB44" s="316"/>
      <c r="MKC44" s="14"/>
      <c r="MKD44" s="125"/>
      <c r="MKE44" s="125"/>
      <c r="MKF44" s="316"/>
      <c r="MKG44" s="14"/>
      <c r="MKH44" s="125"/>
      <c r="MKI44" s="125"/>
      <c r="MKJ44" s="316"/>
      <c r="MKK44" s="14"/>
      <c r="MKL44" s="125"/>
      <c r="MKM44" s="125"/>
      <c r="MKN44" s="316"/>
      <c r="MKO44" s="10"/>
      <c r="MKP44" s="125"/>
      <c r="MKQ44" s="125"/>
      <c r="MKR44" s="316"/>
      <c r="MKS44" s="14"/>
      <c r="MKT44" s="125"/>
      <c r="MKU44" s="125"/>
      <c r="MKV44" s="316"/>
      <c r="MKW44" s="14"/>
      <c r="MKX44" s="125"/>
      <c r="MKY44" s="125"/>
      <c r="MKZ44" s="316"/>
      <c r="MLA44" s="14"/>
      <c r="MLB44" s="125"/>
      <c r="MLC44" s="125"/>
      <c r="MLD44" s="316"/>
      <c r="MLE44" s="10"/>
      <c r="MLF44" s="125"/>
      <c r="MLG44" s="125"/>
      <c r="MLH44" s="316"/>
      <c r="MLI44" s="14"/>
      <c r="MLJ44" s="125"/>
      <c r="MLK44" s="125"/>
      <c r="MLL44" s="316"/>
      <c r="MLM44" s="14"/>
      <c r="MLN44" s="125"/>
      <c r="MLO44" s="125"/>
      <c r="MLP44" s="316"/>
      <c r="MLQ44" s="14"/>
      <c r="MLR44" s="125"/>
      <c r="MLS44" s="125"/>
      <c r="MLT44" s="316"/>
      <c r="MLU44" s="10"/>
      <c r="MLV44" s="125"/>
      <c r="MLW44" s="125"/>
      <c r="MLX44" s="316"/>
      <c r="MLY44" s="14"/>
      <c r="MLZ44" s="125"/>
      <c r="MMA44" s="125"/>
      <c r="MMB44" s="316"/>
      <c r="MMC44" s="14"/>
      <c r="MMD44" s="125"/>
      <c r="MME44" s="125"/>
      <c r="MMF44" s="316"/>
      <c r="MMG44" s="14"/>
      <c r="MMH44" s="125"/>
      <c r="MMI44" s="125"/>
      <c r="MMJ44" s="316"/>
      <c r="MMK44" s="10"/>
      <c r="MML44" s="125"/>
      <c r="MMM44" s="125"/>
      <c r="MMN44" s="316"/>
      <c r="MMO44" s="14"/>
      <c r="MMP44" s="125"/>
      <c r="MMQ44" s="125"/>
      <c r="MMR44" s="316"/>
      <c r="MMS44" s="14"/>
      <c r="MMT44" s="125"/>
      <c r="MMU44" s="125"/>
      <c r="MMV44" s="316"/>
      <c r="MMW44" s="14"/>
      <c r="MMX44" s="125"/>
      <c r="MMY44" s="125"/>
      <c r="MMZ44" s="316"/>
      <c r="MNA44" s="10"/>
      <c r="MNB44" s="125"/>
      <c r="MNC44" s="125"/>
      <c r="MND44" s="316"/>
      <c r="MNE44" s="14"/>
      <c r="MNF44" s="125"/>
      <c r="MNG44" s="125"/>
      <c r="MNH44" s="316"/>
      <c r="MNI44" s="14"/>
      <c r="MNJ44" s="125"/>
      <c r="MNK44" s="125"/>
      <c r="MNL44" s="316"/>
      <c r="MNM44" s="14"/>
      <c r="MNN44" s="125"/>
      <c r="MNO44" s="125"/>
      <c r="MNP44" s="316"/>
      <c r="MNQ44" s="10"/>
      <c r="MNR44" s="125"/>
      <c r="MNS44" s="125"/>
      <c r="MNT44" s="316"/>
      <c r="MNU44" s="14"/>
      <c r="MNV44" s="125"/>
      <c r="MNW44" s="125"/>
      <c r="MNX44" s="316"/>
      <c r="MNY44" s="14"/>
      <c r="MNZ44" s="125"/>
      <c r="MOA44" s="125"/>
      <c r="MOB44" s="316"/>
      <c r="MOC44" s="14"/>
      <c r="MOD44" s="125"/>
      <c r="MOE44" s="125"/>
      <c r="MOF44" s="316"/>
      <c r="MOG44" s="10"/>
      <c r="MOH44" s="125"/>
      <c r="MOI44" s="125"/>
      <c r="MOJ44" s="316"/>
      <c r="MOK44" s="14"/>
      <c r="MOL44" s="125"/>
      <c r="MOM44" s="125"/>
      <c r="MON44" s="316"/>
      <c r="MOO44" s="14"/>
      <c r="MOP44" s="125"/>
      <c r="MOQ44" s="125"/>
      <c r="MOR44" s="316"/>
      <c r="MOS44" s="14"/>
      <c r="MOT44" s="125"/>
      <c r="MOU44" s="125"/>
      <c r="MOV44" s="316"/>
      <c r="MOW44" s="10"/>
      <c r="MOX44" s="125"/>
      <c r="MOY44" s="125"/>
      <c r="MOZ44" s="316"/>
      <c r="MPA44" s="14"/>
      <c r="MPB44" s="125"/>
      <c r="MPC44" s="125"/>
      <c r="MPD44" s="316"/>
      <c r="MPE44" s="14"/>
      <c r="MPF44" s="125"/>
      <c r="MPG44" s="125"/>
      <c r="MPH44" s="316"/>
      <c r="MPI44" s="14"/>
      <c r="MPJ44" s="125"/>
      <c r="MPK44" s="125"/>
      <c r="MPL44" s="316"/>
      <c r="MPM44" s="10"/>
      <c r="MPN44" s="125"/>
      <c r="MPO44" s="125"/>
      <c r="MPP44" s="316"/>
      <c r="MPQ44" s="14"/>
      <c r="MPR44" s="125"/>
      <c r="MPS44" s="125"/>
      <c r="MPT44" s="316"/>
      <c r="MPU44" s="14"/>
      <c r="MPV44" s="125"/>
      <c r="MPW44" s="125"/>
      <c r="MPX44" s="316"/>
      <c r="MPY44" s="14"/>
      <c r="MPZ44" s="125"/>
      <c r="MQA44" s="125"/>
      <c r="MQB44" s="316"/>
      <c r="MQC44" s="10"/>
      <c r="MQD44" s="125"/>
      <c r="MQE44" s="125"/>
      <c r="MQF44" s="316"/>
      <c r="MQG44" s="14"/>
      <c r="MQH44" s="125"/>
      <c r="MQI44" s="125"/>
      <c r="MQJ44" s="316"/>
      <c r="MQK44" s="14"/>
      <c r="MQL44" s="125"/>
      <c r="MQM44" s="125"/>
      <c r="MQN44" s="316"/>
      <c r="MQO44" s="14"/>
      <c r="MQP44" s="125"/>
      <c r="MQQ44" s="125"/>
      <c r="MQR44" s="316"/>
      <c r="MQS44" s="10"/>
      <c r="MQT44" s="125"/>
      <c r="MQU44" s="125"/>
      <c r="MQV44" s="316"/>
      <c r="MQW44" s="14"/>
      <c r="MQX44" s="125"/>
      <c r="MQY44" s="125"/>
      <c r="MQZ44" s="316"/>
      <c r="MRA44" s="14"/>
      <c r="MRB44" s="125"/>
      <c r="MRC44" s="125"/>
      <c r="MRD44" s="316"/>
      <c r="MRE44" s="14"/>
      <c r="MRF44" s="125"/>
      <c r="MRG44" s="125"/>
      <c r="MRH44" s="316"/>
      <c r="MRI44" s="10"/>
      <c r="MRJ44" s="125"/>
      <c r="MRK44" s="125"/>
      <c r="MRL44" s="316"/>
      <c r="MRM44" s="14"/>
      <c r="MRN44" s="125"/>
      <c r="MRO44" s="125"/>
      <c r="MRP44" s="316"/>
      <c r="MRQ44" s="14"/>
      <c r="MRR44" s="125"/>
      <c r="MRS44" s="125"/>
      <c r="MRT44" s="316"/>
      <c r="MRU44" s="14"/>
      <c r="MRV44" s="125"/>
      <c r="MRW44" s="125"/>
      <c r="MRX44" s="316"/>
      <c r="MRY44" s="10"/>
      <c r="MRZ44" s="125"/>
      <c r="MSA44" s="125"/>
      <c r="MSB44" s="316"/>
      <c r="MSC44" s="14"/>
      <c r="MSD44" s="125"/>
      <c r="MSE44" s="125"/>
      <c r="MSF44" s="316"/>
      <c r="MSG44" s="14"/>
      <c r="MSH44" s="125"/>
      <c r="MSI44" s="125"/>
      <c r="MSJ44" s="316"/>
      <c r="MSK44" s="14"/>
      <c r="MSL44" s="125"/>
      <c r="MSM44" s="125"/>
      <c r="MSN44" s="316"/>
      <c r="MSO44" s="10"/>
      <c r="MSP44" s="125"/>
      <c r="MSQ44" s="125"/>
      <c r="MSR44" s="316"/>
      <c r="MSS44" s="14"/>
      <c r="MST44" s="125"/>
      <c r="MSU44" s="125"/>
      <c r="MSV44" s="316"/>
      <c r="MSW44" s="14"/>
      <c r="MSX44" s="125"/>
      <c r="MSY44" s="125"/>
      <c r="MSZ44" s="316"/>
      <c r="MTA44" s="14"/>
      <c r="MTB44" s="125"/>
      <c r="MTC44" s="125"/>
      <c r="MTD44" s="316"/>
      <c r="MTE44" s="10"/>
      <c r="MTF44" s="125"/>
      <c r="MTG44" s="125"/>
      <c r="MTH44" s="316"/>
      <c r="MTI44" s="14"/>
      <c r="MTJ44" s="125"/>
      <c r="MTK44" s="125"/>
      <c r="MTL44" s="316"/>
      <c r="MTM44" s="14"/>
      <c r="MTN44" s="125"/>
      <c r="MTO44" s="125"/>
      <c r="MTP44" s="316"/>
      <c r="MTQ44" s="14"/>
      <c r="MTR44" s="125"/>
      <c r="MTS44" s="125"/>
      <c r="MTT44" s="316"/>
      <c r="MTU44" s="10"/>
      <c r="MTV44" s="125"/>
      <c r="MTW44" s="125"/>
      <c r="MTX44" s="316"/>
      <c r="MTY44" s="14"/>
      <c r="MTZ44" s="125"/>
      <c r="MUA44" s="125"/>
      <c r="MUB44" s="316"/>
      <c r="MUC44" s="14"/>
      <c r="MUD44" s="125"/>
      <c r="MUE44" s="125"/>
      <c r="MUF44" s="316"/>
      <c r="MUG44" s="14"/>
      <c r="MUH44" s="125"/>
      <c r="MUI44" s="125"/>
      <c r="MUJ44" s="316"/>
      <c r="MUK44" s="10"/>
      <c r="MUL44" s="125"/>
      <c r="MUM44" s="125"/>
      <c r="MUN44" s="316"/>
      <c r="MUO44" s="14"/>
      <c r="MUP44" s="125"/>
      <c r="MUQ44" s="125"/>
      <c r="MUR44" s="316"/>
      <c r="MUS44" s="14"/>
      <c r="MUT44" s="125"/>
      <c r="MUU44" s="125"/>
      <c r="MUV44" s="316"/>
      <c r="MUW44" s="14"/>
      <c r="MUX44" s="125"/>
      <c r="MUY44" s="125"/>
      <c r="MUZ44" s="316"/>
      <c r="MVA44" s="10"/>
      <c r="MVB44" s="125"/>
      <c r="MVC44" s="125"/>
      <c r="MVD44" s="316"/>
      <c r="MVE44" s="14"/>
      <c r="MVF44" s="125"/>
      <c r="MVG44" s="125"/>
      <c r="MVH44" s="316"/>
      <c r="MVI44" s="14"/>
      <c r="MVJ44" s="125"/>
      <c r="MVK44" s="125"/>
      <c r="MVL44" s="316"/>
      <c r="MVM44" s="14"/>
      <c r="MVN44" s="125"/>
      <c r="MVO44" s="125"/>
      <c r="MVP44" s="316"/>
      <c r="MVQ44" s="10"/>
      <c r="MVR44" s="125"/>
      <c r="MVS44" s="125"/>
      <c r="MVT44" s="316"/>
      <c r="MVU44" s="14"/>
      <c r="MVV44" s="125"/>
      <c r="MVW44" s="125"/>
      <c r="MVX44" s="316"/>
      <c r="MVY44" s="14"/>
      <c r="MVZ44" s="125"/>
      <c r="MWA44" s="125"/>
      <c r="MWB44" s="316"/>
      <c r="MWC44" s="14"/>
      <c r="MWD44" s="125"/>
      <c r="MWE44" s="125"/>
      <c r="MWF44" s="316"/>
      <c r="MWG44" s="10"/>
      <c r="MWH44" s="125"/>
      <c r="MWI44" s="125"/>
      <c r="MWJ44" s="316"/>
      <c r="MWK44" s="14"/>
      <c r="MWL44" s="125"/>
      <c r="MWM44" s="125"/>
      <c r="MWN44" s="316"/>
      <c r="MWO44" s="14"/>
      <c r="MWP44" s="125"/>
      <c r="MWQ44" s="125"/>
      <c r="MWR44" s="316"/>
      <c r="MWS44" s="14"/>
      <c r="MWT44" s="125"/>
      <c r="MWU44" s="125"/>
      <c r="MWV44" s="316"/>
      <c r="MWW44" s="10"/>
      <c r="MWX44" s="125"/>
      <c r="MWY44" s="125"/>
      <c r="MWZ44" s="316"/>
      <c r="MXA44" s="14"/>
      <c r="MXB44" s="125"/>
      <c r="MXC44" s="125"/>
      <c r="MXD44" s="316"/>
      <c r="MXE44" s="14"/>
      <c r="MXF44" s="125"/>
      <c r="MXG44" s="125"/>
      <c r="MXH44" s="316"/>
      <c r="MXI44" s="14"/>
      <c r="MXJ44" s="125"/>
      <c r="MXK44" s="125"/>
      <c r="MXL44" s="316"/>
      <c r="MXM44" s="10"/>
      <c r="MXN44" s="125"/>
      <c r="MXO44" s="125"/>
      <c r="MXP44" s="316"/>
      <c r="MXQ44" s="14"/>
      <c r="MXR44" s="125"/>
      <c r="MXS44" s="125"/>
      <c r="MXT44" s="316"/>
      <c r="MXU44" s="14"/>
      <c r="MXV44" s="125"/>
      <c r="MXW44" s="125"/>
      <c r="MXX44" s="316"/>
      <c r="MXY44" s="14"/>
      <c r="MXZ44" s="125"/>
      <c r="MYA44" s="125"/>
      <c r="MYB44" s="316"/>
      <c r="MYC44" s="10"/>
      <c r="MYD44" s="125"/>
      <c r="MYE44" s="125"/>
      <c r="MYF44" s="316"/>
      <c r="MYG44" s="14"/>
      <c r="MYH44" s="125"/>
      <c r="MYI44" s="125"/>
      <c r="MYJ44" s="316"/>
      <c r="MYK44" s="14"/>
      <c r="MYL44" s="125"/>
      <c r="MYM44" s="125"/>
      <c r="MYN44" s="316"/>
      <c r="MYO44" s="14"/>
      <c r="MYP44" s="125"/>
      <c r="MYQ44" s="125"/>
      <c r="MYR44" s="316"/>
      <c r="MYS44" s="10"/>
      <c r="MYT44" s="125"/>
      <c r="MYU44" s="125"/>
      <c r="MYV44" s="316"/>
      <c r="MYW44" s="14"/>
      <c r="MYX44" s="125"/>
      <c r="MYY44" s="125"/>
      <c r="MYZ44" s="316"/>
      <c r="MZA44" s="14"/>
      <c r="MZB44" s="125"/>
      <c r="MZC44" s="125"/>
      <c r="MZD44" s="316"/>
      <c r="MZE44" s="14"/>
      <c r="MZF44" s="125"/>
      <c r="MZG44" s="125"/>
      <c r="MZH44" s="316"/>
      <c r="MZI44" s="10"/>
      <c r="MZJ44" s="125"/>
      <c r="MZK44" s="125"/>
      <c r="MZL44" s="316"/>
      <c r="MZM44" s="14"/>
      <c r="MZN44" s="125"/>
      <c r="MZO44" s="125"/>
      <c r="MZP44" s="316"/>
      <c r="MZQ44" s="14"/>
      <c r="MZR44" s="125"/>
      <c r="MZS44" s="125"/>
      <c r="MZT44" s="316"/>
      <c r="MZU44" s="14"/>
      <c r="MZV44" s="125"/>
      <c r="MZW44" s="125"/>
      <c r="MZX44" s="316"/>
      <c r="MZY44" s="10"/>
      <c r="MZZ44" s="125"/>
      <c r="NAA44" s="125"/>
      <c r="NAB44" s="316"/>
      <c r="NAC44" s="14"/>
      <c r="NAD44" s="125"/>
      <c r="NAE44" s="125"/>
      <c r="NAF44" s="316"/>
      <c r="NAG44" s="14"/>
      <c r="NAH44" s="125"/>
      <c r="NAI44" s="125"/>
      <c r="NAJ44" s="316"/>
      <c r="NAK44" s="14"/>
      <c r="NAL44" s="125"/>
      <c r="NAM44" s="125"/>
      <c r="NAN44" s="316"/>
      <c r="NAO44" s="10"/>
      <c r="NAP44" s="125"/>
      <c r="NAQ44" s="125"/>
      <c r="NAR44" s="316"/>
      <c r="NAS44" s="14"/>
      <c r="NAT44" s="125"/>
      <c r="NAU44" s="125"/>
      <c r="NAV44" s="316"/>
      <c r="NAW44" s="14"/>
      <c r="NAX44" s="125"/>
      <c r="NAY44" s="125"/>
      <c r="NAZ44" s="316"/>
      <c r="NBA44" s="14"/>
      <c r="NBB44" s="125"/>
      <c r="NBC44" s="125"/>
      <c r="NBD44" s="316"/>
      <c r="NBE44" s="10"/>
      <c r="NBF44" s="125"/>
      <c r="NBG44" s="125"/>
      <c r="NBH44" s="316"/>
      <c r="NBI44" s="14"/>
      <c r="NBJ44" s="125"/>
      <c r="NBK44" s="125"/>
      <c r="NBL44" s="316"/>
      <c r="NBM44" s="14"/>
      <c r="NBN44" s="125"/>
      <c r="NBO44" s="125"/>
      <c r="NBP44" s="316"/>
      <c r="NBQ44" s="14"/>
      <c r="NBR44" s="125"/>
      <c r="NBS44" s="125"/>
      <c r="NBT44" s="316"/>
      <c r="NBU44" s="10"/>
      <c r="NBV44" s="125"/>
      <c r="NBW44" s="125"/>
      <c r="NBX44" s="316"/>
      <c r="NBY44" s="14"/>
      <c r="NBZ44" s="125"/>
      <c r="NCA44" s="125"/>
      <c r="NCB44" s="316"/>
      <c r="NCC44" s="14"/>
      <c r="NCD44" s="125"/>
      <c r="NCE44" s="125"/>
      <c r="NCF44" s="316"/>
      <c r="NCG44" s="14"/>
      <c r="NCH44" s="125"/>
      <c r="NCI44" s="125"/>
      <c r="NCJ44" s="316"/>
      <c r="NCK44" s="10"/>
      <c r="NCL44" s="125"/>
      <c r="NCM44" s="125"/>
      <c r="NCN44" s="316"/>
      <c r="NCO44" s="14"/>
      <c r="NCP44" s="125"/>
      <c r="NCQ44" s="125"/>
      <c r="NCR44" s="316"/>
      <c r="NCS44" s="14"/>
      <c r="NCT44" s="125"/>
      <c r="NCU44" s="125"/>
      <c r="NCV44" s="316"/>
      <c r="NCW44" s="14"/>
      <c r="NCX44" s="125"/>
      <c r="NCY44" s="125"/>
      <c r="NCZ44" s="316"/>
      <c r="NDA44" s="10"/>
      <c r="NDB44" s="125"/>
      <c r="NDC44" s="125"/>
      <c r="NDD44" s="316"/>
      <c r="NDE44" s="14"/>
      <c r="NDF44" s="125"/>
      <c r="NDG44" s="125"/>
      <c r="NDH44" s="316"/>
      <c r="NDI44" s="14"/>
      <c r="NDJ44" s="125"/>
      <c r="NDK44" s="125"/>
      <c r="NDL44" s="316"/>
      <c r="NDM44" s="14"/>
      <c r="NDN44" s="125"/>
      <c r="NDO44" s="125"/>
      <c r="NDP44" s="316"/>
      <c r="NDQ44" s="10"/>
      <c r="NDR44" s="125"/>
      <c r="NDS44" s="125"/>
      <c r="NDT44" s="316"/>
      <c r="NDU44" s="14"/>
      <c r="NDV44" s="125"/>
      <c r="NDW44" s="125"/>
      <c r="NDX44" s="316"/>
      <c r="NDY44" s="14"/>
      <c r="NDZ44" s="125"/>
      <c r="NEA44" s="125"/>
      <c r="NEB44" s="316"/>
      <c r="NEC44" s="14"/>
      <c r="NED44" s="125"/>
      <c r="NEE44" s="125"/>
      <c r="NEF44" s="316"/>
      <c r="NEG44" s="10"/>
      <c r="NEH44" s="125"/>
      <c r="NEI44" s="125"/>
      <c r="NEJ44" s="316"/>
      <c r="NEK44" s="14"/>
      <c r="NEL44" s="125"/>
      <c r="NEM44" s="125"/>
      <c r="NEN44" s="316"/>
      <c r="NEO44" s="14"/>
      <c r="NEP44" s="125"/>
      <c r="NEQ44" s="125"/>
      <c r="NER44" s="316"/>
      <c r="NES44" s="14"/>
      <c r="NET44" s="125"/>
      <c r="NEU44" s="125"/>
      <c r="NEV44" s="316"/>
      <c r="NEW44" s="10"/>
      <c r="NEX44" s="125"/>
      <c r="NEY44" s="125"/>
      <c r="NEZ44" s="316"/>
      <c r="NFA44" s="14"/>
      <c r="NFB44" s="125"/>
      <c r="NFC44" s="125"/>
      <c r="NFD44" s="316"/>
      <c r="NFE44" s="14"/>
      <c r="NFF44" s="125"/>
      <c r="NFG44" s="125"/>
      <c r="NFH44" s="316"/>
      <c r="NFI44" s="14"/>
      <c r="NFJ44" s="125"/>
      <c r="NFK44" s="125"/>
      <c r="NFL44" s="316"/>
      <c r="NFM44" s="10"/>
      <c r="NFN44" s="125"/>
      <c r="NFO44" s="125"/>
      <c r="NFP44" s="316"/>
      <c r="NFQ44" s="14"/>
      <c r="NFR44" s="125"/>
      <c r="NFS44" s="125"/>
      <c r="NFT44" s="316"/>
      <c r="NFU44" s="14"/>
      <c r="NFV44" s="125"/>
      <c r="NFW44" s="125"/>
      <c r="NFX44" s="316"/>
      <c r="NFY44" s="14"/>
      <c r="NFZ44" s="125"/>
      <c r="NGA44" s="125"/>
      <c r="NGB44" s="316"/>
      <c r="NGC44" s="10"/>
      <c r="NGD44" s="125"/>
      <c r="NGE44" s="125"/>
      <c r="NGF44" s="316"/>
      <c r="NGG44" s="14"/>
      <c r="NGH44" s="125"/>
      <c r="NGI44" s="125"/>
      <c r="NGJ44" s="316"/>
      <c r="NGK44" s="14"/>
      <c r="NGL44" s="125"/>
      <c r="NGM44" s="125"/>
      <c r="NGN44" s="316"/>
      <c r="NGO44" s="14"/>
      <c r="NGP44" s="125"/>
      <c r="NGQ44" s="125"/>
      <c r="NGR44" s="316"/>
      <c r="NGS44" s="10"/>
      <c r="NGT44" s="125"/>
      <c r="NGU44" s="125"/>
      <c r="NGV44" s="316"/>
      <c r="NGW44" s="14"/>
      <c r="NGX44" s="125"/>
      <c r="NGY44" s="125"/>
      <c r="NGZ44" s="316"/>
      <c r="NHA44" s="14"/>
      <c r="NHB44" s="125"/>
      <c r="NHC44" s="125"/>
      <c r="NHD44" s="316"/>
      <c r="NHE44" s="14"/>
      <c r="NHF44" s="125"/>
      <c r="NHG44" s="125"/>
      <c r="NHH44" s="316"/>
      <c r="NHI44" s="10"/>
      <c r="NHJ44" s="125"/>
      <c r="NHK44" s="125"/>
      <c r="NHL44" s="316"/>
      <c r="NHM44" s="14"/>
      <c r="NHN44" s="125"/>
      <c r="NHO44" s="125"/>
      <c r="NHP44" s="316"/>
      <c r="NHQ44" s="14"/>
      <c r="NHR44" s="125"/>
      <c r="NHS44" s="125"/>
      <c r="NHT44" s="316"/>
      <c r="NHU44" s="14"/>
      <c r="NHV44" s="125"/>
      <c r="NHW44" s="125"/>
      <c r="NHX44" s="316"/>
      <c r="NHY44" s="10"/>
      <c r="NHZ44" s="125"/>
      <c r="NIA44" s="125"/>
      <c r="NIB44" s="316"/>
      <c r="NIC44" s="14"/>
      <c r="NID44" s="125"/>
      <c r="NIE44" s="125"/>
      <c r="NIF44" s="316"/>
      <c r="NIG44" s="14"/>
      <c r="NIH44" s="125"/>
      <c r="NII44" s="125"/>
      <c r="NIJ44" s="316"/>
      <c r="NIK44" s="14"/>
      <c r="NIL44" s="125"/>
      <c r="NIM44" s="125"/>
      <c r="NIN44" s="316"/>
      <c r="NIO44" s="10"/>
      <c r="NIP44" s="125"/>
      <c r="NIQ44" s="125"/>
      <c r="NIR44" s="316"/>
      <c r="NIS44" s="14"/>
      <c r="NIT44" s="125"/>
      <c r="NIU44" s="125"/>
      <c r="NIV44" s="316"/>
      <c r="NIW44" s="14"/>
      <c r="NIX44" s="125"/>
      <c r="NIY44" s="125"/>
      <c r="NIZ44" s="316"/>
      <c r="NJA44" s="14"/>
      <c r="NJB44" s="125"/>
      <c r="NJC44" s="125"/>
      <c r="NJD44" s="316"/>
      <c r="NJE44" s="10"/>
      <c r="NJF44" s="125"/>
      <c r="NJG44" s="125"/>
      <c r="NJH44" s="316"/>
      <c r="NJI44" s="14"/>
      <c r="NJJ44" s="125"/>
      <c r="NJK44" s="125"/>
      <c r="NJL44" s="316"/>
      <c r="NJM44" s="14"/>
      <c r="NJN44" s="125"/>
      <c r="NJO44" s="125"/>
      <c r="NJP44" s="316"/>
      <c r="NJQ44" s="14"/>
      <c r="NJR44" s="125"/>
      <c r="NJS44" s="125"/>
      <c r="NJT44" s="316"/>
      <c r="NJU44" s="10"/>
      <c r="NJV44" s="125"/>
      <c r="NJW44" s="125"/>
      <c r="NJX44" s="316"/>
      <c r="NJY44" s="14"/>
      <c r="NJZ44" s="125"/>
      <c r="NKA44" s="125"/>
      <c r="NKB44" s="316"/>
      <c r="NKC44" s="14"/>
      <c r="NKD44" s="125"/>
      <c r="NKE44" s="125"/>
      <c r="NKF44" s="316"/>
      <c r="NKG44" s="14"/>
      <c r="NKH44" s="125"/>
      <c r="NKI44" s="125"/>
      <c r="NKJ44" s="316"/>
      <c r="NKK44" s="10"/>
      <c r="NKL44" s="125"/>
      <c r="NKM44" s="125"/>
      <c r="NKN44" s="316"/>
      <c r="NKO44" s="14"/>
      <c r="NKP44" s="125"/>
      <c r="NKQ44" s="125"/>
      <c r="NKR44" s="316"/>
      <c r="NKS44" s="14"/>
      <c r="NKT44" s="125"/>
      <c r="NKU44" s="125"/>
      <c r="NKV44" s="316"/>
      <c r="NKW44" s="14"/>
      <c r="NKX44" s="125"/>
      <c r="NKY44" s="125"/>
      <c r="NKZ44" s="316"/>
      <c r="NLA44" s="10"/>
      <c r="NLB44" s="125"/>
      <c r="NLC44" s="125"/>
      <c r="NLD44" s="316"/>
      <c r="NLE44" s="14"/>
      <c r="NLF44" s="125"/>
      <c r="NLG44" s="125"/>
      <c r="NLH44" s="316"/>
      <c r="NLI44" s="14"/>
      <c r="NLJ44" s="125"/>
      <c r="NLK44" s="125"/>
      <c r="NLL44" s="316"/>
      <c r="NLM44" s="14"/>
      <c r="NLN44" s="125"/>
      <c r="NLO44" s="125"/>
      <c r="NLP44" s="316"/>
      <c r="NLQ44" s="10"/>
      <c r="NLR44" s="125"/>
      <c r="NLS44" s="125"/>
      <c r="NLT44" s="316"/>
      <c r="NLU44" s="14"/>
      <c r="NLV44" s="125"/>
      <c r="NLW44" s="125"/>
      <c r="NLX44" s="316"/>
      <c r="NLY44" s="14"/>
      <c r="NLZ44" s="125"/>
      <c r="NMA44" s="125"/>
      <c r="NMB44" s="316"/>
      <c r="NMC44" s="14"/>
      <c r="NMD44" s="125"/>
      <c r="NME44" s="125"/>
      <c r="NMF44" s="316"/>
      <c r="NMG44" s="10"/>
      <c r="NMH44" s="125"/>
      <c r="NMI44" s="125"/>
      <c r="NMJ44" s="316"/>
      <c r="NMK44" s="14"/>
      <c r="NML44" s="125"/>
      <c r="NMM44" s="125"/>
      <c r="NMN44" s="316"/>
      <c r="NMO44" s="14"/>
      <c r="NMP44" s="125"/>
      <c r="NMQ44" s="125"/>
      <c r="NMR44" s="316"/>
      <c r="NMS44" s="14"/>
      <c r="NMT44" s="125"/>
      <c r="NMU44" s="125"/>
      <c r="NMV44" s="316"/>
      <c r="NMW44" s="10"/>
      <c r="NMX44" s="125"/>
      <c r="NMY44" s="125"/>
      <c r="NMZ44" s="316"/>
      <c r="NNA44" s="14"/>
      <c r="NNB44" s="125"/>
      <c r="NNC44" s="125"/>
      <c r="NND44" s="316"/>
      <c r="NNE44" s="14"/>
      <c r="NNF44" s="125"/>
      <c r="NNG44" s="125"/>
      <c r="NNH44" s="316"/>
      <c r="NNI44" s="14"/>
      <c r="NNJ44" s="125"/>
      <c r="NNK44" s="125"/>
      <c r="NNL44" s="316"/>
      <c r="NNM44" s="10"/>
      <c r="NNN44" s="125"/>
      <c r="NNO44" s="125"/>
      <c r="NNP44" s="316"/>
      <c r="NNQ44" s="14"/>
      <c r="NNR44" s="125"/>
      <c r="NNS44" s="125"/>
      <c r="NNT44" s="316"/>
      <c r="NNU44" s="14"/>
      <c r="NNV44" s="125"/>
      <c r="NNW44" s="125"/>
      <c r="NNX44" s="316"/>
      <c r="NNY44" s="14"/>
      <c r="NNZ44" s="125"/>
      <c r="NOA44" s="125"/>
      <c r="NOB44" s="316"/>
      <c r="NOC44" s="10"/>
      <c r="NOD44" s="125"/>
      <c r="NOE44" s="125"/>
      <c r="NOF44" s="316"/>
      <c r="NOG44" s="14"/>
      <c r="NOH44" s="125"/>
      <c r="NOI44" s="125"/>
      <c r="NOJ44" s="316"/>
      <c r="NOK44" s="14"/>
      <c r="NOL44" s="125"/>
      <c r="NOM44" s="125"/>
      <c r="NON44" s="316"/>
      <c r="NOO44" s="14"/>
      <c r="NOP44" s="125"/>
      <c r="NOQ44" s="125"/>
      <c r="NOR44" s="316"/>
      <c r="NOS44" s="10"/>
      <c r="NOT44" s="125"/>
      <c r="NOU44" s="125"/>
      <c r="NOV44" s="316"/>
      <c r="NOW44" s="14"/>
      <c r="NOX44" s="125"/>
      <c r="NOY44" s="125"/>
      <c r="NOZ44" s="316"/>
      <c r="NPA44" s="14"/>
      <c r="NPB44" s="125"/>
      <c r="NPC44" s="125"/>
      <c r="NPD44" s="316"/>
      <c r="NPE44" s="14"/>
      <c r="NPF44" s="125"/>
      <c r="NPG44" s="125"/>
      <c r="NPH44" s="316"/>
      <c r="NPI44" s="10"/>
      <c r="NPJ44" s="125"/>
      <c r="NPK44" s="125"/>
      <c r="NPL44" s="316"/>
      <c r="NPM44" s="14"/>
      <c r="NPN44" s="125"/>
      <c r="NPO44" s="125"/>
      <c r="NPP44" s="316"/>
      <c r="NPQ44" s="14"/>
      <c r="NPR44" s="125"/>
      <c r="NPS44" s="125"/>
      <c r="NPT44" s="316"/>
      <c r="NPU44" s="14"/>
      <c r="NPV44" s="125"/>
      <c r="NPW44" s="125"/>
      <c r="NPX44" s="316"/>
      <c r="NPY44" s="10"/>
      <c r="NPZ44" s="125"/>
      <c r="NQA44" s="125"/>
      <c r="NQB44" s="316"/>
      <c r="NQC44" s="14"/>
      <c r="NQD44" s="125"/>
      <c r="NQE44" s="125"/>
      <c r="NQF44" s="316"/>
      <c r="NQG44" s="14"/>
      <c r="NQH44" s="125"/>
      <c r="NQI44" s="125"/>
      <c r="NQJ44" s="316"/>
      <c r="NQK44" s="14"/>
      <c r="NQL44" s="125"/>
      <c r="NQM44" s="125"/>
      <c r="NQN44" s="316"/>
      <c r="NQO44" s="10"/>
      <c r="NQP44" s="125"/>
      <c r="NQQ44" s="125"/>
      <c r="NQR44" s="316"/>
      <c r="NQS44" s="14"/>
      <c r="NQT44" s="125"/>
      <c r="NQU44" s="125"/>
      <c r="NQV44" s="316"/>
      <c r="NQW44" s="14"/>
      <c r="NQX44" s="125"/>
      <c r="NQY44" s="125"/>
      <c r="NQZ44" s="316"/>
      <c r="NRA44" s="14"/>
      <c r="NRB44" s="125"/>
      <c r="NRC44" s="125"/>
      <c r="NRD44" s="316"/>
      <c r="NRE44" s="10"/>
      <c r="NRF44" s="125"/>
      <c r="NRG44" s="125"/>
      <c r="NRH44" s="316"/>
      <c r="NRI44" s="14"/>
      <c r="NRJ44" s="125"/>
      <c r="NRK44" s="125"/>
      <c r="NRL44" s="316"/>
      <c r="NRM44" s="14"/>
      <c r="NRN44" s="125"/>
      <c r="NRO44" s="125"/>
      <c r="NRP44" s="316"/>
      <c r="NRQ44" s="14"/>
      <c r="NRR44" s="125"/>
      <c r="NRS44" s="125"/>
      <c r="NRT44" s="316"/>
      <c r="NRU44" s="10"/>
      <c r="NRV44" s="125"/>
      <c r="NRW44" s="125"/>
      <c r="NRX44" s="316"/>
      <c r="NRY44" s="14"/>
      <c r="NRZ44" s="125"/>
      <c r="NSA44" s="125"/>
      <c r="NSB44" s="316"/>
      <c r="NSC44" s="14"/>
      <c r="NSD44" s="125"/>
      <c r="NSE44" s="125"/>
      <c r="NSF44" s="316"/>
      <c r="NSG44" s="14"/>
      <c r="NSH44" s="125"/>
      <c r="NSI44" s="125"/>
      <c r="NSJ44" s="316"/>
      <c r="NSK44" s="10"/>
      <c r="NSL44" s="125"/>
      <c r="NSM44" s="125"/>
      <c r="NSN44" s="316"/>
      <c r="NSO44" s="14"/>
      <c r="NSP44" s="125"/>
      <c r="NSQ44" s="125"/>
      <c r="NSR44" s="316"/>
      <c r="NSS44" s="14"/>
      <c r="NST44" s="125"/>
      <c r="NSU44" s="125"/>
      <c r="NSV44" s="316"/>
      <c r="NSW44" s="14"/>
      <c r="NSX44" s="125"/>
      <c r="NSY44" s="125"/>
      <c r="NSZ44" s="316"/>
      <c r="NTA44" s="10"/>
      <c r="NTB44" s="125"/>
      <c r="NTC44" s="125"/>
      <c r="NTD44" s="316"/>
      <c r="NTE44" s="14"/>
      <c r="NTF44" s="125"/>
      <c r="NTG44" s="125"/>
      <c r="NTH44" s="316"/>
      <c r="NTI44" s="14"/>
      <c r="NTJ44" s="125"/>
      <c r="NTK44" s="125"/>
      <c r="NTL44" s="316"/>
      <c r="NTM44" s="14"/>
      <c r="NTN44" s="125"/>
      <c r="NTO44" s="125"/>
      <c r="NTP44" s="316"/>
      <c r="NTQ44" s="10"/>
      <c r="NTR44" s="125"/>
      <c r="NTS44" s="125"/>
      <c r="NTT44" s="316"/>
      <c r="NTU44" s="14"/>
      <c r="NTV44" s="125"/>
      <c r="NTW44" s="125"/>
      <c r="NTX44" s="316"/>
      <c r="NTY44" s="14"/>
      <c r="NTZ44" s="125"/>
      <c r="NUA44" s="125"/>
      <c r="NUB44" s="316"/>
      <c r="NUC44" s="14"/>
      <c r="NUD44" s="125"/>
      <c r="NUE44" s="125"/>
      <c r="NUF44" s="316"/>
      <c r="NUG44" s="10"/>
      <c r="NUH44" s="125"/>
      <c r="NUI44" s="125"/>
      <c r="NUJ44" s="316"/>
      <c r="NUK44" s="14"/>
      <c r="NUL44" s="125"/>
      <c r="NUM44" s="125"/>
      <c r="NUN44" s="316"/>
      <c r="NUO44" s="14"/>
      <c r="NUP44" s="125"/>
      <c r="NUQ44" s="125"/>
      <c r="NUR44" s="316"/>
      <c r="NUS44" s="14"/>
      <c r="NUT44" s="125"/>
      <c r="NUU44" s="125"/>
      <c r="NUV44" s="316"/>
      <c r="NUW44" s="10"/>
      <c r="NUX44" s="125"/>
      <c r="NUY44" s="125"/>
      <c r="NUZ44" s="316"/>
      <c r="NVA44" s="14"/>
      <c r="NVB44" s="125"/>
      <c r="NVC44" s="125"/>
      <c r="NVD44" s="316"/>
      <c r="NVE44" s="14"/>
      <c r="NVF44" s="125"/>
      <c r="NVG44" s="125"/>
      <c r="NVH44" s="316"/>
      <c r="NVI44" s="14"/>
      <c r="NVJ44" s="125"/>
      <c r="NVK44" s="125"/>
      <c r="NVL44" s="316"/>
      <c r="NVM44" s="10"/>
      <c r="NVN44" s="125"/>
      <c r="NVO44" s="125"/>
      <c r="NVP44" s="316"/>
      <c r="NVQ44" s="14"/>
      <c r="NVR44" s="125"/>
      <c r="NVS44" s="125"/>
      <c r="NVT44" s="316"/>
      <c r="NVU44" s="14"/>
      <c r="NVV44" s="125"/>
      <c r="NVW44" s="125"/>
      <c r="NVX44" s="316"/>
      <c r="NVY44" s="14"/>
      <c r="NVZ44" s="125"/>
      <c r="NWA44" s="125"/>
      <c r="NWB44" s="316"/>
      <c r="NWC44" s="10"/>
      <c r="NWD44" s="125"/>
      <c r="NWE44" s="125"/>
      <c r="NWF44" s="316"/>
      <c r="NWG44" s="14"/>
      <c r="NWH44" s="125"/>
      <c r="NWI44" s="125"/>
      <c r="NWJ44" s="316"/>
      <c r="NWK44" s="14"/>
      <c r="NWL44" s="125"/>
      <c r="NWM44" s="125"/>
      <c r="NWN44" s="316"/>
      <c r="NWO44" s="14"/>
      <c r="NWP44" s="125"/>
      <c r="NWQ44" s="125"/>
      <c r="NWR44" s="316"/>
      <c r="NWS44" s="10"/>
      <c r="NWT44" s="125"/>
      <c r="NWU44" s="125"/>
      <c r="NWV44" s="316"/>
      <c r="NWW44" s="14"/>
      <c r="NWX44" s="125"/>
      <c r="NWY44" s="125"/>
      <c r="NWZ44" s="316"/>
      <c r="NXA44" s="14"/>
      <c r="NXB44" s="125"/>
      <c r="NXC44" s="125"/>
      <c r="NXD44" s="316"/>
      <c r="NXE44" s="14"/>
      <c r="NXF44" s="125"/>
      <c r="NXG44" s="125"/>
      <c r="NXH44" s="316"/>
      <c r="NXI44" s="10"/>
      <c r="NXJ44" s="125"/>
      <c r="NXK44" s="125"/>
      <c r="NXL44" s="316"/>
      <c r="NXM44" s="14"/>
      <c r="NXN44" s="125"/>
      <c r="NXO44" s="125"/>
      <c r="NXP44" s="316"/>
      <c r="NXQ44" s="14"/>
      <c r="NXR44" s="125"/>
      <c r="NXS44" s="125"/>
      <c r="NXT44" s="316"/>
      <c r="NXU44" s="14"/>
      <c r="NXV44" s="125"/>
      <c r="NXW44" s="125"/>
      <c r="NXX44" s="316"/>
      <c r="NXY44" s="10"/>
      <c r="NXZ44" s="125"/>
      <c r="NYA44" s="125"/>
      <c r="NYB44" s="316"/>
      <c r="NYC44" s="14"/>
      <c r="NYD44" s="125"/>
      <c r="NYE44" s="125"/>
      <c r="NYF44" s="316"/>
      <c r="NYG44" s="14"/>
      <c r="NYH44" s="125"/>
      <c r="NYI44" s="125"/>
      <c r="NYJ44" s="316"/>
      <c r="NYK44" s="14"/>
      <c r="NYL44" s="125"/>
      <c r="NYM44" s="125"/>
      <c r="NYN44" s="316"/>
      <c r="NYO44" s="10"/>
      <c r="NYP44" s="125"/>
      <c r="NYQ44" s="125"/>
      <c r="NYR44" s="316"/>
      <c r="NYS44" s="14"/>
      <c r="NYT44" s="125"/>
      <c r="NYU44" s="125"/>
      <c r="NYV44" s="316"/>
      <c r="NYW44" s="14"/>
      <c r="NYX44" s="125"/>
      <c r="NYY44" s="125"/>
      <c r="NYZ44" s="316"/>
      <c r="NZA44" s="14"/>
      <c r="NZB44" s="125"/>
      <c r="NZC44" s="125"/>
      <c r="NZD44" s="316"/>
      <c r="NZE44" s="10"/>
      <c r="NZF44" s="125"/>
      <c r="NZG44" s="125"/>
      <c r="NZH44" s="316"/>
      <c r="NZI44" s="14"/>
      <c r="NZJ44" s="125"/>
      <c r="NZK44" s="125"/>
      <c r="NZL44" s="316"/>
      <c r="NZM44" s="14"/>
      <c r="NZN44" s="125"/>
      <c r="NZO44" s="125"/>
      <c r="NZP44" s="316"/>
      <c r="NZQ44" s="14"/>
      <c r="NZR44" s="125"/>
      <c r="NZS44" s="125"/>
      <c r="NZT44" s="316"/>
      <c r="NZU44" s="10"/>
      <c r="NZV44" s="125"/>
      <c r="NZW44" s="125"/>
      <c r="NZX44" s="316"/>
      <c r="NZY44" s="14"/>
      <c r="NZZ44" s="125"/>
      <c r="OAA44" s="125"/>
      <c r="OAB44" s="316"/>
      <c r="OAC44" s="14"/>
      <c r="OAD44" s="125"/>
      <c r="OAE44" s="125"/>
      <c r="OAF44" s="316"/>
      <c r="OAG44" s="14"/>
      <c r="OAH44" s="125"/>
      <c r="OAI44" s="125"/>
      <c r="OAJ44" s="316"/>
      <c r="OAK44" s="10"/>
      <c r="OAL44" s="125"/>
      <c r="OAM44" s="125"/>
      <c r="OAN44" s="316"/>
      <c r="OAO44" s="14"/>
      <c r="OAP44" s="125"/>
      <c r="OAQ44" s="125"/>
      <c r="OAR44" s="316"/>
      <c r="OAS44" s="14"/>
      <c r="OAT44" s="125"/>
      <c r="OAU44" s="125"/>
      <c r="OAV44" s="316"/>
      <c r="OAW44" s="14"/>
      <c r="OAX44" s="125"/>
      <c r="OAY44" s="125"/>
      <c r="OAZ44" s="316"/>
      <c r="OBA44" s="10"/>
      <c r="OBB44" s="125"/>
      <c r="OBC44" s="125"/>
      <c r="OBD44" s="316"/>
      <c r="OBE44" s="14"/>
      <c r="OBF44" s="125"/>
      <c r="OBG44" s="125"/>
      <c r="OBH44" s="316"/>
      <c r="OBI44" s="14"/>
      <c r="OBJ44" s="125"/>
      <c r="OBK44" s="125"/>
      <c r="OBL44" s="316"/>
      <c r="OBM44" s="14"/>
      <c r="OBN44" s="125"/>
      <c r="OBO44" s="125"/>
      <c r="OBP44" s="316"/>
      <c r="OBQ44" s="10"/>
      <c r="OBR44" s="125"/>
      <c r="OBS44" s="125"/>
      <c r="OBT44" s="316"/>
      <c r="OBU44" s="14"/>
      <c r="OBV44" s="125"/>
      <c r="OBW44" s="125"/>
      <c r="OBX44" s="316"/>
      <c r="OBY44" s="14"/>
      <c r="OBZ44" s="125"/>
      <c r="OCA44" s="125"/>
      <c r="OCB44" s="316"/>
      <c r="OCC44" s="14"/>
      <c r="OCD44" s="125"/>
      <c r="OCE44" s="125"/>
      <c r="OCF44" s="316"/>
      <c r="OCG44" s="10"/>
      <c r="OCH44" s="125"/>
      <c r="OCI44" s="125"/>
      <c r="OCJ44" s="316"/>
      <c r="OCK44" s="14"/>
      <c r="OCL44" s="125"/>
      <c r="OCM44" s="125"/>
      <c r="OCN44" s="316"/>
      <c r="OCO44" s="14"/>
      <c r="OCP44" s="125"/>
      <c r="OCQ44" s="125"/>
      <c r="OCR44" s="316"/>
      <c r="OCS44" s="14"/>
      <c r="OCT44" s="125"/>
      <c r="OCU44" s="125"/>
      <c r="OCV44" s="316"/>
      <c r="OCW44" s="10"/>
      <c r="OCX44" s="125"/>
      <c r="OCY44" s="125"/>
      <c r="OCZ44" s="316"/>
      <c r="ODA44" s="14"/>
      <c r="ODB44" s="125"/>
      <c r="ODC44" s="125"/>
      <c r="ODD44" s="316"/>
      <c r="ODE44" s="14"/>
      <c r="ODF44" s="125"/>
      <c r="ODG44" s="125"/>
      <c r="ODH44" s="316"/>
      <c r="ODI44" s="14"/>
      <c r="ODJ44" s="125"/>
      <c r="ODK44" s="125"/>
      <c r="ODL44" s="316"/>
      <c r="ODM44" s="10"/>
      <c r="ODN44" s="125"/>
      <c r="ODO44" s="125"/>
      <c r="ODP44" s="316"/>
      <c r="ODQ44" s="14"/>
      <c r="ODR44" s="125"/>
      <c r="ODS44" s="125"/>
      <c r="ODT44" s="316"/>
      <c r="ODU44" s="14"/>
      <c r="ODV44" s="125"/>
      <c r="ODW44" s="125"/>
      <c r="ODX44" s="316"/>
      <c r="ODY44" s="14"/>
      <c r="ODZ44" s="125"/>
      <c r="OEA44" s="125"/>
      <c r="OEB44" s="316"/>
      <c r="OEC44" s="10"/>
      <c r="OED44" s="125"/>
      <c r="OEE44" s="125"/>
      <c r="OEF44" s="316"/>
      <c r="OEG44" s="14"/>
      <c r="OEH44" s="125"/>
      <c r="OEI44" s="125"/>
      <c r="OEJ44" s="316"/>
      <c r="OEK44" s="14"/>
      <c r="OEL44" s="125"/>
      <c r="OEM44" s="125"/>
      <c r="OEN44" s="316"/>
      <c r="OEO44" s="14"/>
      <c r="OEP44" s="125"/>
      <c r="OEQ44" s="125"/>
      <c r="OER44" s="316"/>
      <c r="OES44" s="10"/>
      <c r="OET44" s="125"/>
      <c r="OEU44" s="125"/>
      <c r="OEV44" s="316"/>
      <c r="OEW44" s="14"/>
      <c r="OEX44" s="125"/>
      <c r="OEY44" s="125"/>
      <c r="OEZ44" s="316"/>
      <c r="OFA44" s="14"/>
      <c r="OFB44" s="125"/>
      <c r="OFC44" s="125"/>
      <c r="OFD44" s="316"/>
      <c r="OFE44" s="14"/>
      <c r="OFF44" s="125"/>
      <c r="OFG44" s="125"/>
      <c r="OFH44" s="316"/>
      <c r="OFI44" s="10"/>
      <c r="OFJ44" s="125"/>
      <c r="OFK44" s="125"/>
      <c r="OFL44" s="316"/>
      <c r="OFM44" s="14"/>
      <c r="OFN44" s="125"/>
      <c r="OFO44" s="125"/>
      <c r="OFP44" s="316"/>
      <c r="OFQ44" s="14"/>
      <c r="OFR44" s="125"/>
      <c r="OFS44" s="125"/>
      <c r="OFT44" s="316"/>
      <c r="OFU44" s="14"/>
      <c r="OFV44" s="125"/>
      <c r="OFW44" s="125"/>
      <c r="OFX44" s="316"/>
      <c r="OFY44" s="10"/>
      <c r="OFZ44" s="125"/>
      <c r="OGA44" s="125"/>
      <c r="OGB44" s="316"/>
      <c r="OGC44" s="14"/>
      <c r="OGD44" s="125"/>
      <c r="OGE44" s="125"/>
      <c r="OGF44" s="316"/>
      <c r="OGG44" s="14"/>
      <c r="OGH44" s="125"/>
      <c r="OGI44" s="125"/>
      <c r="OGJ44" s="316"/>
      <c r="OGK44" s="14"/>
      <c r="OGL44" s="125"/>
      <c r="OGM44" s="125"/>
      <c r="OGN44" s="316"/>
      <c r="OGO44" s="10"/>
      <c r="OGP44" s="125"/>
      <c r="OGQ44" s="125"/>
      <c r="OGR44" s="316"/>
      <c r="OGS44" s="14"/>
      <c r="OGT44" s="125"/>
      <c r="OGU44" s="125"/>
      <c r="OGV44" s="316"/>
      <c r="OGW44" s="14"/>
      <c r="OGX44" s="125"/>
      <c r="OGY44" s="125"/>
      <c r="OGZ44" s="316"/>
      <c r="OHA44" s="14"/>
      <c r="OHB44" s="125"/>
      <c r="OHC44" s="125"/>
      <c r="OHD44" s="316"/>
      <c r="OHE44" s="10"/>
      <c r="OHF44" s="125"/>
      <c r="OHG44" s="125"/>
      <c r="OHH44" s="316"/>
      <c r="OHI44" s="14"/>
      <c r="OHJ44" s="125"/>
      <c r="OHK44" s="125"/>
      <c r="OHL44" s="316"/>
      <c r="OHM44" s="14"/>
      <c r="OHN44" s="125"/>
      <c r="OHO44" s="125"/>
      <c r="OHP44" s="316"/>
      <c r="OHQ44" s="14"/>
      <c r="OHR44" s="125"/>
      <c r="OHS44" s="125"/>
      <c r="OHT44" s="316"/>
      <c r="OHU44" s="10"/>
      <c r="OHV44" s="125"/>
      <c r="OHW44" s="125"/>
      <c r="OHX44" s="316"/>
      <c r="OHY44" s="14"/>
      <c r="OHZ44" s="125"/>
      <c r="OIA44" s="125"/>
      <c r="OIB44" s="316"/>
      <c r="OIC44" s="14"/>
      <c r="OID44" s="125"/>
      <c r="OIE44" s="125"/>
      <c r="OIF44" s="316"/>
      <c r="OIG44" s="14"/>
      <c r="OIH44" s="125"/>
      <c r="OII44" s="125"/>
      <c r="OIJ44" s="316"/>
      <c r="OIK44" s="10"/>
      <c r="OIL44" s="125"/>
      <c r="OIM44" s="125"/>
      <c r="OIN44" s="316"/>
      <c r="OIO44" s="14"/>
      <c r="OIP44" s="125"/>
      <c r="OIQ44" s="125"/>
      <c r="OIR44" s="316"/>
      <c r="OIS44" s="14"/>
      <c r="OIT44" s="125"/>
      <c r="OIU44" s="125"/>
      <c r="OIV44" s="316"/>
      <c r="OIW44" s="14"/>
      <c r="OIX44" s="125"/>
      <c r="OIY44" s="125"/>
      <c r="OIZ44" s="316"/>
      <c r="OJA44" s="10"/>
      <c r="OJB44" s="125"/>
      <c r="OJC44" s="125"/>
      <c r="OJD44" s="316"/>
      <c r="OJE44" s="14"/>
      <c r="OJF44" s="125"/>
      <c r="OJG44" s="125"/>
      <c r="OJH44" s="316"/>
      <c r="OJI44" s="14"/>
      <c r="OJJ44" s="125"/>
      <c r="OJK44" s="125"/>
      <c r="OJL44" s="316"/>
      <c r="OJM44" s="14"/>
      <c r="OJN44" s="125"/>
      <c r="OJO44" s="125"/>
      <c r="OJP44" s="316"/>
      <c r="OJQ44" s="10"/>
      <c r="OJR44" s="125"/>
      <c r="OJS44" s="125"/>
      <c r="OJT44" s="316"/>
      <c r="OJU44" s="14"/>
      <c r="OJV44" s="125"/>
      <c r="OJW44" s="125"/>
      <c r="OJX44" s="316"/>
      <c r="OJY44" s="14"/>
      <c r="OJZ44" s="125"/>
      <c r="OKA44" s="125"/>
      <c r="OKB44" s="316"/>
      <c r="OKC44" s="14"/>
      <c r="OKD44" s="125"/>
      <c r="OKE44" s="125"/>
      <c r="OKF44" s="316"/>
      <c r="OKG44" s="10"/>
      <c r="OKH44" s="125"/>
      <c r="OKI44" s="125"/>
      <c r="OKJ44" s="316"/>
      <c r="OKK44" s="14"/>
      <c r="OKL44" s="125"/>
      <c r="OKM44" s="125"/>
      <c r="OKN44" s="316"/>
      <c r="OKO44" s="14"/>
      <c r="OKP44" s="125"/>
      <c r="OKQ44" s="125"/>
      <c r="OKR44" s="316"/>
      <c r="OKS44" s="14"/>
      <c r="OKT44" s="125"/>
      <c r="OKU44" s="125"/>
      <c r="OKV44" s="316"/>
      <c r="OKW44" s="10"/>
      <c r="OKX44" s="125"/>
      <c r="OKY44" s="125"/>
      <c r="OKZ44" s="316"/>
      <c r="OLA44" s="14"/>
      <c r="OLB44" s="125"/>
      <c r="OLC44" s="125"/>
      <c r="OLD44" s="316"/>
      <c r="OLE44" s="14"/>
      <c r="OLF44" s="125"/>
      <c r="OLG44" s="125"/>
      <c r="OLH44" s="316"/>
      <c r="OLI44" s="14"/>
      <c r="OLJ44" s="125"/>
      <c r="OLK44" s="125"/>
      <c r="OLL44" s="316"/>
      <c r="OLM44" s="10"/>
      <c r="OLN44" s="125"/>
      <c r="OLO44" s="125"/>
      <c r="OLP44" s="316"/>
      <c r="OLQ44" s="14"/>
      <c r="OLR44" s="125"/>
      <c r="OLS44" s="125"/>
      <c r="OLT44" s="316"/>
      <c r="OLU44" s="14"/>
      <c r="OLV44" s="125"/>
      <c r="OLW44" s="125"/>
      <c r="OLX44" s="316"/>
      <c r="OLY44" s="14"/>
      <c r="OLZ44" s="125"/>
      <c r="OMA44" s="125"/>
      <c r="OMB44" s="316"/>
      <c r="OMC44" s="10"/>
      <c r="OMD44" s="125"/>
      <c r="OME44" s="125"/>
      <c r="OMF44" s="316"/>
      <c r="OMG44" s="14"/>
      <c r="OMH44" s="125"/>
      <c r="OMI44" s="125"/>
      <c r="OMJ44" s="316"/>
      <c r="OMK44" s="14"/>
      <c r="OML44" s="125"/>
      <c r="OMM44" s="125"/>
      <c r="OMN44" s="316"/>
      <c r="OMO44" s="14"/>
      <c r="OMP44" s="125"/>
      <c r="OMQ44" s="125"/>
      <c r="OMR44" s="316"/>
      <c r="OMS44" s="10"/>
      <c r="OMT44" s="125"/>
      <c r="OMU44" s="125"/>
      <c r="OMV44" s="316"/>
      <c r="OMW44" s="14"/>
      <c r="OMX44" s="125"/>
      <c r="OMY44" s="125"/>
      <c r="OMZ44" s="316"/>
      <c r="ONA44" s="14"/>
      <c r="ONB44" s="125"/>
      <c r="ONC44" s="125"/>
      <c r="OND44" s="316"/>
      <c r="ONE44" s="14"/>
      <c r="ONF44" s="125"/>
      <c r="ONG44" s="125"/>
      <c r="ONH44" s="316"/>
      <c r="ONI44" s="10"/>
      <c r="ONJ44" s="125"/>
      <c r="ONK44" s="125"/>
      <c r="ONL44" s="316"/>
      <c r="ONM44" s="14"/>
      <c r="ONN44" s="125"/>
      <c r="ONO44" s="125"/>
      <c r="ONP44" s="316"/>
      <c r="ONQ44" s="14"/>
      <c r="ONR44" s="125"/>
      <c r="ONS44" s="125"/>
      <c r="ONT44" s="316"/>
      <c r="ONU44" s="14"/>
      <c r="ONV44" s="125"/>
      <c r="ONW44" s="125"/>
      <c r="ONX44" s="316"/>
      <c r="ONY44" s="10"/>
      <c r="ONZ44" s="125"/>
      <c r="OOA44" s="125"/>
      <c r="OOB44" s="316"/>
      <c r="OOC44" s="14"/>
      <c r="OOD44" s="125"/>
      <c r="OOE44" s="125"/>
      <c r="OOF44" s="316"/>
      <c r="OOG44" s="14"/>
      <c r="OOH44" s="125"/>
      <c r="OOI44" s="125"/>
      <c r="OOJ44" s="316"/>
      <c r="OOK44" s="14"/>
      <c r="OOL44" s="125"/>
      <c r="OOM44" s="125"/>
      <c r="OON44" s="316"/>
      <c r="OOO44" s="10"/>
      <c r="OOP44" s="125"/>
      <c r="OOQ44" s="125"/>
      <c r="OOR44" s="316"/>
      <c r="OOS44" s="14"/>
      <c r="OOT44" s="125"/>
      <c r="OOU44" s="125"/>
      <c r="OOV44" s="316"/>
      <c r="OOW44" s="14"/>
      <c r="OOX44" s="125"/>
      <c r="OOY44" s="125"/>
      <c r="OOZ44" s="316"/>
      <c r="OPA44" s="14"/>
      <c r="OPB44" s="125"/>
      <c r="OPC44" s="125"/>
      <c r="OPD44" s="316"/>
      <c r="OPE44" s="10"/>
      <c r="OPF44" s="125"/>
      <c r="OPG44" s="125"/>
      <c r="OPH44" s="316"/>
      <c r="OPI44" s="14"/>
      <c r="OPJ44" s="125"/>
      <c r="OPK44" s="125"/>
      <c r="OPL44" s="316"/>
      <c r="OPM44" s="14"/>
      <c r="OPN44" s="125"/>
      <c r="OPO44" s="125"/>
      <c r="OPP44" s="316"/>
      <c r="OPQ44" s="14"/>
      <c r="OPR44" s="125"/>
      <c r="OPS44" s="125"/>
      <c r="OPT44" s="316"/>
      <c r="OPU44" s="10"/>
      <c r="OPV44" s="125"/>
      <c r="OPW44" s="125"/>
      <c r="OPX44" s="316"/>
      <c r="OPY44" s="14"/>
      <c r="OPZ44" s="125"/>
      <c r="OQA44" s="125"/>
      <c r="OQB44" s="316"/>
      <c r="OQC44" s="14"/>
      <c r="OQD44" s="125"/>
      <c r="OQE44" s="125"/>
      <c r="OQF44" s="316"/>
      <c r="OQG44" s="14"/>
      <c r="OQH44" s="125"/>
      <c r="OQI44" s="125"/>
      <c r="OQJ44" s="316"/>
      <c r="OQK44" s="10"/>
      <c r="OQL44" s="125"/>
      <c r="OQM44" s="125"/>
      <c r="OQN44" s="316"/>
      <c r="OQO44" s="14"/>
      <c r="OQP44" s="125"/>
      <c r="OQQ44" s="125"/>
      <c r="OQR44" s="316"/>
      <c r="OQS44" s="14"/>
      <c r="OQT44" s="125"/>
      <c r="OQU44" s="125"/>
      <c r="OQV44" s="316"/>
      <c r="OQW44" s="14"/>
      <c r="OQX44" s="125"/>
      <c r="OQY44" s="125"/>
      <c r="OQZ44" s="316"/>
      <c r="ORA44" s="10"/>
      <c r="ORB44" s="125"/>
      <c r="ORC44" s="125"/>
      <c r="ORD44" s="316"/>
      <c r="ORE44" s="14"/>
      <c r="ORF44" s="125"/>
      <c r="ORG44" s="125"/>
      <c r="ORH44" s="316"/>
      <c r="ORI44" s="14"/>
      <c r="ORJ44" s="125"/>
      <c r="ORK44" s="125"/>
      <c r="ORL44" s="316"/>
      <c r="ORM44" s="14"/>
      <c r="ORN44" s="125"/>
      <c r="ORO44" s="125"/>
      <c r="ORP44" s="316"/>
      <c r="ORQ44" s="10"/>
      <c r="ORR44" s="125"/>
      <c r="ORS44" s="125"/>
      <c r="ORT44" s="316"/>
      <c r="ORU44" s="14"/>
      <c r="ORV44" s="125"/>
      <c r="ORW44" s="125"/>
      <c r="ORX44" s="316"/>
      <c r="ORY44" s="14"/>
      <c r="ORZ44" s="125"/>
      <c r="OSA44" s="125"/>
      <c r="OSB44" s="316"/>
      <c r="OSC44" s="14"/>
      <c r="OSD44" s="125"/>
      <c r="OSE44" s="125"/>
      <c r="OSF44" s="316"/>
      <c r="OSG44" s="10"/>
      <c r="OSH44" s="125"/>
      <c r="OSI44" s="125"/>
      <c r="OSJ44" s="316"/>
      <c r="OSK44" s="14"/>
      <c r="OSL44" s="125"/>
      <c r="OSM44" s="125"/>
      <c r="OSN44" s="316"/>
      <c r="OSO44" s="14"/>
      <c r="OSP44" s="125"/>
      <c r="OSQ44" s="125"/>
      <c r="OSR44" s="316"/>
      <c r="OSS44" s="14"/>
      <c r="OST44" s="125"/>
      <c r="OSU44" s="125"/>
      <c r="OSV44" s="316"/>
      <c r="OSW44" s="10"/>
      <c r="OSX44" s="125"/>
      <c r="OSY44" s="125"/>
      <c r="OSZ44" s="316"/>
      <c r="OTA44" s="14"/>
      <c r="OTB44" s="125"/>
      <c r="OTC44" s="125"/>
      <c r="OTD44" s="316"/>
      <c r="OTE44" s="14"/>
      <c r="OTF44" s="125"/>
      <c r="OTG44" s="125"/>
      <c r="OTH44" s="316"/>
      <c r="OTI44" s="14"/>
      <c r="OTJ44" s="125"/>
      <c r="OTK44" s="125"/>
      <c r="OTL44" s="316"/>
      <c r="OTM44" s="10"/>
      <c r="OTN44" s="125"/>
      <c r="OTO44" s="125"/>
      <c r="OTP44" s="316"/>
      <c r="OTQ44" s="14"/>
      <c r="OTR44" s="125"/>
      <c r="OTS44" s="125"/>
      <c r="OTT44" s="316"/>
      <c r="OTU44" s="14"/>
      <c r="OTV44" s="125"/>
      <c r="OTW44" s="125"/>
      <c r="OTX44" s="316"/>
      <c r="OTY44" s="14"/>
      <c r="OTZ44" s="125"/>
      <c r="OUA44" s="125"/>
      <c r="OUB44" s="316"/>
      <c r="OUC44" s="10"/>
      <c r="OUD44" s="125"/>
      <c r="OUE44" s="125"/>
      <c r="OUF44" s="316"/>
      <c r="OUG44" s="14"/>
      <c r="OUH44" s="125"/>
      <c r="OUI44" s="125"/>
      <c r="OUJ44" s="316"/>
      <c r="OUK44" s="14"/>
      <c r="OUL44" s="125"/>
      <c r="OUM44" s="125"/>
      <c r="OUN44" s="316"/>
      <c r="OUO44" s="14"/>
      <c r="OUP44" s="125"/>
      <c r="OUQ44" s="125"/>
      <c r="OUR44" s="316"/>
      <c r="OUS44" s="10"/>
      <c r="OUT44" s="125"/>
      <c r="OUU44" s="125"/>
      <c r="OUV44" s="316"/>
      <c r="OUW44" s="14"/>
      <c r="OUX44" s="125"/>
      <c r="OUY44" s="125"/>
      <c r="OUZ44" s="316"/>
      <c r="OVA44" s="14"/>
      <c r="OVB44" s="125"/>
      <c r="OVC44" s="125"/>
      <c r="OVD44" s="316"/>
      <c r="OVE44" s="14"/>
      <c r="OVF44" s="125"/>
      <c r="OVG44" s="125"/>
      <c r="OVH44" s="316"/>
      <c r="OVI44" s="10"/>
      <c r="OVJ44" s="125"/>
      <c r="OVK44" s="125"/>
      <c r="OVL44" s="316"/>
      <c r="OVM44" s="14"/>
      <c r="OVN44" s="125"/>
      <c r="OVO44" s="125"/>
      <c r="OVP44" s="316"/>
      <c r="OVQ44" s="14"/>
      <c r="OVR44" s="125"/>
      <c r="OVS44" s="125"/>
      <c r="OVT44" s="316"/>
      <c r="OVU44" s="14"/>
      <c r="OVV44" s="125"/>
      <c r="OVW44" s="125"/>
      <c r="OVX44" s="316"/>
      <c r="OVY44" s="10"/>
      <c r="OVZ44" s="125"/>
      <c r="OWA44" s="125"/>
      <c r="OWB44" s="316"/>
      <c r="OWC44" s="14"/>
      <c r="OWD44" s="125"/>
      <c r="OWE44" s="125"/>
      <c r="OWF44" s="316"/>
      <c r="OWG44" s="14"/>
      <c r="OWH44" s="125"/>
      <c r="OWI44" s="125"/>
      <c r="OWJ44" s="316"/>
      <c r="OWK44" s="14"/>
      <c r="OWL44" s="125"/>
      <c r="OWM44" s="125"/>
      <c r="OWN44" s="316"/>
      <c r="OWO44" s="10"/>
      <c r="OWP44" s="125"/>
      <c r="OWQ44" s="125"/>
      <c r="OWR44" s="316"/>
      <c r="OWS44" s="14"/>
      <c r="OWT44" s="125"/>
      <c r="OWU44" s="125"/>
      <c r="OWV44" s="316"/>
      <c r="OWW44" s="14"/>
      <c r="OWX44" s="125"/>
      <c r="OWY44" s="125"/>
      <c r="OWZ44" s="316"/>
      <c r="OXA44" s="14"/>
      <c r="OXB44" s="125"/>
      <c r="OXC44" s="125"/>
      <c r="OXD44" s="316"/>
      <c r="OXE44" s="10"/>
      <c r="OXF44" s="125"/>
      <c r="OXG44" s="125"/>
      <c r="OXH44" s="316"/>
      <c r="OXI44" s="14"/>
      <c r="OXJ44" s="125"/>
      <c r="OXK44" s="125"/>
      <c r="OXL44" s="316"/>
      <c r="OXM44" s="14"/>
      <c r="OXN44" s="125"/>
      <c r="OXO44" s="125"/>
      <c r="OXP44" s="316"/>
      <c r="OXQ44" s="14"/>
      <c r="OXR44" s="125"/>
      <c r="OXS44" s="125"/>
      <c r="OXT44" s="316"/>
      <c r="OXU44" s="10"/>
      <c r="OXV44" s="125"/>
      <c r="OXW44" s="125"/>
      <c r="OXX44" s="316"/>
      <c r="OXY44" s="14"/>
      <c r="OXZ44" s="125"/>
      <c r="OYA44" s="125"/>
      <c r="OYB44" s="316"/>
      <c r="OYC44" s="14"/>
      <c r="OYD44" s="125"/>
      <c r="OYE44" s="125"/>
      <c r="OYF44" s="316"/>
      <c r="OYG44" s="14"/>
      <c r="OYH44" s="125"/>
      <c r="OYI44" s="125"/>
      <c r="OYJ44" s="316"/>
      <c r="OYK44" s="10"/>
      <c r="OYL44" s="125"/>
      <c r="OYM44" s="125"/>
      <c r="OYN44" s="316"/>
      <c r="OYO44" s="14"/>
      <c r="OYP44" s="125"/>
      <c r="OYQ44" s="125"/>
      <c r="OYR44" s="316"/>
      <c r="OYS44" s="14"/>
      <c r="OYT44" s="125"/>
      <c r="OYU44" s="125"/>
      <c r="OYV44" s="316"/>
      <c r="OYW44" s="14"/>
      <c r="OYX44" s="125"/>
      <c r="OYY44" s="125"/>
      <c r="OYZ44" s="316"/>
      <c r="OZA44" s="10"/>
      <c r="OZB44" s="125"/>
      <c r="OZC44" s="125"/>
      <c r="OZD44" s="316"/>
      <c r="OZE44" s="14"/>
      <c r="OZF44" s="125"/>
      <c r="OZG44" s="125"/>
      <c r="OZH44" s="316"/>
      <c r="OZI44" s="14"/>
      <c r="OZJ44" s="125"/>
      <c r="OZK44" s="125"/>
      <c r="OZL44" s="316"/>
      <c r="OZM44" s="14"/>
      <c r="OZN44" s="125"/>
      <c r="OZO44" s="125"/>
      <c r="OZP44" s="316"/>
      <c r="OZQ44" s="10"/>
      <c r="OZR44" s="125"/>
      <c r="OZS44" s="125"/>
      <c r="OZT44" s="316"/>
      <c r="OZU44" s="14"/>
      <c r="OZV44" s="125"/>
      <c r="OZW44" s="125"/>
      <c r="OZX44" s="316"/>
      <c r="OZY44" s="14"/>
      <c r="OZZ44" s="125"/>
      <c r="PAA44" s="125"/>
      <c r="PAB44" s="316"/>
      <c r="PAC44" s="14"/>
      <c r="PAD44" s="125"/>
      <c r="PAE44" s="125"/>
      <c r="PAF44" s="316"/>
      <c r="PAG44" s="10"/>
      <c r="PAH44" s="125"/>
      <c r="PAI44" s="125"/>
      <c r="PAJ44" s="316"/>
      <c r="PAK44" s="14"/>
      <c r="PAL44" s="125"/>
      <c r="PAM44" s="125"/>
      <c r="PAN44" s="316"/>
      <c r="PAO44" s="14"/>
      <c r="PAP44" s="125"/>
      <c r="PAQ44" s="125"/>
      <c r="PAR44" s="316"/>
      <c r="PAS44" s="14"/>
      <c r="PAT44" s="125"/>
      <c r="PAU44" s="125"/>
      <c r="PAV44" s="316"/>
      <c r="PAW44" s="10"/>
      <c r="PAX44" s="125"/>
      <c r="PAY44" s="125"/>
      <c r="PAZ44" s="316"/>
      <c r="PBA44" s="14"/>
      <c r="PBB44" s="125"/>
      <c r="PBC44" s="125"/>
      <c r="PBD44" s="316"/>
      <c r="PBE44" s="14"/>
      <c r="PBF44" s="125"/>
      <c r="PBG44" s="125"/>
      <c r="PBH44" s="316"/>
      <c r="PBI44" s="14"/>
      <c r="PBJ44" s="125"/>
      <c r="PBK44" s="125"/>
      <c r="PBL44" s="316"/>
      <c r="PBM44" s="10"/>
      <c r="PBN44" s="125"/>
      <c r="PBO44" s="125"/>
      <c r="PBP44" s="316"/>
      <c r="PBQ44" s="14"/>
      <c r="PBR44" s="125"/>
      <c r="PBS44" s="125"/>
      <c r="PBT44" s="316"/>
      <c r="PBU44" s="14"/>
      <c r="PBV44" s="125"/>
      <c r="PBW44" s="125"/>
      <c r="PBX44" s="316"/>
      <c r="PBY44" s="14"/>
      <c r="PBZ44" s="125"/>
      <c r="PCA44" s="125"/>
      <c r="PCB44" s="316"/>
      <c r="PCC44" s="10"/>
      <c r="PCD44" s="125"/>
      <c r="PCE44" s="125"/>
      <c r="PCF44" s="316"/>
      <c r="PCG44" s="14"/>
      <c r="PCH44" s="125"/>
      <c r="PCI44" s="125"/>
      <c r="PCJ44" s="316"/>
      <c r="PCK44" s="14"/>
      <c r="PCL44" s="125"/>
      <c r="PCM44" s="125"/>
      <c r="PCN44" s="316"/>
      <c r="PCO44" s="14"/>
      <c r="PCP44" s="125"/>
      <c r="PCQ44" s="125"/>
      <c r="PCR44" s="316"/>
      <c r="PCS44" s="10"/>
      <c r="PCT44" s="125"/>
      <c r="PCU44" s="125"/>
      <c r="PCV44" s="316"/>
      <c r="PCW44" s="14"/>
      <c r="PCX44" s="125"/>
      <c r="PCY44" s="125"/>
      <c r="PCZ44" s="316"/>
      <c r="PDA44" s="14"/>
      <c r="PDB44" s="125"/>
      <c r="PDC44" s="125"/>
      <c r="PDD44" s="316"/>
      <c r="PDE44" s="14"/>
      <c r="PDF44" s="125"/>
      <c r="PDG44" s="125"/>
      <c r="PDH44" s="316"/>
      <c r="PDI44" s="10"/>
      <c r="PDJ44" s="125"/>
      <c r="PDK44" s="125"/>
      <c r="PDL44" s="316"/>
      <c r="PDM44" s="14"/>
      <c r="PDN44" s="125"/>
      <c r="PDO44" s="125"/>
      <c r="PDP44" s="316"/>
      <c r="PDQ44" s="14"/>
      <c r="PDR44" s="125"/>
      <c r="PDS44" s="125"/>
      <c r="PDT44" s="316"/>
      <c r="PDU44" s="14"/>
      <c r="PDV44" s="125"/>
      <c r="PDW44" s="125"/>
      <c r="PDX44" s="316"/>
      <c r="PDY44" s="10"/>
      <c r="PDZ44" s="125"/>
      <c r="PEA44" s="125"/>
      <c r="PEB44" s="316"/>
      <c r="PEC44" s="14"/>
      <c r="PED44" s="125"/>
      <c r="PEE44" s="125"/>
      <c r="PEF44" s="316"/>
      <c r="PEG44" s="14"/>
      <c r="PEH44" s="125"/>
      <c r="PEI44" s="125"/>
      <c r="PEJ44" s="316"/>
      <c r="PEK44" s="14"/>
      <c r="PEL44" s="125"/>
      <c r="PEM44" s="125"/>
      <c r="PEN44" s="316"/>
      <c r="PEO44" s="10"/>
      <c r="PEP44" s="125"/>
      <c r="PEQ44" s="125"/>
      <c r="PER44" s="316"/>
      <c r="PES44" s="14"/>
      <c r="PET44" s="125"/>
      <c r="PEU44" s="125"/>
      <c r="PEV44" s="316"/>
      <c r="PEW44" s="14"/>
      <c r="PEX44" s="125"/>
      <c r="PEY44" s="125"/>
      <c r="PEZ44" s="316"/>
      <c r="PFA44" s="14"/>
      <c r="PFB44" s="125"/>
      <c r="PFC44" s="125"/>
      <c r="PFD44" s="316"/>
      <c r="PFE44" s="10"/>
      <c r="PFF44" s="125"/>
      <c r="PFG44" s="125"/>
      <c r="PFH44" s="316"/>
      <c r="PFI44" s="14"/>
      <c r="PFJ44" s="125"/>
      <c r="PFK44" s="125"/>
      <c r="PFL44" s="316"/>
      <c r="PFM44" s="14"/>
      <c r="PFN44" s="125"/>
      <c r="PFO44" s="125"/>
      <c r="PFP44" s="316"/>
      <c r="PFQ44" s="14"/>
      <c r="PFR44" s="125"/>
      <c r="PFS44" s="125"/>
      <c r="PFT44" s="316"/>
      <c r="PFU44" s="10"/>
      <c r="PFV44" s="125"/>
      <c r="PFW44" s="125"/>
      <c r="PFX44" s="316"/>
      <c r="PFY44" s="14"/>
      <c r="PFZ44" s="125"/>
      <c r="PGA44" s="125"/>
      <c r="PGB44" s="316"/>
      <c r="PGC44" s="14"/>
      <c r="PGD44" s="125"/>
      <c r="PGE44" s="125"/>
      <c r="PGF44" s="316"/>
      <c r="PGG44" s="14"/>
      <c r="PGH44" s="125"/>
      <c r="PGI44" s="125"/>
      <c r="PGJ44" s="316"/>
      <c r="PGK44" s="10"/>
      <c r="PGL44" s="125"/>
      <c r="PGM44" s="125"/>
      <c r="PGN44" s="316"/>
      <c r="PGO44" s="14"/>
      <c r="PGP44" s="125"/>
      <c r="PGQ44" s="125"/>
      <c r="PGR44" s="316"/>
      <c r="PGS44" s="14"/>
      <c r="PGT44" s="125"/>
      <c r="PGU44" s="125"/>
      <c r="PGV44" s="316"/>
      <c r="PGW44" s="14"/>
      <c r="PGX44" s="125"/>
      <c r="PGY44" s="125"/>
      <c r="PGZ44" s="316"/>
      <c r="PHA44" s="10"/>
      <c r="PHB44" s="125"/>
      <c r="PHC44" s="125"/>
      <c r="PHD44" s="316"/>
      <c r="PHE44" s="14"/>
      <c r="PHF44" s="125"/>
      <c r="PHG44" s="125"/>
      <c r="PHH44" s="316"/>
      <c r="PHI44" s="14"/>
      <c r="PHJ44" s="125"/>
      <c r="PHK44" s="125"/>
      <c r="PHL44" s="316"/>
      <c r="PHM44" s="14"/>
      <c r="PHN44" s="125"/>
      <c r="PHO44" s="125"/>
      <c r="PHP44" s="316"/>
      <c r="PHQ44" s="10"/>
      <c r="PHR44" s="125"/>
      <c r="PHS44" s="125"/>
      <c r="PHT44" s="316"/>
      <c r="PHU44" s="14"/>
      <c r="PHV44" s="125"/>
      <c r="PHW44" s="125"/>
      <c r="PHX44" s="316"/>
      <c r="PHY44" s="14"/>
      <c r="PHZ44" s="125"/>
      <c r="PIA44" s="125"/>
      <c r="PIB44" s="316"/>
      <c r="PIC44" s="14"/>
      <c r="PID44" s="125"/>
      <c r="PIE44" s="125"/>
      <c r="PIF44" s="316"/>
      <c r="PIG44" s="10"/>
      <c r="PIH44" s="125"/>
      <c r="PII44" s="125"/>
      <c r="PIJ44" s="316"/>
      <c r="PIK44" s="14"/>
      <c r="PIL44" s="125"/>
      <c r="PIM44" s="125"/>
      <c r="PIN44" s="316"/>
      <c r="PIO44" s="14"/>
      <c r="PIP44" s="125"/>
      <c r="PIQ44" s="125"/>
      <c r="PIR44" s="316"/>
      <c r="PIS44" s="14"/>
      <c r="PIT44" s="125"/>
      <c r="PIU44" s="125"/>
      <c r="PIV44" s="316"/>
      <c r="PIW44" s="10"/>
      <c r="PIX44" s="125"/>
      <c r="PIY44" s="125"/>
      <c r="PIZ44" s="316"/>
      <c r="PJA44" s="14"/>
      <c r="PJB44" s="125"/>
      <c r="PJC44" s="125"/>
      <c r="PJD44" s="316"/>
      <c r="PJE44" s="14"/>
      <c r="PJF44" s="125"/>
      <c r="PJG44" s="125"/>
      <c r="PJH44" s="316"/>
      <c r="PJI44" s="14"/>
      <c r="PJJ44" s="125"/>
      <c r="PJK44" s="125"/>
      <c r="PJL44" s="316"/>
      <c r="PJM44" s="10"/>
      <c r="PJN44" s="125"/>
      <c r="PJO44" s="125"/>
      <c r="PJP44" s="316"/>
      <c r="PJQ44" s="14"/>
      <c r="PJR44" s="125"/>
      <c r="PJS44" s="125"/>
      <c r="PJT44" s="316"/>
      <c r="PJU44" s="14"/>
      <c r="PJV44" s="125"/>
      <c r="PJW44" s="125"/>
      <c r="PJX44" s="316"/>
      <c r="PJY44" s="14"/>
      <c r="PJZ44" s="125"/>
      <c r="PKA44" s="125"/>
      <c r="PKB44" s="316"/>
      <c r="PKC44" s="10"/>
      <c r="PKD44" s="125"/>
      <c r="PKE44" s="125"/>
      <c r="PKF44" s="316"/>
      <c r="PKG44" s="14"/>
      <c r="PKH44" s="125"/>
      <c r="PKI44" s="125"/>
      <c r="PKJ44" s="316"/>
      <c r="PKK44" s="14"/>
      <c r="PKL44" s="125"/>
      <c r="PKM44" s="125"/>
      <c r="PKN44" s="316"/>
      <c r="PKO44" s="14"/>
      <c r="PKP44" s="125"/>
      <c r="PKQ44" s="125"/>
      <c r="PKR44" s="316"/>
      <c r="PKS44" s="10"/>
      <c r="PKT44" s="125"/>
      <c r="PKU44" s="125"/>
      <c r="PKV44" s="316"/>
      <c r="PKW44" s="14"/>
      <c r="PKX44" s="125"/>
      <c r="PKY44" s="125"/>
      <c r="PKZ44" s="316"/>
      <c r="PLA44" s="14"/>
      <c r="PLB44" s="125"/>
      <c r="PLC44" s="125"/>
      <c r="PLD44" s="316"/>
      <c r="PLE44" s="14"/>
      <c r="PLF44" s="125"/>
      <c r="PLG44" s="125"/>
      <c r="PLH44" s="316"/>
      <c r="PLI44" s="10"/>
      <c r="PLJ44" s="125"/>
      <c r="PLK44" s="125"/>
      <c r="PLL44" s="316"/>
      <c r="PLM44" s="14"/>
      <c r="PLN44" s="125"/>
      <c r="PLO44" s="125"/>
      <c r="PLP44" s="316"/>
      <c r="PLQ44" s="14"/>
      <c r="PLR44" s="125"/>
      <c r="PLS44" s="125"/>
      <c r="PLT44" s="316"/>
      <c r="PLU44" s="14"/>
      <c r="PLV44" s="125"/>
      <c r="PLW44" s="125"/>
      <c r="PLX44" s="316"/>
      <c r="PLY44" s="10"/>
      <c r="PLZ44" s="125"/>
      <c r="PMA44" s="125"/>
      <c r="PMB44" s="316"/>
      <c r="PMC44" s="14"/>
      <c r="PMD44" s="125"/>
      <c r="PME44" s="125"/>
      <c r="PMF44" s="316"/>
      <c r="PMG44" s="14"/>
      <c r="PMH44" s="125"/>
      <c r="PMI44" s="125"/>
      <c r="PMJ44" s="316"/>
      <c r="PMK44" s="14"/>
      <c r="PML44" s="125"/>
      <c r="PMM44" s="125"/>
      <c r="PMN44" s="316"/>
      <c r="PMO44" s="10"/>
      <c r="PMP44" s="125"/>
      <c r="PMQ44" s="125"/>
      <c r="PMR44" s="316"/>
      <c r="PMS44" s="14"/>
      <c r="PMT44" s="125"/>
      <c r="PMU44" s="125"/>
      <c r="PMV44" s="316"/>
      <c r="PMW44" s="14"/>
      <c r="PMX44" s="125"/>
      <c r="PMY44" s="125"/>
      <c r="PMZ44" s="316"/>
      <c r="PNA44" s="14"/>
      <c r="PNB44" s="125"/>
      <c r="PNC44" s="125"/>
      <c r="PND44" s="316"/>
      <c r="PNE44" s="10"/>
      <c r="PNF44" s="125"/>
      <c r="PNG44" s="125"/>
      <c r="PNH44" s="316"/>
      <c r="PNI44" s="14"/>
      <c r="PNJ44" s="125"/>
      <c r="PNK44" s="125"/>
      <c r="PNL44" s="316"/>
      <c r="PNM44" s="14"/>
      <c r="PNN44" s="125"/>
      <c r="PNO44" s="125"/>
      <c r="PNP44" s="316"/>
      <c r="PNQ44" s="14"/>
      <c r="PNR44" s="125"/>
      <c r="PNS44" s="125"/>
      <c r="PNT44" s="316"/>
      <c r="PNU44" s="10"/>
      <c r="PNV44" s="125"/>
      <c r="PNW44" s="125"/>
      <c r="PNX44" s="316"/>
      <c r="PNY44" s="14"/>
      <c r="PNZ44" s="125"/>
      <c r="POA44" s="125"/>
      <c r="POB44" s="316"/>
      <c r="POC44" s="14"/>
      <c r="POD44" s="125"/>
      <c r="POE44" s="125"/>
      <c r="POF44" s="316"/>
      <c r="POG44" s="14"/>
      <c r="POH44" s="125"/>
      <c r="POI44" s="125"/>
      <c r="POJ44" s="316"/>
      <c r="POK44" s="10"/>
      <c r="POL44" s="125"/>
      <c r="POM44" s="125"/>
      <c r="PON44" s="316"/>
      <c r="POO44" s="14"/>
      <c r="POP44" s="125"/>
      <c r="POQ44" s="125"/>
      <c r="POR44" s="316"/>
      <c r="POS44" s="14"/>
      <c r="POT44" s="125"/>
      <c r="POU44" s="125"/>
      <c r="POV44" s="316"/>
      <c r="POW44" s="14"/>
      <c r="POX44" s="125"/>
      <c r="POY44" s="125"/>
      <c r="POZ44" s="316"/>
      <c r="PPA44" s="10"/>
      <c r="PPB44" s="125"/>
      <c r="PPC44" s="125"/>
      <c r="PPD44" s="316"/>
      <c r="PPE44" s="14"/>
      <c r="PPF44" s="125"/>
      <c r="PPG44" s="125"/>
      <c r="PPH44" s="316"/>
      <c r="PPI44" s="14"/>
      <c r="PPJ44" s="125"/>
      <c r="PPK44" s="125"/>
      <c r="PPL44" s="316"/>
      <c r="PPM44" s="14"/>
      <c r="PPN44" s="125"/>
      <c r="PPO44" s="125"/>
      <c r="PPP44" s="316"/>
      <c r="PPQ44" s="10"/>
      <c r="PPR44" s="125"/>
      <c r="PPS44" s="125"/>
      <c r="PPT44" s="316"/>
      <c r="PPU44" s="14"/>
      <c r="PPV44" s="125"/>
      <c r="PPW44" s="125"/>
      <c r="PPX44" s="316"/>
      <c r="PPY44" s="14"/>
      <c r="PPZ44" s="125"/>
      <c r="PQA44" s="125"/>
      <c r="PQB44" s="316"/>
      <c r="PQC44" s="14"/>
      <c r="PQD44" s="125"/>
      <c r="PQE44" s="125"/>
      <c r="PQF44" s="316"/>
      <c r="PQG44" s="10"/>
      <c r="PQH44" s="125"/>
      <c r="PQI44" s="125"/>
      <c r="PQJ44" s="316"/>
      <c r="PQK44" s="14"/>
      <c r="PQL44" s="125"/>
      <c r="PQM44" s="125"/>
      <c r="PQN44" s="316"/>
      <c r="PQO44" s="14"/>
      <c r="PQP44" s="125"/>
      <c r="PQQ44" s="125"/>
      <c r="PQR44" s="316"/>
      <c r="PQS44" s="14"/>
      <c r="PQT44" s="125"/>
      <c r="PQU44" s="125"/>
      <c r="PQV44" s="316"/>
      <c r="PQW44" s="10"/>
      <c r="PQX44" s="125"/>
      <c r="PQY44" s="125"/>
      <c r="PQZ44" s="316"/>
      <c r="PRA44" s="14"/>
      <c r="PRB44" s="125"/>
      <c r="PRC44" s="125"/>
      <c r="PRD44" s="316"/>
      <c r="PRE44" s="14"/>
      <c r="PRF44" s="125"/>
      <c r="PRG44" s="125"/>
      <c r="PRH44" s="316"/>
      <c r="PRI44" s="14"/>
      <c r="PRJ44" s="125"/>
      <c r="PRK44" s="125"/>
      <c r="PRL44" s="316"/>
      <c r="PRM44" s="10"/>
      <c r="PRN44" s="125"/>
      <c r="PRO44" s="125"/>
      <c r="PRP44" s="316"/>
      <c r="PRQ44" s="14"/>
      <c r="PRR44" s="125"/>
      <c r="PRS44" s="125"/>
      <c r="PRT44" s="316"/>
      <c r="PRU44" s="14"/>
      <c r="PRV44" s="125"/>
      <c r="PRW44" s="125"/>
      <c r="PRX44" s="316"/>
      <c r="PRY44" s="14"/>
      <c r="PRZ44" s="125"/>
      <c r="PSA44" s="125"/>
      <c r="PSB44" s="316"/>
      <c r="PSC44" s="10"/>
      <c r="PSD44" s="125"/>
      <c r="PSE44" s="125"/>
      <c r="PSF44" s="316"/>
      <c r="PSG44" s="14"/>
      <c r="PSH44" s="125"/>
      <c r="PSI44" s="125"/>
      <c r="PSJ44" s="316"/>
      <c r="PSK44" s="14"/>
      <c r="PSL44" s="125"/>
      <c r="PSM44" s="125"/>
      <c r="PSN44" s="316"/>
      <c r="PSO44" s="14"/>
      <c r="PSP44" s="125"/>
      <c r="PSQ44" s="125"/>
      <c r="PSR44" s="316"/>
      <c r="PSS44" s="10"/>
      <c r="PST44" s="125"/>
      <c r="PSU44" s="125"/>
      <c r="PSV44" s="316"/>
      <c r="PSW44" s="14"/>
      <c r="PSX44" s="125"/>
      <c r="PSY44" s="125"/>
      <c r="PSZ44" s="316"/>
      <c r="PTA44" s="14"/>
      <c r="PTB44" s="125"/>
      <c r="PTC44" s="125"/>
      <c r="PTD44" s="316"/>
      <c r="PTE44" s="14"/>
      <c r="PTF44" s="125"/>
      <c r="PTG44" s="125"/>
      <c r="PTH44" s="316"/>
      <c r="PTI44" s="10"/>
      <c r="PTJ44" s="125"/>
      <c r="PTK44" s="125"/>
      <c r="PTL44" s="316"/>
      <c r="PTM44" s="14"/>
      <c r="PTN44" s="125"/>
      <c r="PTO44" s="125"/>
      <c r="PTP44" s="316"/>
      <c r="PTQ44" s="14"/>
      <c r="PTR44" s="125"/>
      <c r="PTS44" s="125"/>
      <c r="PTT44" s="316"/>
      <c r="PTU44" s="14"/>
      <c r="PTV44" s="125"/>
      <c r="PTW44" s="125"/>
      <c r="PTX44" s="316"/>
      <c r="PTY44" s="10"/>
      <c r="PTZ44" s="125"/>
      <c r="PUA44" s="125"/>
      <c r="PUB44" s="316"/>
      <c r="PUC44" s="14"/>
      <c r="PUD44" s="125"/>
      <c r="PUE44" s="125"/>
      <c r="PUF44" s="316"/>
      <c r="PUG44" s="14"/>
      <c r="PUH44" s="125"/>
      <c r="PUI44" s="125"/>
      <c r="PUJ44" s="316"/>
      <c r="PUK44" s="14"/>
      <c r="PUL44" s="125"/>
      <c r="PUM44" s="125"/>
      <c r="PUN44" s="316"/>
      <c r="PUO44" s="10"/>
      <c r="PUP44" s="125"/>
      <c r="PUQ44" s="125"/>
      <c r="PUR44" s="316"/>
      <c r="PUS44" s="14"/>
      <c r="PUT44" s="125"/>
      <c r="PUU44" s="125"/>
      <c r="PUV44" s="316"/>
      <c r="PUW44" s="14"/>
      <c r="PUX44" s="125"/>
      <c r="PUY44" s="125"/>
      <c r="PUZ44" s="316"/>
      <c r="PVA44" s="14"/>
      <c r="PVB44" s="125"/>
      <c r="PVC44" s="125"/>
      <c r="PVD44" s="316"/>
      <c r="PVE44" s="10"/>
      <c r="PVF44" s="125"/>
      <c r="PVG44" s="125"/>
      <c r="PVH44" s="316"/>
      <c r="PVI44" s="14"/>
      <c r="PVJ44" s="125"/>
      <c r="PVK44" s="125"/>
      <c r="PVL44" s="316"/>
      <c r="PVM44" s="14"/>
      <c r="PVN44" s="125"/>
      <c r="PVO44" s="125"/>
      <c r="PVP44" s="316"/>
      <c r="PVQ44" s="14"/>
      <c r="PVR44" s="125"/>
      <c r="PVS44" s="125"/>
      <c r="PVT44" s="316"/>
      <c r="PVU44" s="10"/>
      <c r="PVV44" s="125"/>
      <c r="PVW44" s="125"/>
      <c r="PVX44" s="316"/>
      <c r="PVY44" s="14"/>
      <c r="PVZ44" s="125"/>
      <c r="PWA44" s="125"/>
      <c r="PWB44" s="316"/>
      <c r="PWC44" s="14"/>
      <c r="PWD44" s="125"/>
      <c r="PWE44" s="125"/>
      <c r="PWF44" s="316"/>
      <c r="PWG44" s="14"/>
      <c r="PWH44" s="125"/>
      <c r="PWI44" s="125"/>
      <c r="PWJ44" s="316"/>
      <c r="PWK44" s="10"/>
      <c r="PWL44" s="125"/>
      <c r="PWM44" s="125"/>
      <c r="PWN44" s="316"/>
      <c r="PWO44" s="14"/>
      <c r="PWP44" s="125"/>
      <c r="PWQ44" s="125"/>
      <c r="PWR44" s="316"/>
      <c r="PWS44" s="14"/>
      <c r="PWT44" s="125"/>
      <c r="PWU44" s="125"/>
      <c r="PWV44" s="316"/>
      <c r="PWW44" s="14"/>
      <c r="PWX44" s="125"/>
      <c r="PWY44" s="125"/>
      <c r="PWZ44" s="316"/>
      <c r="PXA44" s="10"/>
      <c r="PXB44" s="125"/>
      <c r="PXC44" s="125"/>
      <c r="PXD44" s="316"/>
      <c r="PXE44" s="14"/>
      <c r="PXF44" s="125"/>
      <c r="PXG44" s="125"/>
      <c r="PXH44" s="316"/>
      <c r="PXI44" s="14"/>
      <c r="PXJ44" s="125"/>
      <c r="PXK44" s="125"/>
      <c r="PXL44" s="316"/>
      <c r="PXM44" s="14"/>
      <c r="PXN44" s="125"/>
      <c r="PXO44" s="125"/>
      <c r="PXP44" s="316"/>
      <c r="PXQ44" s="10"/>
      <c r="PXR44" s="125"/>
      <c r="PXS44" s="125"/>
      <c r="PXT44" s="316"/>
      <c r="PXU44" s="14"/>
      <c r="PXV44" s="125"/>
      <c r="PXW44" s="125"/>
      <c r="PXX44" s="316"/>
      <c r="PXY44" s="14"/>
      <c r="PXZ44" s="125"/>
      <c r="PYA44" s="125"/>
      <c r="PYB44" s="316"/>
      <c r="PYC44" s="14"/>
      <c r="PYD44" s="125"/>
      <c r="PYE44" s="125"/>
      <c r="PYF44" s="316"/>
      <c r="PYG44" s="10"/>
      <c r="PYH44" s="125"/>
      <c r="PYI44" s="125"/>
      <c r="PYJ44" s="316"/>
      <c r="PYK44" s="14"/>
      <c r="PYL44" s="125"/>
      <c r="PYM44" s="125"/>
      <c r="PYN44" s="316"/>
      <c r="PYO44" s="14"/>
      <c r="PYP44" s="125"/>
      <c r="PYQ44" s="125"/>
      <c r="PYR44" s="316"/>
      <c r="PYS44" s="14"/>
      <c r="PYT44" s="125"/>
      <c r="PYU44" s="125"/>
      <c r="PYV44" s="316"/>
      <c r="PYW44" s="10"/>
      <c r="PYX44" s="125"/>
      <c r="PYY44" s="125"/>
      <c r="PYZ44" s="316"/>
      <c r="PZA44" s="14"/>
      <c r="PZB44" s="125"/>
      <c r="PZC44" s="125"/>
      <c r="PZD44" s="316"/>
      <c r="PZE44" s="14"/>
      <c r="PZF44" s="125"/>
      <c r="PZG44" s="125"/>
      <c r="PZH44" s="316"/>
      <c r="PZI44" s="14"/>
      <c r="PZJ44" s="125"/>
      <c r="PZK44" s="125"/>
      <c r="PZL44" s="316"/>
      <c r="PZM44" s="10"/>
      <c r="PZN44" s="125"/>
      <c r="PZO44" s="125"/>
      <c r="PZP44" s="316"/>
      <c r="PZQ44" s="14"/>
      <c r="PZR44" s="125"/>
      <c r="PZS44" s="125"/>
      <c r="PZT44" s="316"/>
      <c r="PZU44" s="14"/>
      <c r="PZV44" s="125"/>
      <c r="PZW44" s="125"/>
      <c r="PZX44" s="316"/>
      <c r="PZY44" s="14"/>
      <c r="PZZ44" s="125"/>
      <c r="QAA44" s="125"/>
      <c r="QAB44" s="316"/>
      <c r="QAC44" s="10"/>
      <c r="QAD44" s="125"/>
      <c r="QAE44" s="125"/>
      <c r="QAF44" s="316"/>
      <c r="QAG44" s="14"/>
      <c r="QAH44" s="125"/>
      <c r="QAI44" s="125"/>
      <c r="QAJ44" s="316"/>
      <c r="QAK44" s="14"/>
      <c r="QAL44" s="125"/>
      <c r="QAM44" s="125"/>
      <c r="QAN44" s="316"/>
      <c r="QAO44" s="14"/>
      <c r="QAP44" s="125"/>
      <c r="QAQ44" s="125"/>
      <c r="QAR44" s="316"/>
      <c r="QAS44" s="10"/>
      <c r="QAT44" s="125"/>
      <c r="QAU44" s="125"/>
      <c r="QAV44" s="316"/>
      <c r="QAW44" s="14"/>
      <c r="QAX44" s="125"/>
      <c r="QAY44" s="125"/>
      <c r="QAZ44" s="316"/>
      <c r="QBA44" s="14"/>
      <c r="QBB44" s="125"/>
      <c r="QBC44" s="125"/>
      <c r="QBD44" s="316"/>
      <c r="QBE44" s="14"/>
      <c r="QBF44" s="125"/>
      <c r="QBG44" s="125"/>
      <c r="QBH44" s="316"/>
      <c r="QBI44" s="10"/>
      <c r="QBJ44" s="125"/>
      <c r="QBK44" s="125"/>
      <c r="QBL44" s="316"/>
      <c r="QBM44" s="14"/>
      <c r="QBN44" s="125"/>
      <c r="QBO44" s="125"/>
      <c r="QBP44" s="316"/>
      <c r="QBQ44" s="14"/>
      <c r="QBR44" s="125"/>
      <c r="QBS44" s="125"/>
      <c r="QBT44" s="316"/>
      <c r="QBU44" s="14"/>
      <c r="QBV44" s="125"/>
      <c r="QBW44" s="125"/>
      <c r="QBX44" s="316"/>
      <c r="QBY44" s="10"/>
      <c r="QBZ44" s="125"/>
      <c r="QCA44" s="125"/>
      <c r="QCB44" s="316"/>
      <c r="QCC44" s="14"/>
      <c r="QCD44" s="125"/>
      <c r="QCE44" s="125"/>
      <c r="QCF44" s="316"/>
      <c r="QCG44" s="14"/>
      <c r="QCH44" s="125"/>
      <c r="QCI44" s="125"/>
      <c r="QCJ44" s="316"/>
      <c r="QCK44" s="14"/>
      <c r="QCL44" s="125"/>
      <c r="QCM44" s="125"/>
      <c r="QCN44" s="316"/>
      <c r="QCO44" s="10"/>
      <c r="QCP44" s="125"/>
      <c r="QCQ44" s="125"/>
      <c r="QCR44" s="316"/>
      <c r="QCS44" s="14"/>
      <c r="QCT44" s="125"/>
      <c r="QCU44" s="125"/>
      <c r="QCV44" s="316"/>
      <c r="QCW44" s="14"/>
      <c r="QCX44" s="125"/>
      <c r="QCY44" s="125"/>
      <c r="QCZ44" s="316"/>
      <c r="QDA44" s="14"/>
      <c r="QDB44" s="125"/>
      <c r="QDC44" s="125"/>
      <c r="QDD44" s="316"/>
      <c r="QDE44" s="10"/>
      <c r="QDF44" s="125"/>
      <c r="QDG44" s="125"/>
      <c r="QDH44" s="316"/>
      <c r="QDI44" s="14"/>
      <c r="QDJ44" s="125"/>
      <c r="QDK44" s="125"/>
      <c r="QDL44" s="316"/>
      <c r="QDM44" s="14"/>
      <c r="QDN44" s="125"/>
      <c r="QDO44" s="125"/>
      <c r="QDP44" s="316"/>
      <c r="QDQ44" s="14"/>
      <c r="QDR44" s="125"/>
      <c r="QDS44" s="125"/>
      <c r="QDT44" s="316"/>
      <c r="QDU44" s="10"/>
      <c r="QDV44" s="125"/>
      <c r="QDW44" s="125"/>
      <c r="QDX44" s="316"/>
      <c r="QDY44" s="14"/>
      <c r="QDZ44" s="125"/>
      <c r="QEA44" s="125"/>
      <c r="QEB44" s="316"/>
      <c r="QEC44" s="14"/>
      <c r="QED44" s="125"/>
      <c r="QEE44" s="125"/>
      <c r="QEF44" s="316"/>
      <c r="QEG44" s="14"/>
      <c r="QEH44" s="125"/>
      <c r="QEI44" s="125"/>
      <c r="QEJ44" s="316"/>
      <c r="QEK44" s="10"/>
      <c r="QEL44" s="125"/>
      <c r="QEM44" s="125"/>
      <c r="QEN44" s="316"/>
      <c r="QEO44" s="14"/>
      <c r="QEP44" s="125"/>
      <c r="QEQ44" s="125"/>
      <c r="QER44" s="316"/>
      <c r="QES44" s="14"/>
      <c r="QET44" s="125"/>
      <c r="QEU44" s="125"/>
      <c r="QEV44" s="316"/>
      <c r="QEW44" s="14"/>
      <c r="QEX44" s="125"/>
      <c r="QEY44" s="125"/>
      <c r="QEZ44" s="316"/>
      <c r="QFA44" s="10"/>
      <c r="QFB44" s="125"/>
      <c r="QFC44" s="125"/>
      <c r="QFD44" s="316"/>
      <c r="QFE44" s="14"/>
      <c r="QFF44" s="125"/>
      <c r="QFG44" s="125"/>
      <c r="QFH44" s="316"/>
      <c r="QFI44" s="14"/>
      <c r="QFJ44" s="125"/>
      <c r="QFK44" s="125"/>
      <c r="QFL44" s="316"/>
      <c r="QFM44" s="14"/>
      <c r="QFN44" s="125"/>
      <c r="QFO44" s="125"/>
      <c r="QFP44" s="316"/>
      <c r="QFQ44" s="10"/>
      <c r="QFR44" s="125"/>
      <c r="QFS44" s="125"/>
      <c r="QFT44" s="316"/>
      <c r="QFU44" s="14"/>
      <c r="QFV44" s="125"/>
      <c r="QFW44" s="125"/>
      <c r="QFX44" s="316"/>
      <c r="QFY44" s="14"/>
      <c r="QFZ44" s="125"/>
      <c r="QGA44" s="125"/>
      <c r="QGB44" s="316"/>
      <c r="QGC44" s="14"/>
      <c r="QGD44" s="125"/>
      <c r="QGE44" s="125"/>
      <c r="QGF44" s="316"/>
      <c r="QGG44" s="10"/>
      <c r="QGH44" s="125"/>
      <c r="QGI44" s="125"/>
      <c r="QGJ44" s="316"/>
      <c r="QGK44" s="14"/>
      <c r="QGL44" s="125"/>
      <c r="QGM44" s="125"/>
      <c r="QGN44" s="316"/>
      <c r="QGO44" s="14"/>
      <c r="QGP44" s="125"/>
      <c r="QGQ44" s="125"/>
      <c r="QGR44" s="316"/>
      <c r="QGS44" s="14"/>
      <c r="QGT44" s="125"/>
      <c r="QGU44" s="125"/>
      <c r="QGV44" s="316"/>
      <c r="QGW44" s="10"/>
      <c r="QGX44" s="125"/>
      <c r="QGY44" s="125"/>
      <c r="QGZ44" s="316"/>
      <c r="QHA44" s="14"/>
      <c r="QHB44" s="125"/>
      <c r="QHC44" s="125"/>
      <c r="QHD44" s="316"/>
      <c r="QHE44" s="14"/>
      <c r="QHF44" s="125"/>
      <c r="QHG44" s="125"/>
      <c r="QHH44" s="316"/>
      <c r="QHI44" s="14"/>
      <c r="QHJ44" s="125"/>
      <c r="QHK44" s="125"/>
      <c r="QHL44" s="316"/>
      <c r="QHM44" s="10"/>
      <c r="QHN44" s="125"/>
      <c r="QHO44" s="125"/>
      <c r="QHP44" s="316"/>
      <c r="QHQ44" s="14"/>
      <c r="QHR44" s="125"/>
      <c r="QHS44" s="125"/>
      <c r="QHT44" s="316"/>
      <c r="QHU44" s="14"/>
      <c r="QHV44" s="125"/>
      <c r="QHW44" s="125"/>
      <c r="QHX44" s="316"/>
      <c r="QHY44" s="14"/>
      <c r="QHZ44" s="125"/>
      <c r="QIA44" s="125"/>
      <c r="QIB44" s="316"/>
      <c r="QIC44" s="10"/>
      <c r="QID44" s="125"/>
      <c r="QIE44" s="125"/>
      <c r="QIF44" s="316"/>
      <c r="QIG44" s="14"/>
      <c r="QIH44" s="125"/>
      <c r="QII44" s="125"/>
      <c r="QIJ44" s="316"/>
      <c r="QIK44" s="14"/>
      <c r="QIL44" s="125"/>
      <c r="QIM44" s="125"/>
      <c r="QIN44" s="316"/>
      <c r="QIO44" s="14"/>
      <c r="QIP44" s="125"/>
      <c r="QIQ44" s="125"/>
      <c r="QIR44" s="316"/>
      <c r="QIS44" s="10"/>
      <c r="QIT44" s="125"/>
      <c r="QIU44" s="125"/>
      <c r="QIV44" s="316"/>
      <c r="QIW44" s="14"/>
      <c r="QIX44" s="125"/>
      <c r="QIY44" s="125"/>
      <c r="QIZ44" s="316"/>
      <c r="QJA44" s="14"/>
      <c r="QJB44" s="125"/>
      <c r="QJC44" s="125"/>
      <c r="QJD44" s="316"/>
      <c r="QJE44" s="14"/>
      <c r="QJF44" s="125"/>
      <c r="QJG44" s="125"/>
      <c r="QJH44" s="316"/>
      <c r="QJI44" s="10"/>
      <c r="QJJ44" s="125"/>
      <c r="QJK44" s="125"/>
      <c r="QJL44" s="316"/>
      <c r="QJM44" s="14"/>
      <c r="QJN44" s="125"/>
      <c r="QJO44" s="125"/>
      <c r="QJP44" s="316"/>
      <c r="QJQ44" s="14"/>
      <c r="QJR44" s="125"/>
      <c r="QJS44" s="125"/>
      <c r="QJT44" s="316"/>
      <c r="QJU44" s="14"/>
      <c r="QJV44" s="125"/>
      <c r="QJW44" s="125"/>
      <c r="QJX44" s="316"/>
      <c r="QJY44" s="10"/>
      <c r="QJZ44" s="125"/>
      <c r="QKA44" s="125"/>
      <c r="QKB44" s="316"/>
      <c r="QKC44" s="14"/>
      <c r="QKD44" s="125"/>
      <c r="QKE44" s="125"/>
      <c r="QKF44" s="316"/>
      <c r="QKG44" s="14"/>
      <c r="QKH44" s="125"/>
      <c r="QKI44" s="125"/>
      <c r="QKJ44" s="316"/>
      <c r="QKK44" s="14"/>
      <c r="QKL44" s="125"/>
      <c r="QKM44" s="125"/>
      <c r="QKN44" s="316"/>
      <c r="QKO44" s="10"/>
      <c r="QKP44" s="125"/>
      <c r="QKQ44" s="125"/>
      <c r="QKR44" s="316"/>
      <c r="QKS44" s="14"/>
      <c r="QKT44" s="125"/>
      <c r="QKU44" s="125"/>
      <c r="QKV44" s="316"/>
      <c r="QKW44" s="14"/>
      <c r="QKX44" s="125"/>
      <c r="QKY44" s="125"/>
      <c r="QKZ44" s="316"/>
      <c r="QLA44" s="14"/>
      <c r="QLB44" s="125"/>
      <c r="QLC44" s="125"/>
      <c r="QLD44" s="316"/>
      <c r="QLE44" s="10"/>
      <c r="QLF44" s="125"/>
      <c r="QLG44" s="125"/>
      <c r="QLH44" s="316"/>
      <c r="QLI44" s="14"/>
      <c r="QLJ44" s="125"/>
      <c r="QLK44" s="125"/>
      <c r="QLL44" s="316"/>
      <c r="QLM44" s="14"/>
      <c r="QLN44" s="125"/>
      <c r="QLO44" s="125"/>
      <c r="QLP44" s="316"/>
      <c r="QLQ44" s="14"/>
      <c r="QLR44" s="125"/>
      <c r="QLS44" s="125"/>
      <c r="QLT44" s="316"/>
      <c r="QLU44" s="10"/>
      <c r="QLV44" s="125"/>
      <c r="QLW44" s="125"/>
      <c r="QLX44" s="316"/>
      <c r="QLY44" s="14"/>
      <c r="QLZ44" s="125"/>
      <c r="QMA44" s="125"/>
      <c r="QMB44" s="316"/>
      <c r="QMC44" s="14"/>
      <c r="QMD44" s="125"/>
      <c r="QME44" s="125"/>
      <c r="QMF44" s="316"/>
      <c r="QMG44" s="14"/>
      <c r="QMH44" s="125"/>
      <c r="QMI44" s="125"/>
      <c r="QMJ44" s="316"/>
      <c r="QMK44" s="10"/>
      <c r="QML44" s="125"/>
      <c r="QMM44" s="125"/>
      <c r="QMN44" s="316"/>
      <c r="QMO44" s="14"/>
      <c r="QMP44" s="125"/>
      <c r="QMQ44" s="125"/>
      <c r="QMR44" s="316"/>
      <c r="QMS44" s="14"/>
      <c r="QMT44" s="125"/>
      <c r="QMU44" s="125"/>
      <c r="QMV44" s="316"/>
      <c r="QMW44" s="14"/>
      <c r="QMX44" s="125"/>
      <c r="QMY44" s="125"/>
      <c r="QMZ44" s="316"/>
      <c r="QNA44" s="10"/>
      <c r="QNB44" s="125"/>
      <c r="QNC44" s="125"/>
      <c r="QND44" s="316"/>
      <c r="QNE44" s="14"/>
      <c r="QNF44" s="125"/>
      <c r="QNG44" s="125"/>
      <c r="QNH44" s="316"/>
      <c r="QNI44" s="14"/>
      <c r="QNJ44" s="125"/>
      <c r="QNK44" s="125"/>
      <c r="QNL44" s="316"/>
      <c r="QNM44" s="14"/>
      <c r="QNN44" s="125"/>
      <c r="QNO44" s="125"/>
      <c r="QNP44" s="316"/>
      <c r="QNQ44" s="10"/>
      <c r="QNR44" s="125"/>
      <c r="QNS44" s="125"/>
      <c r="QNT44" s="316"/>
      <c r="QNU44" s="14"/>
      <c r="QNV44" s="125"/>
      <c r="QNW44" s="125"/>
      <c r="QNX44" s="316"/>
      <c r="QNY44" s="14"/>
      <c r="QNZ44" s="125"/>
      <c r="QOA44" s="125"/>
      <c r="QOB44" s="316"/>
      <c r="QOC44" s="14"/>
      <c r="QOD44" s="125"/>
      <c r="QOE44" s="125"/>
      <c r="QOF44" s="316"/>
      <c r="QOG44" s="10"/>
      <c r="QOH44" s="125"/>
      <c r="QOI44" s="125"/>
      <c r="QOJ44" s="316"/>
      <c r="QOK44" s="14"/>
      <c r="QOL44" s="125"/>
      <c r="QOM44" s="125"/>
      <c r="QON44" s="316"/>
      <c r="QOO44" s="14"/>
      <c r="QOP44" s="125"/>
      <c r="QOQ44" s="125"/>
      <c r="QOR44" s="316"/>
      <c r="QOS44" s="14"/>
      <c r="QOT44" s="125"/>
      <c r="QOU44" s="125"/>
      <c r="QOV44" s="316"/>
      <c r="QOW44" s="10"/>
      <c r="QOX44" s="125"/>
      <c r="QOY44" s="125"/>
      <c r="QOZ44" s="316"/>
      <c r="QPA44" s="14"/>
      <c r="QPB44" s="125"/>
      <c r="QPC44" s="125"/>
      <c r="QPD44" s="316"/>
      <c r="QPE44" s="14"/>
      <c r="QPF44" s="125"/>
      <c r="QPG44" s="125"/>
      <c r="QPH44" s="316"/>
      <c r="QPI44" s="14"/>
      <c r="QPJ44" s="125"/>
      <c r="QPK44" s="125"/>
      <c r="QPL44" s="316"/>
      <c r="QPM44" s="10"/>
      <c r="QPN44" s="125"/>
      <c r="QPO44" s="125"/>
      <c r="QPP44" s="316"/>
      <c r="QPQ44" s="14"/>
      <c r="QPR44" s="125"/>
      <c r="QPS44" s="125"/>
      <c r="QPT44" s="316"/>
      <c r="QPU44" s="14"/>
      <c r="QPV44" s="125"/>
      <c r="QPW44" s="125"/>
      <c r="QPX44" s="316"/>
      <c r="QPY44" s="14"/>
      <c r="QPZ44" s="125"/>
      <c r="QQA44" s="125"/>
      <c r="QQB44" s="316"/>
      <c r="QQC44" s="10"/>
      <c r="QQD44" s="125"/>
      <c r="QQE44" s="125"/>
      <c r="QQF44" s="316"/>
      <c r="QQG44" s="14"/>
      <c r="QQH44" s="125"/>
      <c r="QQI44" s="125"/>
      <c r="QQJ44" s="316"/>
      <c r="QQK44" s="14"/>
      <c r="QQL44" s="125"/>
      <c r="QQM44" s="125"/>
      <c r="QQN44" s="316"/>
      <c r="QQO44" s="14"/>
      <c r="QQP44" s="125"/>
      <c r="QQQ44" s="125"/>
      <c r="QQR44" s="316"/>
      <c r="QQS44" s="10"/>
      <c r="QQT44" s="125"/>
      <c r="QQU44" s="125"/>
      <c r="QQV44" s="316"/>
      <c r="QQW44" s="14"/>
      <c r="QQX44" s="125"/>
      <c r="QQY44" s="125"/>
      <c r="QQZ44" s="316"/>
      <c r="QRA44" s="14"/>
      <c r="QRB44" s="125"/>
      <c r="QRC44" s="125"/>
      <c r="QRD44" s="316"/>
      <c r="QRE44" s="14"/>
      <c r="QRF44" s="125"/>
      <c r="QRG44" s="125"/>
      <c r="QRH44" s="316"/>
      <c r="QRI44" s="10"/>
      <c r="QRJ44" s="125"/>
      <c r="QRK44" s="125"/>
      <c r="QRL44" s="316"/>
      <c r="QRM44" s="14"/>
      <c r="QRN44" s="125"/>
      <c r="QRO44" s="125"/>
      <c r="QRP44" s="316"/>
      <c r="QRQ44" s="14"/>
      <c r="QRR44" s="125"/>
      <c r="QRS44" s="125"/>
      <c r="QRT44" s="316"/>
      <c r="QRU44" s="14"/>
      <c r="QRV44" s="125"/>
      <c r="QRW44" s="125"/>
      <c r="QRX44" s="316"/>
      <c r="QRY44" s="10"/>
      <c r="QRZ44" s="125"/>
      <c r="QSA44" s="125"/>
      <c r="QSB44" s="316"/>
      <c r="QSC44" s="14"/>
      <c r="QSD44" s="125"/>
      <c r="QSE44" s="125"/>
      <c r="QSF44" s="316"/>
      <c r="QSG44" s="14"/>
      <c r="QSH44" s="125"/>
      <c r="QSI44" s="125"/>
      <c r="QSJ44" s="316"/>
      <c r="QSK44" s="14"/>
      <c r="QSL44" s="125"/>
      <c r="QSM44" s="125"/>
      <c r="QSN44" s="316"/>
      <c r="QSO44" s="10"/>
      <c r="QSP44" s="125"/>
      <c r="QSQ44" s="125"/>
      <c r="QSR44" s="316"/>
      <c r="QSS44" s="14"/>
      <c r="QST44" s="125"/>
      <c r="QSU44" s="125"/>
      <c r="QSV44" s="316"/>
      <c r="QSW44" s="14"/>
      <c r="QSX44" s="125"/>
      <c r="QSY44" s="125"/>
      <c r="QSZ44" s="316"/>
      <c r="QTA44" s="14"/>
      <c r="QTB44" s="125"/>
      <c r="QTC44" s="125"/>
      <c r="QTD44" s="316"/>
      <c r="QTE44" s="10"/>
      <c r="QTF44" s="125"/>
      <c r="QTG44" s="125"/>
      <c r="QTH44" s="316"/>
      <c r="QTI44" s="14"/>
      <c r="QTJ44" s="125"/>
      <c r="QTK44" s="125"/>
      <c r="QTL44" s="316"/>
      <c r="QTM44" s="14"/>
      <c r="QTN44" s="125"/>
      <c r="QTO44" s="125"/>
      <c r="QTP44" s="316"/>
      <c r="QTQ44" s="14"/>
      <c r="QTR44" s="125"/>
      <c r="QTS44" s="125"/>
      <c r="QTT44" s="316"/>
      <c r="QTU44" s="10"/>
      <c r="QTV44" s="125"/>
      <c r="QTW44" s="125"/>
      <c r="QTX44" s="316"/>
      <c r="QTY44" s="14"/>
      <c r="QTZ44" s="125"/>
      <c r="QUA44" s="125"/>
      <c r="QUB44" s="316"/>
      <c r="QUC44" s="14"/>
      <c r="QUD44" s="125"/>
      <c r="QUE44" s="125"/>
      <c r="QUF44" s="316"/>
      <c r="QUG44" s="14"/>
      <c r="QUH44" s="125"/>
      <c r="QUI44" s="125"/>
      <c r="QUJ44" s="316"/>
      <c r="QUK44" s="10"/>
      <c r="QUL44" s="125"/>
      <c r="QUM44" s="125"/>
      <c r="QUN44" s="316"/>
      <c r="QUO44" s="14"/>
      <c r="QUP44" s="125"/>
      <c r="QUQ44" s="125"/>
      <c r="QUR44" s="316"/>
      <c r="QUS44" s="14"/>
      <c r="QUT44" s="125"/>
      <c r="QUU44" s="125"/>
      <c r="QUV44" s="316"/>
      <c r="QUW44" s="14"/>
      <c r="QUX44" s="125"/>
      <c r="QUY44" s="125"/>
      <c r="QUZ44" s="316"/>
      <c r="QVA44" s="10"/>
      <c r="QVB44" s="125"/>
      <c r="QVC44" s="125"/>
      <c r="QVD44" s="316"/>
      <c r="QVE44" s="14"/>
      <c r="QVF44" s="125"/>
      <c r="QVG44" s="125"/>
      <c r="QVH44" s="316"/>
      <c r="QVI44" s="14"/>
      <c r="QVJ44" s="125"/>
      <c r="QVK44" s="125"/>
      <c r="QVL44" s="316"/>
      <c r="QVM44" s="14"/>
      <c r="QVN44" s="125"/>
      <c r="QVO44" s="125"/>
      <c r="QVP44" s="316"/>
      <c r="QVQ44" s="10"/>
      <c r="QVR44" s="125"/>
      <c r="QVS44" s="125"/>
      <c r="QVT44" s="316"/>
      <c r="QVU44" s="14"/>
      <c r="QVV44" s="125"/>
      <c r="QVW44" s="125"/>
      <c r="QVX44" s="316"/>
      <c r="QVY44" s="14"/>
      <c r="QVZ44" s="125"/>
      <c r="QWA44" s="125"/>
      <c r="QWB44" s="316"/>
      <c r="QWC44" s="14"/>
      <c r="QWD44" s="125"/>
      <c r="QWE44" s="125"/>
      <c r="QWF44" s="316"/>
      <c r="QWG44" s="10"/>
      <c r="QWH44" s="125"/>
      <c r="QWI44" s="125"/>
      <c r="QWJ44" s="316"/>
      <c r="QWK44" s="14"/>
      <c r="QWL44" s="125"/>
      <c r="QWM44" s="125"/>
      <c r="QWN44" s="316"/>
      <c r="QWO44" s="14"/>
      <c r="QWP44" s="125"/>
      <c r="QWQ44" s="125"/>
      <c r="QWR44" s="316"/>
      <c r="QWS44" s="14"/>
      <c r="QWT44" s="125"/>
      <c r="QWU44" s="125"/>
      <c r="QWV44" s="316"/>
      <c r="QWW44" s="10"/>
      <c r="QWX44" s="125"/>
      <c r="QWY44" s="125"/>
      <c r="QWZ44" s="316"/>
      <c r="QXA44" s="14"/>
      <c r="QXB44" s="125"/>
      <c r="QXC44" s="125"/>
      <c r="QXD44" s="316"/>
      <c r="QXE44" s="14"/>
      <c r="QXF44" s="125"/>
      <c r="QXG44" s="125"/>
      <c r="QXH44" s="316"/>
      <c r="QXI44" s="14"/>
      <c r="QXJ44" s="125"/>
      <c r="QXK44" s="125"/>
      <c r="QXL44" s="316"/>
      <c r="QXM44" s="10"/>
      <c r="QXN44" s="125"/>
      <c r="QXO44" s="125"/>
      <c r="QXP44" s="316"/>
      <c r="QXQ44" s="14"/>
      <c r="QXR44" s="125"/>
      <c r="QXS44" s="125"/>
      <c r="QXT44" s="316"/>
      <c r="QXU44" s="14"/>
      <c r="QXV44" s="125"/>
      <c r="QXW44" s="125"/>
      <c r="QXX44" s="316"/>
      <c r="QXY44" s="14"/>
      <c r="QXZ44" s="125"/>
      <c r="QYA44" s="125"/>
      <c r="QYB44" s="316"/>
      <c r="QYC44" s="10"/>
      <c r="QYD44" s="125"/>
      <c r="QYE44" s="125"/>
      <c r="QYF44" s="316"/>
      <c r="QYG44" s="14"/>
      <c r="QYH44" s="125"/>
      <c r="QYI44" s="125"/>
      <c r="QYJ44" s="316"/>
      <c r="QYK44" s="14"/>
      <c r="QYL44" s="125"/>
      <c r="QYM44" s="125"/>
      <c r="QYN44" s="316"/>
      <c r="QYO44" s="14"/>
      <c r="QYP44" s="125"/>
      <c r="QYQ44" s="125"/>
      <c r="QYR44" s="316"/>
      <c r="QYS44" s="10"/>
      <c r="QYT44" s="125"/>
      <c r="QYU44" s="125"/>
      <c r="QYV44" s="316"/>
      <c r="QYW44" s="14"/>
      <c r="QYX44" s="125"/>
      <c r="QYY44" s="125"/>
      <c r="QYZ44" s="316"/>
      <c r="QZA44" s="14"/>
      <c r="QZB44" s="125"/>
      <c r="QZC44" s="125"/>
      <c r="QZD44" s="316"/>
      <c r="QZE44" s="14"/>
      <c r="QZF44" s="125"/>
      <c r="QZG44" s="125"/>
      <c r="QZH44" s="316"/>
      <c r="QZI44" s="10"/>
      <c r="QZJ44" s="125"/>
      <c r="QZK44" s="125"/>
      <c r="QZL44" s="316"/>
      <c r="QZM44" s="14"/>
      <c r="QZN44" s="125"/>
      <c r="QZO44" s="125"/>
      <c r="QZP44" s="316"/>
      <c r="QZQ44" s="14"/>
      <c r="QZR44" s="125"/>
      <c r="QZS44" s="125"/>
      <c r="QZT44" s="316"/>
      <c r="QZU44" s="14"/>
      <c r="QZV44" s="125"/>
      <c r="QZW44" s="125"/>
      <c r="QZX44" s="316"/>
      <c r="QZY44" s="10"/>
      <c r="QZZ44" s="125"/>
      <c r="RAA44" s="125"/>
      <c r="RAB44" s="316"/>
      <c r="RAC44" s="14"/>
      <c r="RAD44" s="125"/>
      <c r="RAE44" s="125"/>
      <c r="RAF44" s="316"/>
      <c r="RAG44" s="14"/>
      <c r="RAH44" s="125"/>
      <c r="RAI44" s="125"/>
      <c r="RAJ44" s="316"/>
      <c r="RAK44" s="14"/>
      <c r="RAL44" s="125"/>
      <c r="RAM44" s="125"/>
      <c r="RAN44" s="316"/>
      <c r="RAO44" s="10"/>
      <c r="RAP44" s="125"/>
      <c r="RAQ44" s="125"/>
      <c r="RAR44" s="316"/>
      <c r="RAS44" s="14"/>
      <c r="RAT44" s="125"/>
      <c r="RAU44" s="125"/>
      <c r="RAV44" s="316"/>
      <c r="RAW44" s="14"/>
      <c r="RAX44" s="125"/>
      <c r="RAY44" s="125"/>
      <c r="RAZ44" s="316"/>
      <c r="RBA44" s="14"/>
      <c r="RBB44" s="125"/>
      <c r="RBC44" s="125"/>
      <c r="RBD44" s="316"/>
      <c r="RBE44" s="10"/>
      <c r="RBF44" s="125"/>
      <c r="RBG44" s="125"/>
      <c r="RBH44" s="316"/>
      <c r="RBI44" s="14"/>
      <c r="RBJ44" s="125"/>
      <c r="RBK44" s="125"/>
      <c r="RBL44" s="316"/>
      <c r="RBM44" s="14"/>
      <c r="RBN44" s="125"/>
      <c r="RBO44" s="125"/>
      <c r="RBP44" s="316"/>
      <c r="RBQ44" s="14"/>
      <c r="RBR44" s="125"/>
      <c r="RBS44" s="125"/>
      <c r="RBT44" s="316"/>
      <c r="RBU44" s="10"/>
      <c r="RBV44" s="125"/>
      <c r="RBW44" s="125"/>
      <c r="RBX44" s="316"/>
      <c r="RBY44" s="14"/>
      <c r="RBZ44" s="125"/>
      <c r="RCA44" s="125"/>
      <c r="RCB44" s="316"/>
      <c r="RCC44" s="14"/>
      <c r="RCD44" s="125"/>
      <c r="RCE44" s="125"/>
      <c r="RCF44" s="316"/>
      <c r="RCG44" s="14"/>
      <c r="RCH44" s="125"/>
      <c r="RCI44" s="125"/>
      <c r="RCJ44" s="316"/>
      <c r="RCK44" s="10"/>
      <c r="RCL44" s="125"/>
      <c r="RCM44" s="125"/>
      <c r="RCN44" s="316"/>
      <c r="RCO44" s="14"/>
      <c r="RCP44" s="125"/>
      <c r="RCQ44" s="125"/>
      <c r="RCR44" s="316"/>
      <c r="RCS44" s="14"/>
      <c r="RCT44" s="125"/>
      <c r="RCU44" s="125"/>
      <c r="RCV44" s="316"/>
      <c r="RCW44" s="14"/>
      <c r="RCX44" s="125"/>
      <c r="RCY44" s="125"/>
      <c r="RCZ44" s="316"/>
      <c r="RDA44" s="10"/>
      <c r="RDB44" s="125"/>
      <c r="RDC44" s="125"/>
      <c r="RDD44" s="316"/>
      <c r="RDE44" s="14"/>
      <c r="RDF44" s="125"/>
      <c r="RDG44" s="125"/>
      <c r="RDH44" s="316"/>
      <c r="RDI44" s="14"/>
      <c r="RDJ44" s="125"/>
      <c r="RDK44" s="125"/>
      <c r="RDL44" s="316"/>
      <c r="RDM44" s="14"/>
      <c r="RDN44" s="125"/>
      <c r="RDO44" s="125"/>
      <c r="RDP44" s="316"/>
      <c r="RDQ44" s="10"/>
      <c r="RDR44" s="125"/>
      <c r="RDS44" s="125"/>
      <c r="RDT44" s="316"/>
      <c r="RDU44" s="14"/>
      <c r="RDV44" s="125"/>
      <c r="RDW44" s="125"/>
      <c r="RDX44" s="316"/>
      <c r="RDY44" s="14"/>
      <c r="RDZ44" s="125"/>
      <c r="REA44" s="125"/>
      <c r="REB44" s="316"/>
      <c r="REC44" s="14"/>
      <c r="RED44" s="125"/>
      <c r="REE44" s="125"/>
      <c r="REF44" s="316"/>
      <c r="REG44" s="10"/>
      <c r="REH44" s="125"/>
      <c r="REI44" s="125"/>
      <c r="REJ44" s="316"/>
      <c r="REK44" s="14"/>
      <c r="REL44" s="125"/>
      <c r="REM44" s="125"/>
      <c r="REN44" s="316"/>
      <c r="REO44" s="14"/>
      <c r="REP44" s="125"/>
      <c r="REQ44" s="125"/>
      <c r="RER44" s="316"/>
      <c r="RES44" s="14"/>
      <c r="RET44" s="125"/>
      <c r="REU44" s="125"/>
      <c r="REV44" s="316"/>
      <c r="REW44" s="10"/>
      <c r="REX44" s="125"/>
      <c r="REY44" s="125"/>
      <c r="REZ44" s="316"/>
      <c r="RFA44" s="14"/>
      <c r="RFB44" s="125"/>
      <c r="RFC44" s="125"/>
      <c r="RFD44" s="316"/>
      <c r="RFE44" s="14"/>
      <c r="RFF44" s="125"/>
      <c r="RFG44" s="125"/>
      <c r="RFH44" s="316"/>
      <c r="RFI44" s="14"/>
      <c r="RFJ44" s="125"/>
      <c r="RFK44" s="125"/>
      <c r="RFL44" s="316"/>
      <c r="RFM44" s="10"/>
      <c r="RFN44" s="125"/>
      <c r="RFO44" s="125"/>
      <c r="RFP44" s="316"/>
      <c r="RFQ44" s="14"/>
      <c r="RFR44" s="125"/>
      <c r="RFS44" s="125"/>
      <c r="RFT44" s="316"/>
      <c r="RFU44" s="14"/>
      <c r="RFV44" s="125"/>
      <c r="RFW44" s="125"/>
      <c r="RFX44" s="316"/>
      <c r="RFY44" s="14"/>
      <c r="RFZ44" s="125"/>
      <c r="RGA44" s="125"/>
      <c r="RGB44" s="316"/>
      <c r="RGC44" s="10"/>
      <c r="RGD44" s="125"/>
      <c r="RGE44" s="125"/>
      <c r="RGF44" s="316"/>
      <c r="RGG44" s="14"/>
      <c r="RGH44" s="125"/>
      <c r="RGI44" s="125"/>
      <c r="RGJ44" s="316"/>
      <c r="RGK44" s="14"/>
      <c r="RGL44" s="125"/>
      <c r="RGM44" s="125"/>
      <c r="RGN44" s="316"/>
      <c r="RGO44" s="14"/>
      <c r="RGP44" s="125"/>
      <c r="RGQ44" s="125"/>
      <c r="RGR44" s="316"/>
      <c r="RGS44" s="10"/>
      <c r="RGT44" s="125"/>
      <c r="RGU44" s="125"/>
      <c r="RGV44" s="316"/>
      <c r="RGW44" s="14"/>
      <c r="RGX44" s="125"/>
      <c r="RGY44" s="125"/>
      <c r="RGZ44" s="316"/>
      <c r="RHA44" s="14"/>
      <c r="RHB44" s="125"/>
      <c r="RHC44" s="125"/>
      <c r="RHD44" s="316"/>
      <c r="RHE44" s="14"/>
      <c r="RHF44" s="125"/>
      <c r="RHG44" s="125"/>
      <c r="RHH44" s="316"/>
      <c r="RHI44" s="10"/>
      <c r="RHJ44" s="125"/>
      <c r="RHK44" s="125"/>
      <c r="RHL44" s="316"/>
      <c r="RHM44" s="14"/>
      <c r="RHN44" s="125"/>
      <c r="RHO44" s="125"/>
      <c r="RHP44" s="316"/>
      <c r="RHQ44" s="14"/>
      <c r="RHR44" s="125"/>
      <c r="RHS44" s="125"/>
      <c r="RHT44" s="316"/>
      <c r="RHU44" s="14"/>
      <c r="RHV44" s="125"/>
      <c r="RHW44" s="125"/>
      <c r="RHX44" s="316"/>
      <c r="RHY44" s="10"/>
      <c r="RHZ44" s="125"/>
      <c r="RIA44" s="125"/>
      <c r="RIB44" s="316"/>
      <c r="RIC44" s="14"/>
      <c r="RID44" s="125"/>
      <c r="RIE44" s="125"/>
      <c r="RIF44" s="316"/>
      <c r="RIG44" s="14"/>
      <c r="RIH44" s="125"/>
      <c r="RII44" s="125"/>
      <c r="RIJ44" s="316"/>
      <c r="RIK44" s="14"/>
      <c r="RIL44" s="125"/>
      <c r="RIM44" s="125"/>
      <c r="RIN44" s="316"/>
      <c r="RIO44" s="10"/>
      <c r="RIP44" s="125"/>
      <c r="RIQ44" s="125"/>
      <c r="RIR44" s="316"/>
      <c r="RIS44" s="14"/>
      <c r="RIT44" s="125"/>
      <c r="RIU44" s="125"/>
      <c r="RIV44" s="316"/>
      <c r="RIW44" s="14"/>
      <c r="RIX44" s="125"/>
      <c r="RIY44" s="125"/>
      <c r="RIZ44" s="316"/>
      <c r="RJA44" s="14"/>
      <c r="RJB44" s="125"/>
      <c r="RJC44" s="125"/>
      <c r="RJD44" s="316"/>
      <c r="RJE44" s="10"/>
      <c r="RJF44" s="125"/>
      <c r="RJG44" s="125"/>
      <c r="RJH44" s="316"/>
      <c r="RJI44" s="14"/>
      <c r="RJJ44" s="125"/>
      <c r="RJK44" s="125"/>
      <c r="RJL44" s="316"/>
      <c r="RJM44" s="14"/>
      <c r="RJN44" s="125"/>
      <c r="RJO44" s="125"/>
      <c r="RJP44" s="316"/>
      <c r="RJQ44" s="14"/>
      <c r="RJR44" s="125"/>
      <c r="RJS44" s="125"/>
      <c r="RJT44" s="316"/>
      <c r="RJU44" s="10"/>
      <c r="RJV44" s="125"/>
      <c r="RJW44" s="125"/>
      <c r="RJX44" s="316"/>
      <c r="RJY44" s="14"/>
      <c r="RJZ44" s="125"/>
      <c r="RKA44" s="125"/>
      <c r="RKB44" s="316"/>
      <c r="RKC44" s="14"/>
      <c r="RKD44" s="125"/>
      <c r="RKE44" s="125"/>
      <c r="RKF44" s="316"/>
      <c r="RKG44" s="14"/>
      <c r="RKH44" s="125"/>
      <c r="RKI44" s="125"/>
      <c r="RKJ44" s="316"/>
      <c r="RKK44" s="10"/>
      <c r="RKL44" s="125"/>
      <c r="RKM44" s="125"/>
      <c r="RKN44" s="316"/>
      <c r="RKO44" s="14"/>
      <c r="RKP44" s="125"/>
      <c r="RKQ44" s="125"/>
      <c r="RKR44" s="316"/>
      <c r="RKS44" s="14"/>
      <c r="RKT44" s="125"/>
      <c r="RKU44" s="125"/>
      <c r="RKV44" s="316"/>
      <c r="RKW44" s="14"/>
      <c r="RKX44" s="125"/>
      <c r="RKY44" s="125"/>
      <c r="RKZ44" s="316"/>
      <c r="RLA44" s="10"/>
      <c r="RLB44" s="125"/>
      <c r="RLC44" s="125"/>
      <c r="RLD44" s="316"/>
      <c r="RLE44" s="14"/>
      <c r="RLF44" s="125"/>
      <c r="RLG44" s="125"/>
      <c r="RLH44" s="316"/>
      <c r="RLI44" s="14"/>
      <c r="RLJ44" s="125"/>
      <c r="RLK44" s="125"/>
      <c r="RLL44" s="316"/>
      <c r="RLM44" s="14"/>
      <c r="RLN44" s="125"/>
      <c r="RLO44" s="125"/>
      <c r="RLP44" s="316"/>
      <c r="RLQ44" s="10"/>
      <c r="RLR44" s="125"/>
      <c r="RLS44" s="125"/>
      <c r="RLT44" s="316"/>
      <c r="RLU44" s="14"/>
      <c r="RLV44" s="125"/>
      <c r="RLW44" s="125"/>
      <c r="RLX44" s="316"/>
      <c r="RLY44" s="14"/>
      <c r="RLZ44" s="125"/>
      <c r="RMA44" s="125"/>
      <c r="RMB44" s="316"/>
      <c r="RMC44" s="14"/>
      <c r="RMD44" s="125"/>
      <c r="RME44" s="125"/>
      <c r="RMF44" s="316"/>
      <c r="RMG44" s="10"/>
      <c r="RMH44" s="125"/>
      <c r="RMI44" s="125"/>
      <c r="RMJ44" s="316"/>
      <c r="RMK44" s="14"/>
      <c r="RML44" s="125"/>
      <c r="RMM44" s="125"/>
      <c r="RMN44" s="316"/>
      <c r="RMO44" s="14"/>
      <c r="RMP44" s="125"/>
      <c r="RMQ44" s="125"/>
      <c r="RMR44" s="316"/>
      <c r="RMS44" s="14"/>
      <c r="RMT44" s="125"/>
      <c r="RMU44" s="125"/>
      <c r="RMV44" s="316"/>
      <c r="RMW44" s="10"/>
      <c r="RMX44" s="125"/>
      <c r="RMY44" s="125"/>
      <c r="RMZ44" s="316"/>
      <c r="RNA44" s="14"/>
      <c r="RNB44" s="125"/>
      <c r="RNC44" s="125"/>
      <c r="RND44" s="316"/>
      <c r="RNE44" s="14"/>
      <c r="RNF44" s="125"/>
      <c r="RNG44" s="125"/>
      <c r="RNH44" s="316"/>
      <c r="RNI44" s="14"/>
      <c r="RNJ44" s="125"/>
      <c r="RNK44" s="125"/>
      <c r="RNL44" s="316"/>
      <c r="RNM44" s="10"/>
      <c r="RNN44" s="125"/>
      <c r="RNO44" s="125"/>
      <c r="RNP44" s="316"/>
      <c r="RNQ44" s="14"/>
      <c r="RNR44" s="125"/>
      <c r="RNS44" s="125"/>
      <c r="RNT44" s="316"/>
      <c r="RNU44" s="14"/>
      <c r="RNV44" s="125"/>
      <c r="RNW44" s="125"/>
      <c r="RNX44" s="316"/>
      <c r="RNY44" s="14"/>
      <c r="RNZ44" s="125"/>
      <c r="ROA44" s="125"/>
      <c r="ROB44" s="316"/>
      <c r="ROC44" s="10"/>
      <c r="ROD44" s="125"/>
      <c r="ROE44" s="125"/>
      <c r="ROF44" s="316"/>
      <c r="ROG44" s="14"/>
      <c r="ROH44" s="125"/>
      <c r="ROI44" s="125"/>
      <c r="ROJ44" s="316"/>
      <c r="ROK44" s="14"/>
      <c r="ROL44" s="125"/>
      <c r="ROM44" s="125"/>
      <c r="RON44" s="316"/>
      <c r="ROO44" s="14"/>
      <c r="ROP44" s="125"/>
      <c r="ROQ44" s="125"/>
      <c r="ROR44" s="316"/>
      <c r="ROS44" s="10"/>
      <c r="ROT44" s="125"/>
      <c r="ROU44" s="125"/>
      <c r="ROV44" s="316"/>
      <c r="ROW44" s="14"/>
      <c r="ROX44" s="125"/>
      <c r="ROY44" s="125"/>
      <c r="ROZ44" s="316"/>
      <c r="RPA44" s="14"/>
      <c r="RPB44" s="125"/>
      <c r="RPC44" s="125"/>
      <c r="RPD44" s="316"/>
      <c r="RPE44" s="14"/>
      <c r="RPF44" s="125"/>
      <c r="RPG44" s="125"/>
      <c r="RPH44" s="316"/>
      <c r="RPI44" s="10"/>
      <c r="RPJ44" s="125"/>
      <c r="RPK44" s="125"/>
      <c r="RPL44" s="316"/>
      <c r="RPM44" s="14"/>
      <c r="RPN44" s="125"/>
      <c r="RPO44" s="125"/>
      <c r="RPP44" s="316"/>
      <c r="RPQ44" s="14"/>
      <c r="RPR44" s="125"/>
      <c r="RPS44" s="125"/>
      <c r="RPT44" s="316"/>
      <c r="RPU44" s="14"/>
      <c r="RPV44" s="125"/>
      <c r="RPW44" s="125"/>
      <c r="RPX44" s="316"/>
      <c r="RPY44" s="10"/>
      <c r="RPZ44" s="125"/>
      <c r="RQA44" s="125"/>
      <c r="RQB44" s="316"/>
      <c r="RQC44" s="14"/>
      <c r="RQD44" s="125"/>
      <c r="RQE44" s="125"/>
      <c r="RQF44" s="316"/>
      <c r="RQG44" s="14"/>
      <c r="RQH44" s="125"/>
      <c r="RQI44" s="125"/>
      <c r="RQJ44" s="316"/>
      <c r="RQK44" s="14"/>
      <c r="RQL44" s="125"/>
      <c r="RQM44" s="125"/>
      <c r="RQN44" s="316"/>
      <c r="RQO44" s="10"/>
      <c r="RQP44" s="125"/>
      <c r="RQQ44" s="125"/>
      <c r="RQR44" s="316"/>
      <c r="RQS44" s="14"/>
      <c r="RQT44" s="125"/>
      <c r="RQU44" s="125"/>
      <c r="RQV44" s="316"/>
      <c r="RQW44" s="14"/>
      <c r="RQX44" s="125"/>
      <c r="RQY44" s="125"/>
      <c r="RQZ44" s="316"/>
      <c r="RRA44" s="14"/>
      <c r="RRB44" s="125"/>
      <c r="RRC44" s="125"/>
      <c r="RRD44" s="316"/>
      <c r="RRE44" s="10"/>
      <c r="RRF44" s="125"/>
      <c r="RRG44" s="125"/>
      <c r="RRH44" s="316"/>
      <c r="RRI44" s="14"/>
      <c r="RRJ44" s="125"/>
      <c r="RRK44" s="125"/>
      <c r="RRL44" s="316"/>
      <c r="RRM44" s="14"/>
      <c r="RRN44" s="125"/>
      <c r="RRO44" s="125"/>
      <c r="RRP44" s="316"/>
      <c r="RRQ44" s="14"/>
      <c r="RRR44" s="125"/>
      <c r="RRS44" s="125"/>
      <c r="RRT44" s="316"/>
      <c r="RRU44" s="10"/>
      <c r="RRV44" s="125"/>
      <c r="RRW44" s="125"/>
      <c r="RRX44" s="316"/>
      <c r="RRY44" s="14"/>
      <c r="RRZ44" s="125"/>
      <c r="RSA44" s="125"/>
      <c r="RSB44" s="316"/>
      <c r="RSC44" s="14"/>
      <c r="RSD44" s="125"/>
      <c r="RSE44" s="125"/>
      <c r="RSF44" s="316"/>
      <c r="RSG44" s="14"/>
      <c r="RSH44" s="125"/>
      <c r="RSI44" s="125"/>
      <c r="RSJ44" s="316"/>
      <c r="RSK44" s="10"/>
      <c r="RSL44" s="125"/>
      <c r="RSM44" s="125"/>
      <c r="RSN44" s="316"/>
      <c r="RSO44" s="14"/>
      <c r="RSP44" s="125"/>
      <c r="RSQ44" s="125"/>
      <c r="RSR44" s="316"/>
      <c r="RSS44" s="14"/>
      <c r="RST44" s="125"/>
      <c r="RSU44" s="125"/>
      <c r="RSV44" s="316"/>
      <c r="RSW44" s="14"/>
      <c r="RSX44" s="125"/>
      <c r="RSY44" s="125"/>
      <c r="RSZ44" s="316"/>
      <c r="RTA44" s="10"/>
      <c r="RTB44" s="125"/>
      <c r="RTC44" s="125"/>
      <c r="RTD44" s="316"/>
      <c r="RTE44" s="14"/>
      <c r="RTF44" s="125"/>
      <c r="RTG44" s="125"/>
      <c r="RTH44" s="316"/>
      <c r="RTI44" s="14"/>
      <c r="RTJ44" s="125"/>
      <c r="RTK44" s="125"/>
      <c r="RTL44" s="316"/>
      <c r="RTM44" s="14"/>
      <c r="RTN44" s="125"/>
      <c r="RTO44" s="125"/>
      <c r="RTP44" s="316"/>
      <c r="RTQ44" s="10"/>
      <c r="RTR44" s="125"/>
      <c r="RTS44" s="125"/>
      <c r="RTT44" s="316"/>
      <c r="RTU44" s="14"/>
      <c r="RTV44" s="125"/>
      <c r="RTW44" s="125"/>
      <c r="RTX44" s="316"/>
      <c r="RTY44" s="14"/>
      <c r="RTZ44" s="125"/>
      <c r="RUA44" s="125"/>
      <c r="RUB44" s="316"/>
      <c r="RUC44" s="14"/>
      <c r="RUD44" s="125"/>
      <c r="RUE44" s="125"/>
      <c r="RUF44" s="316"/>
      <c r="RUG44" s="10"/>
      <c r="RUH44" s="125"/>
      <c r="RUI44" s="125"/>
      <c r="RUJ44" s="316"/>
      <c r="RUK44" s="14"/>
      <c r="RUL44" s="125"/>
      <c r="RUM44" s="125"/>
      <c r="RUN44" s="316"/>
      <c r="RUO44" s="14"/>
      <c r="RUP44" s="125"/>
      <c r="RUQ44" s="125"/>
      <c r="RUR44" s="316"/>
      <c r="RUS44" s="14"/>
      <c r="RUT44" s="125"/>
      <c r="RUU44" s="125"/>
      <c r="RUV44" s="316"/>
      <c r="RUW44" s="10"/>
      <c r="RUX44" s="125"/>
      <c r="RUY44" s="125"/>
      <c r="RUZ44" s="316"/>
      <c r="RVA44" s="14"/>
      <c r="RVB44" s="125"/>
      <c r="RVC44" s="125"/>
      <c r="RVD44" s="316"/>
      <c r="RVE44" s="14"/>
      <c r="RVF44" s="125"/>
      <c r="RVG44" s="125"/>
      <c r="RVH44" s="316"/>
      <c r="RVI44" s="14"/>
      <c r="RVJ44" s="125"/>
      <c r="RVK44" s="125"/>
      <c r="RVL44" s="316"/>
      <c r="RVM44" s="10"/>
      <c r="RVN44" s="125"/>
      <c r="RVO44" s="125"/>
      <c r="RVP44" s="316"/>
      <c r="RVQ44" s="14"/>
      <c r="RVR44" s="125"/>
      <c r="RVS44" s="125"/>
      <c r="RVT44" s="316"/>
      <c r="RVU44" s="14"/>
      <c r="RVV44" s="125"/>
      <c r="RVW44" s="125"/>
      <c r="RVX44" s="316"/>
      <c r="RVY44" s="14"/>
      <c r="RVZ44" s="125"/>
      <c r="RWA44" s="125"/>
      <c r="RWB44" s="316"/>
      <c r="RWC44" s="10"/>
      <c r="RWD44" s="125"/>
      <c r="RWE44" s="125"/>
      <c r="RWF44" s="316"/>
      <c r="RWG44" s="14"/>
      <c r="RWH44" s="125"/>
      <c r="RWI44" s="125"/>
      <c r="RWJ44" s="316"/>
      <c r="RWK44" s="14"/>
      <c r="RWL44" s="125"/>
      <c r="RWM44" s="125"/>
      <c r="RWN44" s="316"/>
      <c r="RWO44" s="14"/>
      <c r="RWP44" s="125"/>
      <c r="RWQ44" s="125"/>
      <c r="RWR44" s="316"/>
      <c r="RWS44" s="10"/>
      <c r="RWT44" s="125"/>
      <c r="RWU44" s="125"/>
      <c r="RWV44" s="316"/>
      <c r="RWW44" s="14"/>
      <c r="RWX44" s="125"/>
      <c r="RWY44" s="125"/>
      <c r="RWZ44" s="316"/>
      <c r="RXA44" s="14"/>
      <c r="RXB44" s="125"/>
      <c r="RXC44" s="125"/>
      <c r="RXD44" s="316"/>
      <c r="RXE44" s="14"/>
      <c r="RXF44" s="125"/>
      <c r="RXG44" s="125"/>
      <c r="RXH44" s="316"/>
      <c r="RXI44" s="10"/>
      <c r="RXJ44" s="125"/>
      <c r="RXK44" s="125"/>
      <c r="RXL44" s="316"/>
      <c r="RXM44" s="14"/>
      <c r="RXN44" s="125"/>
      <c r="RXO44" s="125"/>
      <c r="RXP44" s="316"/>
      <c r="RXQ44" s="14"/>
      <c r="RXR44" s="125"/>
      <c r="RXS44" s="125"/>
      <c r="RXT44" s="316"/>
      <c r="RXU44" s="14"/>
      <c r="RXV44" s="125"/>
      <c r="RXW44" s="125"/>
      <c r="RXX44" s="316"/>
      <c r="RXY44" s="10"/>
      <c r="RXZ44" s="125"/>
      <c r="RYA44" s="125"/>
      <c r="RYB44" s="316"/>
      <c r="RYC44" s="14"/>
      <c r="RYD44" s="125"/>
      <c r="RYE44" s="125"/>
      <c r="RYF44" s="316"/>
      <c r="RYG44" s="14"/>
      <c r="RYH44" s="125"/>
      <c r="RYI44" s="125"/>
      <c r="RYJ44" s="316"/>
      <c r="RYK44" s="14"/>
      <c r="RYL44" s="125"/>
      <c r="RYM44" s="125"/>
      <c r="RYN44" s="316"/>
      <c r="RYO44" s="10"/>
      <c r="RYP44" s="125"/>
      <c r="RYQ44" s="125"/>
      <c r="RYR44" s="316"/>
      <c r="RYS44" s="14"/>
      <c r="RYT44" s="125"/>
      <c r="RYU44" s="125"/>
      <c r="RYV44" s="316"/>
      <c r="RYW44" s="14"/>
      <c r="RYX44" s="125"/>
      <c r="RYY44" s="125"/>
      <c r="RYZ44" s="316"/>
      <c r="RZA44" s="14"/>
      <c r="RZB44" s="125"/>
      <c r="RZC44" s="125"/>
      <c r="RZD44" s="316"/>
      <c r="RZE44" s="10"/>
      <c r="RZF44" s="125"/>
      <c r="RZG44" s="125"/>
      <c r="RZH44" s="316"/>
      <c r="RZI44" s="14"/>
      <c r="RZJ44" s="125"/>
      <c r="RZK44" s="125"/>
      <c r="RZL44" s="316"/>
      <c r="RZM44" s="14"/>
      <c r="RZN44" s="125"/>
      <c r="RZO44" s="125"/>
      <c r="RZP44" s="316"/>
      <c r="RZQ44" s="14"/>
      <c r="RZR44" s="125"/>
      <c r="RZS44" s="125"/>
      <c r="RZT44" s="316"/>
      <c r="RZU44" s="10"/>
      <c r="RZV44" s="125"/>
      <c r="RZW44" s="125"/>
      <c r="RZX44" s="316"/>
      <c r="RZY44" s="14"/>
      <c r="RZZ44" s="125"/>
      <c r="SAA44" s="125"/>
      <c r="SAB44" s="316"/>
      <c r="SAC44" s="14"/>
      <c r="SAD44" s="125"/>
      <c r="SAE44" s="125"/>
      <c r="SAF44" s="316"/>
      <c r="SAG44" s="14"/>
      <c r="SAH44" s="125"/>
      <c r="SAI44" s="125"/>
      <c r="SAJ44" s="316"/>
      <c r="SAK44" s="10"/>
      <c r="SAL44" s="125"/>
      <c r="SAM44" s="125"/>
      <c r="SAN44" s="316"/>
      <c r="SAO44" s="14"/>
      <c r="SAP44" s="125"/>
      <c r="SAQ44" s="125"/>
      <c r="SAR44" s="316"/>
      <c r="SAS44" s="14"/>
      <c r="SAT44" s="125"/>
      <c r="SAU44" s="125"/>
      <c r="SAV44" s="316"/>
      <c r="SAW44" s="14"/>
      <c r="SAX44" s="125"/>
      <c r="SAY44" s="125"/>
      <c r="SAZ44" s="316"/>
      <c r="SBA44" s="10"/>
      <c r="SBB44" s="125"/>
      <c r="SBC44" s="125"/>
      <c r="SBD44" s="316"/>
      <c r="SBE44" s="14"/>
      <c r="SBF44" s="125"/>
      <c r="SBG44" s="125"/>
      <c r="SBH44" s="316"/>
      <c r="SBI44" s="14"/>
      <c r="SBJ44" s="125"/>
      <c r="SBK44" s="125"/>
      <c r="SBL44" s="316"/>
      <c r="SBM44" s="14"/>
      <c r="SBN44" s="125"/>
      <c r="SBO44" s="125"/>
      <c r="SBP44" s="316"/>
      <c r="SBQ44" s="10"/>
      <c r="SBR44" s="125"/>
      <c r="SBS44" s="125"/>
      <c r="SBT44" s="316"/>
      <c r="SBU44" s="14"/>
      <c r="SBV44" s="125"/>
      <c r="SBW44" s="125"/>
      <c r="SBX44" s="316"/>
      <c r="SBY44" s="14"/>
      <c r="SBZ44" s="125"/>
      <c r="SCA44" s="125"/>
      <c r="SCB44" s="316"/>
      <c r="SCC44" s="14"/>
      <c r="SCD44" s="125"/>
      <c r="SCE44" s="125"/>
      <c r="SCF44" s="316"/>
      <c r="SCG44" s="10"/>
      <c r="SCH44" s="125"/>
      <c r="SCI44" s="125"/>
      <c r="SCJ44" s="316"/>
      <c r="SCK44" s="14"/>
      <c r="SCL44" s="125"/>
      <c r="SCM44" s="125"/>
      <c r="SCN44" s="316"/>
      <c r="SCO44" s="14"/>
      <c r="SCP44" s="125"/>
      <c r="SCQ44" s="125"/>
      <c r="SCR44" s="316"/>
      <c r="SCS44" s="14"/>
      <c r="SCT44" s="125"/>
      <c r="SCU44" s="125"/>
      <c r="SCV44" s="316"/>
      <c r="SCW44" s="10"/>
      <c r="SCX44" s="125"/>
      <c r="SCY44" s="125"/>
      <c r="SCZ44" s="316"/>
      <c r="SDA44" s="14"/>
      <c r="SDB44" s="125"/>
      <c r="SDC44" s="125"/>
      <c r="SDD44" s="316"/>
      <c r="SDE44" s="14"/>
      <c r="SDF44" s="125"/>
      <c r="SDG44" s="125"/>
      <c r="SDH44" s="316"/>
      <c r="SDI44" s="14"/>
      <c r="SDJ44" s="125"/>
      <c r="SDK44" s="125"/>
      <c r="SDL44" s="316"/>
      <c r="SDM44" s="10"/>
      <c r="SDN44" s="125"/>
      <c r="SDO44" s="125"/>
      <c r="SDP44" s="316"/>
      <c r="SDQ44" s="14"/>
      <c r="SDR44" s="125"/>
      <c r="SDS44" s="125"/>
      <c r="SDT44" s="316"/>
      <c r="SDU44" s="14"/>
      <c r="SDV44" s="125"/>
      <c r="SDW44" s="125"/>
      <c r="SDX44" s="316"/>
      <c r="SDY44" s="14"/>
      <c r="SDZ44" s="125"/>
      <c r="SEA44" s="125"/>
      <c r="SEB44" s="316"/>
      <c r="SEC44" s="10"/>
      <c r="SED44" s="125"/>
      <c r="SEE44" s="125"/>
      <c r="SEF44" s="316"/>
      <c r="SEG44" s="14"/>
      <c r="SEH44" s="125"/>
      <c r="SEI44" s="125"/>
      <c r="SEJ44" s="316"/>
      <c r="SEK44" s="14"/>
      <c r="SEL44" s="125"/>
      <c r="SEM44" s="125"/>
      <c r="SEN44" s="316"/>
      <c r="SEO44" s="14"/>
      <c r="SEP44" s="125"/>
      <c r="SEQ44" s="125"/>
      <c r="SER44" s="316"/>
      <c r="SES44" s="10"/>
      <c r="SET44" s="125"/>
      <c r="SEU44" s="125"/>
      <c r="SEV44" s="316"/>
      <c r="SEW44" s="14"/>
      <c r="SEX44" s="125"/>
      <c r="SEY44" s="125"/>
      <c r="SEZ44" s="316"/>
      <c r="SFA44" s="14"/>
      <c r="SFB44" s="125"/>
      <c r="SFC44" s="125"/>
      <c r="SFD44" s="316"/>
      <c r="SFE44" s="14"/>
      <c r="SFF44" s="125"/>
      <c r="SFG44" s="125"/>
      <c r="SFH44" s="316"/>
      <c r="SFI44" s="10"/>
      <c r="SFJ44" s="125"/>
      <c r="SFK44" s="125"/>
      <c r="SFL44" s="316"/>
      <c r="SFM44" s="14"/>
      <c r="SFN44" s="125"/>
      <c r="SFO44" s="125"/>
      <c r="SFP44" s="316"/>
      <c r="SFQ44" s="14"/>
      <c r="SFR44" s="125"/>
      <c r="SFS44" s="125"/>
      <c r="SFT44" s="316"/>
      <c r="SFU44" s="14"/>
      <c r="SFV44" s="125"/>
      <c r="SFW44" s="125"/>
      <c r="SFX44" s="316"/>
      <c r="SFY44" s="10"/>
      <c r="SFZ44" s="125"/>
      <c r="SGA44" s="125"/>
      <c r="SGB44" s="316"/>
      <c r="SGC44" s="14"/>
      <c r="SGD44" s="125"/>
      <c r="SGE44" s="125"/>
      <c r="SGF44" s="316"/>
      <c r="SGG44" s="14"/>
      <c r="SGH44" s="125"/>
      <c r="SGI44" s="125"/>
      <c r="SGJ44" s="316"/>
      <c r="SGK44" s="14"/>
      <c r="SGL44" s="125"/>
      <c r="SGM44" s="125"/>
      <c r="SGN44" s="316"/>
      <c r="SGO44" s="10"/>
      <c r="SGP44" s="125"/>
      <c r="SGQ44" s="125"/>
      <c r="SGR44" s="316"/>
      <c r="SGS44" s="14"/>
      <c r="SGT44" s="125"/>
      <c r="SGU44" s="125"/>
      <c r="SGV44" s="316"/>
      <c r="SGW44" s="14"/>
      <c r="SGX44" s="125"/>
      <c r="SGY44" s="125"/>
      <c r="SGZ44" s="316"/>
      <c r="SHA44" s="14"/>
      <c r="SHB44" s="125"/>
      <c r="SHC44" s="125"/>
      <c r="SHD44" s="316"/>
      <c r="SHE44" s="10"/>
      <c r="SHF44" s="125"/>
      <c r="SHG44" s="125"/>
      <c r="SHH44" s="316"/>
      <c r="SHI44" s="14"/>
      <c r="SHJ44" s="125"/>
      <c r="SHK44" s="125"/>
      <c r="SHL44" s="316"/>
      <c r="SHM44" s="14"/>
      <c r="SHN44" s="125"/>
      <c r="SHO44" s="125"/>
      <c r="SHP44" s="316"/>
      <c r="SHQ44" s="14"/>
      <c r="SHR44" s="125"/>
      <c r="SHS44" s="125"/>
      <c r="SHT44" s="316"/>
      <c r="SHU44" s="10"/>
      <c r="SHV44" s="125"/>
      <c r="SHW44" s="125"/>
      <c r="SHX44" s="316"/>
      <c r="SHY44" s="14"/>
      <c r="SHZ44" s="125"/>
      <c r="SIA44" s="125"/>
      <c r="SIB44" s="316"/>
      <c r="SIC44" s="14"/>
      <c r="SID44" s="125"/>
      <c r="SIE44" s="125"/>
      <c r="SIF44" s="316"/>
      <c r="SIG44" s="14"/>
      <c r="SIH44" s="125"/>
      <c r="SII44" s="125"/>
      <c r="SIJ44" s="316"/>
      <c r="SIK44" s="10"/>
      <c r="SIL44" s="125"/>
      <c r="SIM44" s="125"/>
      <c r="SIN44" s="316"/>
      <c r="SIO44" s="14"/>
      <c r="SIP44" s="125"/>
      <c r="SIQ44" s="125"/>
      <c r="SIR44" s="316"/>
      <c r="SIS44" s="14"/>
      <c r="SIT44" s="125"/>
      <c r="SIU44" s="125"/>
      <c r="SIV44" s="316"/>
      <c r="SIW44" s="14"/>
      <c r="SIX44" s="125"/>
      <c r="SIY44" s="125"/>
      <c r="SIZ44" s="316"/>
      <c r="SJA44" s="10"/>
      <c r="SJB44" s="125"/>
      <c r="SJC44" s="125"/>
      <c r="SJD44" s="316"/>
      <c r="SJE44" s="14"/>
      <c r="SJF44" s="125"/>
      <c r="SJG44" s="125"/>
      <c r="SJH44" s="316"/>
      <c r="SJI44" s="14"/>
      <c r="SJJ44" s="125"/>
      <c r="SJK44" s="125"/>
      <c r="SJL44" s="316"/>
      <c r="SJM44" s="14"/>
      <c r="SJN44" s="125"/>
      <c r="SJO44" s="125"/>
      <c r="SJP44" s="316"/>
      <c r="SJQ44" s="10"/>
      <c r="SJR44" s="125"/>
      <c r="SJS44" s="125"/>
      <c r="SJT44" s="316"/>
      <c r="SJU44" s="14"/>
      <c r="SJV44" s="125"/>
      <c r="SJW44" s="125"/>
      <c r="SJX44" s="316"/>
      <c r="SJY44" s="14"/>
      <c r="SJZ44" s="125"/>
      <c r="SKA44" s="125"/>
      <c r="SKB44" s="316"/>
      <c r="SKC44" s="14"/>
      <c r="SKD44" s="125"/>
      <c r="SKE44" s="125"/>
      <c r="SKF44" s="316"/>
      <c r="SKG44" s="10"/>
      <c r="SKH44" s="125"/>
      <c r="SKI44" s="125"/>
      <c r="SKJ44" s="316"/>
      <c r="SKK44" s="14"/>
      <c r="SKL44" s="125"/>
      <c r="SKM44" s="125"/>
      <c r="SKN44" s="316"/>
      <c r="SKO44" s="14"/>
      <c r="SKP44" s="125"/>
      <c r="SKQ44" s="125"/>
      <c r="SKR44" s="316"/>
      <c r="SKS44" s="14"/>
      <c r="SKT44" s="125"/>
      <c r="SKU44" s="125"/>
      <c r="SKV44" s="316"/>
      <c r="SKW44" s="10"/>
      <c r="SKX44" s="125"/>
      <c r="SKY44" s="125"/>
      <c r="SKZ44" s="316"/>
      <c r="SLA44" s="14"/>
      <c r="SLB44" s="125"/>
      <c r="SLC44" s="125"/>
      <c r="SLD44" s="316"/>
      <c r="SLE44" s="14"/>
      <c r="SLF44" s="125"/>
      <c r="SLG44" s="125"/>
      <c r="SLH44" s="316"/>
      <c r="SLI44" s="14"/>
      <c r="SLJ44" s="125"/>
      <c r="SLK44" s="125"/>
      <c r="SLL44" s="316"/>
      <c r="SLM44" s="10"/>
      <c r="SLN44" s="125"/>
      <c r="SLO44" s="125"/>
      <c r="SLP44" s="316"/>
      <c r="SLQ44" s="14"/>
      <c r="SLR44" s="125"/>
      <c r="SLS44" s="125"/>
      <c r="SLT44" s="316"/>
      <c r="SLU44" s="14"/>
      <c r="SLV44" s="125"/>
      <c r="SLW44" s="125"/>
      <c r="SLX44" s="316"/>
      <c r="SLY44" s="14"/>
      <c r="SLZ44" s="125"/>
      <c r="SMA44" s="125"/>
      <c r="SMB44" s="316"/>
      <c r="SMC44" s="10"/>
      <c r="SMD44" s="125"/>
      <c r="SME44" s="125"/>
      <c r="SMF44" s="316"/>
      <c r="SMG44" s="14"/>
      <c r="SMH44" s="125"/>
      <c r="SMI44" s="125"/>
      <c r="SMJ44" s="316"/>
      <c r="SMK44" s="14"/>
      <c r="SML44" s="125"/>
      <c r="SMM44" s="125"/>
      <c r="SMN44" s="316"/>
      <c r="SMO44" s="14"/>
      <c r="SMP44" s="125"/>
      <c r="SMQ44" s="125"/>
      <c r="SMR44" s="316"/>
      <c r="SMS44" s="10"/>
      <c r="SMT44" s="125"/>
      <c r="SMU44" s="125"/>
      <c r="SMV44" s="316"/>
      <c r="SMW44" s="14"/>
      <c r="SMX44" s="125"/>
      <c r="SMY44" s="125"/>
      <c r="SMZ44" s="316"/>
      <c r="SNA44" s="14"/>
      <c r="SNB44" s="125"/>
      <c r="SNC44" s="125"/>
      <c r="SND44" s="316"/>
      <c r="SNE44" s="14"/>
      <c r="SNF44" s="125"/>
      <c r="SNG44" s="125"/>
      <c r="SNH44" s="316"/>
      <c r="SNI44" s="10"/>
      <c r="SNJ44" s="125"/>
      <c r="SNK44" s="125"/>
      <c r="SNL44" s="316"/>
      <c r="SNM44" s="14"/>
      <c r="SNN44" s="125"/>
      <c r="SNO44" s="125"/>
      <c r="SNP44" s="316"/>
      <c r="SNQ44" s="14"/>
      <c r="SNR44" s="125"/>
      <c r="SNS44" s="125"/>
      <c r="SNT44" s="316"/>
      <c r="SNU44" s="14"/>
      <c r="SNV44" s="125"/>
      <c r="SNW44" s="125"/>
      <c r="SNX44" s="316"/>
      <c r="SNY44" s="10"/>
      <c r="SNZ44" s="125"/>
      <c r="SOA44" s="125"/>
      <c r="SOB44" s="316"/>
      <c r="SOC44" s="14"/>
      <c r="SOD44" s="125"/>
      <c r="SOE44" s="125"/>
      <c r="SOF44" s="316"/>
      <c r="SOG44" s="14"/>
      <c r="SOH44" s="125"/>
      <c r="SOI44" s="125"/>
      <c r="SOJ44" s="316"/>
      <c r="SOK44" s="14"/>
      <c r="SOL44" s="125"/>
      <c r="SOM44" s="125"/>
      <c r="SON44" s="316"/>
      <c r="SOO44" s="10"/>
      <c r="SOP44" s="125"/>
      <c r="SOQ44" s="125"/>
      <c r="SOR44" s="316"/>
      <c r="SOS44" s="14"/>
      <c r="SOT44" s="125"/>
      <c r="SOU44" s="125"/>
      <c r="SOV44" s="316"/>
      <c r="SOW44" s="14"/>
      <c r="SOX44" s="125"/>
      <c r="SOY44" s="125"/>
      <c r="SOZ44" s="316"/>
      <c r="SPA44" s="14"/>
      <c r="SPB44" s="125"/>
      <c r="SPC44" s="125"/>
      <c r="SPD44" s="316"/>
      <c r="SPE44" s="10"/>
      <c r="SPF44" s="125"/>
      <c r="SPG44" s="125"/>
      <c r="SPH44" s="316"/>
      <c r="SPI44" s="14"/>
      <c r="SPJ44" s="125"/>
      <c r="SPK44" s="125"/>
      <c r="SPL44" s="316"/>
      <c r="SPM44" s="14"/>
      <c r="SPN44" s="125"/>
      <c r="SPO44" s="125"/>
      <c r="SPP44" s="316"/>
      <c r="SPQ44" s="14"/>
      <c r="SPR44" s="125"/>
      <c r="SPS44" s="125"/>
      <c r="SPT44" s="316"/>
      <c r="SPU44" s="10"/>
      <c r="SPV44" s="125"/>
      <c r="SPW44" s="125"/>
      <c r="SPX44" s="316"/>
      <c r="SPY44" s="14"/>
      <c r="SPZ44" s="125"/>
      <c r="SQA44" s="125"/>
      <c r="SQB44" s="316"/>
      <c r="SQC44" s="14"/>
      <c r="SQD44" s="125"/>
      <c r="SQE44" s="125"/>
      <c r="SQF44" s="316"/>
      <c r="SQG44" s="14"/>
      <c r="SQH44" s="125"/>
      <c r="SQI44" s="125"/>
      <c r="SQJ44" s="316"/>
      <c r="SQK44" s="10"/>
      <c r="SQL44" s="125"/>
      <c r="SQM44" s="125"/>
      <c r="SQN44" s="316"/>
      <c r="SQO44" s="14"/>
      <c r="SQP44" s="125"/>
      <c r="SQQ44" s="125"/>
      <c r="SQR44" s="316"/>
      <c r="SQS44" s="14"/>
      <c r="SQT44" s="125"/>
      <c r="SQU44" s="125"/>
      <c r="SQV44" s="316"/>
      <c r="SQW44" s="14"/>
      <c r="SQX44" s="125"/>
      <c r="SQY44" s="125"/>
      <c r="SQZ44" s="316"/>
      <c r="SRA44" s="10"/>
      <c r="SRB44" s="125"/>
      <c r="SRC44" s="125"/>
      <c r="SRD44" s="316"/>
      <c r="SRE44" s="14"/>
      <c r="SRF44" s="125"/>
      <c r="SRG44" s="125"/>
      <c r="SRH44" s="316"/>
      <c r="SRI44" s="14"/>
      <c r="SRJ44" s="125"/>
      <c r="SRK44" s="125"/>
      <c r="SRL44" s="316"/>
      <c r="SRM44" s="14"/>
      <c r="SRN44" s="125"/>
      <c r="SRO44" s="125"/>
      <c r="SRP44" s="316"/>
      <c r="SRQ44" s="10"/>
      <c r="SRR44" s="125"/>
      <c r="SRS44" s="125"/>
      <c r="SRT44" s="316"/>
      <c r="SRU44" s="14"/>
      <c r="SRV44" s="125"/>
      <c r="SRW44" s="125"/>
      <c r="SRX44" s="316"/>
      <c r="SRY44" s="14"/>
      <c r="SRZ44" s="125"/>
      <c r="SSA44" s="125"/>
      <c r="SSB44" s="316"/>
      <c r="SSC44" s="14"/>
      <c r="SSD44" s="125"/>
      <c r="SSE44" s="125"/>
      <c r="SSF44" s="316"/>
      <c r="SSG44" s="10"/>
      <c r="SSH44" s="125"/>
      <c r="SSI44" s="125"/>
      <c r="SSJ44" s="316"/>
      <c r="SSK44" s="14"/>
      <c r="SSL44" s="125"/>
      <c r="SSM44" s="125"/>
      <c r="SSN44" s="316"/>
      <c r="SSO44" s="14"/>
      <c r="SSP44" s="125"/>
      <c r="SSQ44" s="125"/>
      <c r="SSR44" s="316"/>
      <c r="SSS44" s="14"/>
      <c r="SST44" s="125"/>
      <c r="SSU44" s="125"/>
      <c r="SSV44" s="316"/>
      <c r="SSW44" s="10"/>
      <c r="SSX44" s="125"/>
      <c r="SSY44" s="125"/>
      <c r="SSZ44" s="316"/>
      <c r="STA44" s="14"/>
      <c r="STB44" s="125"/>
      <c r="STC44" s="125"/>
      <c r="STD44" s="316"/>
      <c r="STE44" s="14"/>
      <c r="STF44" s="125"/>
      <c r="STG44" s="125"/>
      <c r="STH44" s="316"/>
      <c r="STI44" s="14"/>
      <c r="STJ44" s="125"/>
      <c r="STK44" s="125"/>
      <c r="STL44" s="316"/>
      <c r="STM44" s="10"/>
      <c r="STN44" s="125"/>
      <c r="STO44" s="125"/>
      <c r="STP44" s="316"/>
      <c r="STQ44" s="14"/>
      <c r="STR44" s="125"/>
      <c r="STS44" s="125"/>
      <c r="STT44" s="316"/>
      <c r="STU44" s="14"/>
      <c r="STV44" s="125"/>
      <c r="STW44" s="125"/>
      <c r="STX44" s="316"/>
      <c r="STY44" s="14"/>
      <c r="STZ44" s="125"/>
      <c r="SUA44" s="125"/>
      <c r="SUB44" s="316"/>
      <c r="SUC44" s="10"/>
      <c r="SUD44" s="125"/>
      <c r="SUE44" s="125"/>
      <c r="SUF44" s="316"/>
      <c r="SUG44" s="14"/>
      <c r="SUH44" s="125"/>
      <c r="SUI44" s="125"/>
      <c r="SUJ44" s="316"/>
      <c r="SUK44" s="14"/>
      <c r="SUL44" s="125"/>
      <c r="SUM44" s="125"/>
      <c r="SUN44" s="316"/>
      <c r="SUO44" s="14"/>
      <c r="SUP44" s="125"/>
      <c r="SUQ44" s="125"/>
      <c r="SUR44" s="316"/>
      <c r="SUS44" s="10"/>
      <c r="SUT44" s="125"/>
      <c r="SUU44" s="125"/>
      <c r="SUV44" s="316"/>
      <c r="SUW44" s="14"/>
      <c r="SUX44" s="125"/>
      <c r="SUY44" s="125"/>
      <c r="SUZ44" s="316"/>
      <c r="SVA44" s="14"/>
      <c r="SVB44" s="125"/>
      <c r="SVC44" s="125"/>
      <c r="SVD44" s="316"/>
      <c r="SVE44" s="14"/>
      <c r="SVF44" s="125"/>
      <c r="SVG44" s="125"/>
      <c r="SVH44" s="316"/>
      <c r="SVI44" s="10"/>
      <c r="SVJ44" s="125"/>
      <c r="SVK44" s="125"/>
      <c r="SVL44" s="316"/>
      <c r="SVM44" s="14"/>
      <c r="SVN44" s="125"/>
      <c r="SVO44" s="125"/>
      <c r="SVP44" s="316"/>
      <c r="SVQ44" s="14"/>
      <c r="SVR44" s="125"/>
      <c r="SVS44" s="125"/>
      <c r="SVT44" s="316"/>
      <c r="SVU44" s="14"/>
      <c r="SVV44" s="125"/>
      <c r="SVW44" s="125"/>
      <c r="SVX44" s="316"/>
      <c r="SVY44" s="10"/>
      <c r="SVZ44" s="125"/>
      <c r="SWA44" s="125"/>
      <c r="SWB44" s="316"/>
      <c r="SWC44" s="14"/>
      <c r="SWD44" s="125"/>
      <c r="SWE44" s="125"/>
      <c r="SWF44" s="316"/>
      <c r="SWG44" s="14"/>
      <c r="SWH44" s="125"/>
      <c r="SWI44" s="125"/>
      <c r="SWJ44" s="316"/>
      <c r="SWK44" s="14"/>
      <c r="SWL44" s="125"/>
      <c r="SWM44" s="125"/>
      <c r="SWN44" s="316"/>
      <c r="SWO44" s="10"/>
      <c r="SWP44" s="125"/>
      <c r="SWQ44" s="125"/>
      <c r="SWR44" s="316"/>
      <c r="SWS44" s="14"/>
      <c r="SWT44" s="125"/>
      <c r="SWU44" s="125"/>
      <c r="SWV44" s="316"/>
      <c r="SWW44" s="14"/>
      <c r="SWX44" s="125"/>
      <c r="SWY44" s="125"/>
      <c r="SWZ44" s="316"/>
      <c r="SXA44" s="14"/>
      <c r="SXB44" s="125"/>
      <c r="SXC44" s="125"/>
      <c r="SXD44" s="316"/>
      <c r="SXE44" s="10"/>
      <c r="SXF44" s="125"/>
      <c r="SXG44" s="125"/>
      <c r="SXH44" s="316"/>
      <c r="SXI44" s="14"/>
      <c r="SXJ44" s="125"/>
      <c r="SXK44" s="125"/>
      <c r="SXL44" s="316"/>
      <c r="SXM44" s="14"/>
      <c r="SXN44" s="125"/>
      <c r="SXO44" s="125"/>
      <c r="SXP44" s="316"/>
      <c r="SXQ44" s="14"/>
      <c r="SXR44" s="125"/>
      <c r="SXS44" s="125"/>
      <c r="SXT44" s="316"/>
      <c r="SXU44" s="10"/>
      <c r="SXV44" s="125"/>
      <c r="SXW44" s="125"/>
      <c r="SXX44" s="316"/>
      <c r="SXY44" s="14"/>
      <c r="SXZ44" s="125"/>
      <c r="SYA44" s="125"/>
      <c r="SYB44" s="316"/>
      <c r="SYC44" s="14"/>
      <c r="SYD44" s="125"/>
      <c r="SYE44" s="125"/>
      <c r="SYF44" s="316"/>
      <c r="SYG44" s="14"/>
      <c r="SYH44" s="125"/>
      <c r="SYI44" s="125"/>
      <c r="SYJ44" s="316"/>
      <c r="SYK44" s="10"/>
      <c r="SYL44" s="125"/>
      <c r="SYM44" s="125"/>
      <c r="SYN44" s="316"/>
      <c r="SYO44" s="14"/>
      <c r="SYP44" s="125"/>
      <c r="SYQ44" s="125"/>
      <c r="SYR44" s="316"/>
      <c r="SYS44" s="14"/>
      <c r="SYT44" s="125"/>
      <c r="SYU44" s="125"/>
      <c r="SYV44" s="316"/>
      <c r="SYW44" s="14"/>
      <c r="SYX44" s="125"/>
      <c r="SYY44" s="125"/>
      <c r="SYZ44" s="316"/>
      <c r="SZA44" s="10"/>
      <c r="SZB44" s="125"/>
      <c r="SZC44" s="125"/>
      <c r="SZD44" s="316"/>
      <c r="SZE44" s="14"/>
      <c r="SZF44" s="125"/>
      <c r="SZG44" s="125"/>
      <c r="SZH44" s="316"/>
      <c r="SZI44" s="14"/>
      <c r="SZJ44" s="125"/>
      <c r="SZK44" s="125"/>
      <c r="SZL44" s="316"/>
      <c r="SZM44" s="14"/>
      <c r="SZN44" s="125"/>
      <c r="SZO44" s="125"/>
      <c r="SZP44" s="316"/>
      <c r="SZQ44" s="10"/>
      <c r="SZR44" s="125"/>
      <c r="SZS44" s="125"/>
      <c r="SZT44" s="316"/>
      <c r="SZU44" s="14"/>
      <c r="SZV44" s="125"/>
      <c r="SZW44" s="125"/>
      <c r="SZX44" s="316"/>
      <c r="SZY44" s="14"/>
      <c r="SZZ44" s="125"/>
      <c r="TAA44" s="125"/>
      <c r="TAB44" s="316"/>
      <c r="TAC44" s="14"/>
      <c r="TAD44" s="125"/>
      <c r="TAE44" s="125"/>
      <c r="TAF44" s="316"/>
      <c r="TAG44" s="10"/>
      <c r="TAH44" s="125"/>
      <c r="TAI44" s="125"/>
      <c r="TAJ44" s="316"/>
      <c r="TAK44" s="14"/>
      <c r="TAL44" s="125"/>
      <c r="TAM44" s="125"/>
      <c r="TAN44" s="316"/>
      <c r="TAO44" s="14"/>
      <c r="TAP44" s="125"/>
      <c r="TAQ44" s="125"/>
      <c r="TAR44" s="316"/>
      <c r="TAS44" s="14"/>
      <c r="TAT44" s="125"/>
      <c r="TAU44" s="125"/>
      <c r="TAV44" s="316"/>
      <c r="TAW44" s="10"/>
      <c r="TAX44" s="125"/>
      <c r="TAY44" s="125"/>
      <c r="TAZ44" s="316"/>
      <c r="TBA44" s="14"/>
      <c r="TBB44" s="125"/>
      <c r="TBC44" s="125"/>
      <c r="TBD44" s="316"/>
      <c r="TBE44" s="14"/>
      <c r="TBF44" s="125"/>
      <c r="TBG44" s="125"/>
      <c r="TBH44" s="316"/>
      <c r="TBI44" s="14"/>
      <c r="TBJ44" s="125"/>
      <c r="TBK44" s="125"/>
      <c r="TBL44" s="316"/>
      <c r="TBM44" s="10"/>
      <c r="TBN44" s="125"/>
      <c r="TBO44" s="125"/>
      <c r="TBP44" s="316"/>
      <c r="TBQ44" s="14"/>
      <c r="TBR44" s="125"/>
      <c r="TBS44" s="125"/>
      <c r="TBT44" s="316"/>
      <c r="TBU44" s="14"/>
      <c r="TBV44" s="125"/>
      <c r="TBW44" s="125"/>
      <c r="TBX44" s="316"/>
      <c r="TBY44" s="14"/>
      <c r="TBZ44" s="125"/>
      <c r="TCA44" s="125"/>
      <c r="TCB44" s="316"/>
      <c r="TCC44" s="10"/>
      <c r="TCD44" s="125"/>
      <c r="TCE44" s="125"/>
      <c r="TCF44" s="316"/>
      <c r="TCG44" s="14"/>
      <c r="TCH44" s="125"/>
      <c r="TCI44" s="125"/>
      <c r="TCJ44" s="316"/>
      <c r="TCK44" s="14"/>
      <c r="TCL44" s="125"/>
      <c r="TCM44" s="125"/>
      <c r="TCN44" s="316"/>
      <c r="TCO44" s="14"/>
      <c r="TCP44" s="125"/>
      <c r="TCQ44" s="125"/>
      <c r="TCR44" s="316"/>
      <c r="TCS44" s="10"/>
      <c r="TCT44" s="125"/>
      <c r="TCU44" s="125"/>
      <c r="TCV44" s="316"/>
      <c r="TCW44" s="14"/>
      <c r="TCX44" s="125"/>
      <c r="TCY44" s="125"/>
      <c r="TCZ44" s="316"/>
      <c r="TDA44" s="14"/>
      <c r="TDB44" s="125"/>
      <c r="TDC44" s="125"/>
      <c r="TDD44" s="316"/>
      <c r="TDE44" s="14"/>
      <c r="TDF44" s="125"/>
      <c r="TDG44" s="125"/>
      <c r="TDH44" s="316"/>
      <c r="TDI44" s="10"/>
      <c r="TDJ44" s="125"/>
      <c r="TDK44" s="125"/>
      <c r="TDL44" s="316"/>
      <c r="TDM44" s="14"/>
      <c r="TDN44" s="125"/>
      <c r="TDO44" s="125"/>
      <c r="TDP44" s="316"/>
      <c r="TDQ44" s="14"/>
      <c r="TDR44" s="125"/>
      <c r="TDS44" s="125"/>
      <c r="TDT44" s="316"/>
      <c r="TDU44" s="14"/>
      <c r="TDV44" s="125"/>
      <c r="TDW44" s="125"/>
      <c r="TDX44" s="316"/>
      <c r="TDY44" s="10"/>
      <c r="TDZ44" s="125"/>
      <c r="TEA44" s="125"/>
      <c r="TEB44" s="316"/>
      <c r="TEC44" s="14"/>
      <c r="TED44" s="125"/>
      <c r="TEE44" s="125"/>
      <c r="TEF44" s="316"/>
      <c r="TEG44" s="14"/>
      <c r="TEH44" s="125"/>
      <c r="TEI44" s="125"/>
      <c r="TEJ44" s="316"/>
      <c r="TEK44" s="14"/>
      <c r="TEL44" s="125"/>
      <c r="TEM44" s="125"/>
      <c r="TEN44" s="316"/>
      <c r="TEO44" s="10"/>
      <c r="TEP44" s="125"/>
      <c r="TEQ44" s="125"/>
      <c r="TER44" s="316"/>
      <c r="TES44" s="14"/>
      <c r="TET44" s="125"/>
      <c r="TEU44" s="125"/>
      <c r="TEV44" s="316"/>
      <c r="TEW44" s="14"/>
      <c r="TEX44" s="125"/>
      <c r="TEY44" s="125"/>
      <c r="TEZ44" s="316"/>
      <c r="TFA44" s="14"/>
      <c r="TFB44" s="125"/>
      <c r="TFC44" s="125"/>
      <c r="TFD44" s="316"/>
      <c r="TFE44" s="10"/>
      <c r="TFF44" s="125"/>
      <c r="TFG44" s="125"/>
      <c r="TFH44" s="316"/>
      <c r="TFI44" s="14"/>
      <c r="TFJ44" s="125"/>
      <c r="TFK44" s="125"/>
      <c r="TFL44" s="316"/>
      <c r="TFM44" s="14"/>
      <c r="TFN44" s="125"/>
      <c r="TFO44" s="125"/>
      <c r="TFP44" s="316"/>
      <c r="TFQ44" s="14"/>
      <c r="TFR44" s="125"/>
      <c r="TFS44" s="125"/>
      <c r="TFT44" s="316"/>
      <c r="TFU44" s="10"/>
      <c r="TFV44" s="125"/>
      <c r="TFW44" s="125"/>
      <c r="TFX44" s="316"/>
      <c r="TFY44" s="14"/>
      <c r="TFZ44" s="125"/>
      <c r="TGA44" s="125"/>
      <c r="TGB44" s="316"/>
      <c r="TGC44" s="14"/>
      <c r="TGD44" s="125"/>
      <c r="TGE44" s="125"/>
      <c r="TGF44" s="316"/>
      <c r="TGG44" s="14"/>
      <c r="TGH44" s="125"/>
      <c r="TGI44" s="125"/>
      <c r="TGJ44" s="316"/>
      <c r="TGK44" s="10"/>
      <c r="TGL44" s="125"/>
      <c r="TGM44" s="125"/>
      <c r="TGN44" s="316"/>
      <c r="TGO44" s="14"/>
      <c r="TGP44" s="125"/>
      <c r="TGQ44" s="125"/>
      <c r="TGR44" s="316"/>
      <c r="TGS44" s="14"/>
      <c r="TGT44" s="125"/>
      <c r="TGU44" s="125"/>
      <c r="TGV44" s="316"/>
      <c r="TGW44" s="14"/>
      <c r="TGX44" s="125"/>
      <c r="TGY44" s="125"/>
      <c r="TGZ44" s="316"/>
      <c r="THA44" s="10"/>
      <c r="THB44" s="125"/>
      <c r="THC44" s="125"/>
      <c r="THD44" s="316"/>
      <c r="THE44" s="14"/>
      <c r="THF44" s="125"/>
      <c r="THG44" s="125"/>
      <c r="THH44" s="316"/>
      <c r="THI44" s="14"/>
      <c r="THJ44" s="125"/>
      <c r="THK44" s="125"/>
      <c r="THL44" s="316"/>
      <c r="THM44" s="14"/>
      <c r="THN44" s="125"/>
      <c r="THO44" s="125"/>
      <c r="THP44" s="316"/>
      <c r="THQ44" s="10"/>
      <c r="THR44" s="125"/>
      <c r="THS44" s="125"/>
      <c r="THT44" s="316"/>
      <c r="THU44" s="14"/>
      <c r="THV44" s="125"/>
      <c r="THW44" s="125"/>
      <c r="THX44" s="316"/>
      <c r="THY44" s="14"/>
      <c r="THZ44" s="125"/>
      <c r="TIA44" s="125"/>
      <c r="TIB44" s="316"/>
      <c r="TIC44" s="14"/>
      <c r="TID44" s="125"/>
      <c r="TIE44" s="125"/>
      <c r="TIF44" s="316"/>
      <c r="TIG44" s="10"/>
      <c r="TIH44" s="125"/>
      <c r="TII44" s="125"/>
      <c r="TIJ44" s="316"/>
      <c r="TIK44" s="14"/>
      <c r="TIL44" s="125"/>
      <c r="TIM44" s="125"/>
      <c r="TIN44" s="316"/>
      <c r="TIO44" s="14"/>
      <c r="TIP44" s="125"/>
      <c r="TIQ44" s="125"/>
      <c r="TIR44" s="316"/>
      <c r="TIS44" s="14"/>
      <c r="TIT44" s="125"/>
      <c r="TIU44" s="125"/>
      <c r="TIV44" s="316"/>
      <c r="TIW44" s="10"/>
      <c r="TIX44" s="125"/>
      <c r="TIY44" s="125"/>
      <c r="TIZ44" s="316"/>
      <c r="TJA44" s="14"/>
      <c r="TJB44" s="125"/>
      <c r="TJC44" s="125"/>
      <c r="TJD44" s="316"/>
      <c r="TJE44" s="14"/>
      <c r="TJF44" s="125"/>
      <c r="TJG44" s="125"/>
      <c r="TJH44" s="316"/>
      <c r="TJI44" s="14"/>
      <c r="TJJ44" s="125"/>
      <c r="TJK44" s="125"/>
      <c r="TJL44" s="316"/>
      <c r="TJM44" s="10"/>
      <c r="TJN44" s="125"/>
      <c r="TJO44" s="125"/>
      <c r="TJP44" s="316"/>
      <c r="TJQ44" s="14"/>
      <c r="TJR44" s="125"/>
      <c r="TJS44" s="125"/>
      <c r="TJT44" s="316"/>
      <c r="TJU44" s="14"/>
      <c r="TJV44" s="125"/>
      <c r="TJW44" s="125"/>
      <c r="TJX44" s="316"/>
      <c r="TJY44" s="14"/>
      <c r="TJZ44" s="125"/>
      <c r="TKA44" s="125"/>
      <c r="TKB44" s="316"/>
      <c r="TKC44" s="10"/>
      <c r="TKD44" s="125"/>
      <c r="TKE44" s="125"/>
      <c r="TKF44" s="316"/>
      <c r="TKG44" s="14"/>
      <c r="TKH44" s="125"/>
      <c r="TKI44" s="125"/>
      <c r="TKJ44" s="316"/>
      <c r="TKK44" s="14"/>
      <c r="TKL44" s="125"/>
      <c r="TKM44" s="125"/>
      <c r="TKN44" s="316"/>
      <c r="TKO44" s="14"/>
      <c r="TKP44" s="125"/>
      <c r="TKQ44" s="125"/>
      <c r="TKR44" s="316"/>
      <c r="TKS44" s="10"/>
      <c r="TKT44" s="125"/>
      <c r="TKU44" s="125"/>
      <c r="TKV44" s="316"/>
      <c r="TKW44" s="14"/>
      <c r="TKX44" s="125"/>
      <c r="TKY44" s="125"/>
      <c r="TKZ44" s="316"/>
      <c r="TLA44" s="14"/>
      <c r="TLB44" s="125"/>
      <c r="TLC44" s="125"/>
      <c r="TLD44" s="316"/>
      <c r="TLE44" s="14"/>
      <c r="TLF44" s="125"/>
      <c r="TLG44" s="125"/>
      <c r="TLH44" s="316"/>
      <c r="TLI44" s="10"/>
      <c r="TLJ44" s="125"/>
      <c r="TLK44" s="125"/>
      <c r="TLL44" s="316"/>
      <c r="TLM44" s="14"/>
      <c r="TLN44" s="125"/>
      <c r="TLO44" s="125"/>
      <c r="TLP44" s="316"/>
      <c r="TLQ44" s="14"/>
      <c r="TLR44" s="125"/>
      <c r="TLS44" s="125"/>
      <c r="TLT44" s="316"/>
      <c r="TLU44" s="14"/>
      <c r="TLV44" s="125"/>
      <c r="TLW44" s="125"/>
      <c r="TLX44" s="316"/>
      <c r="TLY44" s="10"/>
      <c r="TLZ44" s="125"/>
      <c r="TMA44" s="125"/>
      <c r="TMB44" s="316"/>
      <c r="TMC44" s="14"/>
      <c r="TMD44" s="125"/>
      <c r="TME44" s="125"/>
      <c r="TMF44" s="316"/>
      <c r="TMG44" s="14"/>
      <c r="TMH44" s="125"/>
      <c r="TMI44" s="125"/>
      <c r="TMJ44" s="316"/>
      <c r="TMK44" s="14"/>
      <c r="TML44" s="125"/>
      <c r="TMM44" s="125"/>
      <c r="TMN44" s="316"/>
      <c r="TMO44" s="10"/>
      <c r="TMP44" s="125"/>
      <c r="TMQ44" s="125"/>
      <c r="TMR44" s="316"/>
      <c r="TMS44" s="14"/>
      <c r="TMT44" s="125"/>
      <c r="TMU44" s="125"/>
      <c r="TMV44" s="316"/>
      <c r="TMW44" s="14"/>
      <c r="TMX44" s="125"/>
      <c r="TMY44" s="125"/>
      <c r="TMZ44" s="316"/>
      <c r="TNA44" s="14"/>
      <c r="TNB44" s="125"/>
      <c r="TNC44" s="125"/>
      <c r="TND44" s="316"/>
      <c r="TNE44" s="10"/>
      <c r="TNF44" s="125"/>
      <c r="TNG44" s="125"/>
      <c r="TNH44" s="316"/>
      <c r="TNI44" s="14"/>
      <c r="TNJ44" s="125"/>
      <c r="TNK44" s="125"/>
      <c r="TNL44" s="316"/>
      <c r="TNM44" s="14"/>
      <c r="TNN44" s="125"/>
      <c r="TNO44" s="125"/>
      <c r="TNP44" s="316"/>
      <c r="TNQ44" s="14"/>
      <c r="TNR44" s="125"/>
      <c r="TNS44" s="125"/>
      <c r="TNT44" s="316"/>
      <c r="TNU44" s="10"/>
      <c r="TNV44" s="125"/>
      <c r="TNW44" s="125"/>
      <c r="TNX44" s="316"/>
      <c r="TNY44" s="14"/>
      <c r="TNZ44" s="125"/>
      <c r="TOA44" s="125"/>
      <c r="TOB44" s="316"/>
      <c r="TOC44" s="14"/>
      <c r="TOD44" s="125"/>
      <c r="TOE44" s="125"/>
      <c r="TOF44" s="316"/>
      <c r="TOG44" s="14"/>
      <c r="TOH44" s="125"/>
      <c r="TOI44" s="125"/>
      <c r="TOJ44" s="316"/>
      <c r="TOK44" s="10"/>
      <c r="TOL44" s="125"/>
      <c r="TOM44" s="125"/>
      <c r="TON44" s="316"/>
      <c r="TOO44" s="14"/>
      <c r="TOP44" s="125"/>
      <c r="TOQ44" s="125"/>
      <c r="TOR44" s="316"/>
      <c r="TOS44" s="14"/>
      <c r="TOT44" s="125"/>
      <c r="TOU44" s="125"/>
      <c r="TOV44" s="316"/>
      <c r="TOW44" s="14"/>
      <c r="TOX44" s="125"/>
      <c r="TOY44" s="125"/>
      <c r="TOZ44" s="316"/>
      <c r="TPA44" s="10"/>
      <c r="TPB44" s="125"/>
      <c r="TPC44" s="125"/>
      <c r="TPD44" s="316"/>
      <c r="TPE44" s="14"/>
      <c r="TPF44" s="125"/>
      <c r="TPG44" s="125"/>
      <c r="TPH44" s="316"/>
      <c r="TPI44" s="14"/>
      <c r="TPJ44" s="125"/>
      <c r="TPK44" s="125"/>
      <c r="TPL44" s="316"/>
      <c r="TPM44" s="14"/>
      <c r="TPN44" s="125"/>
      <c r="TPO44" s="125"/>
      <c r="TPP44" s="316"/>
      <c r="TPQ44" s="10"/>
      <c r="TPR44" s="125"/>
      <c r="TPS44" s="125"/>
      <c r="TPT44" s="316"/>
      <c r="TPU44" s="14"/>
      <c r="TPV44" s="125"/>
      <c r="TPW44" s="125"/>
      <c r="TPX44" s="316"/>
      <c r="TPY44" s="14"/>
      <c r="TPZ44" s="125"/>
      <c r="TQA44" s="125"/>
      <c r="TQB44" s="316"/>
      <c r="TQC44" s="14"/>
      <c r="TQD44" s="125"/>
      <c r="TQE44" s="125"/>
      <c r="TQF44" s="316"/>
      <c r="TQG44" s="10"/>
      <c r="TQH44" s="125"/>
      <c r="TQI44" s="125"/>
      <c r="TQJ44" s="316"/>
      <c r="TQK44" s="14"/>
      <c r="TQL44" s="125"/>
      <c r="TQM44" s="125"/>
      <c r="TQN44" s="316"/>
      <c r="TQO44" s="14"/>
      <c r="TQP44" s="125"/>
      <c r="TQQ44" s="125"/>
      <c r="TQR44" s="316"/>
      <c r="TQS44" s="14"/>
      <c r="TQT44" s="125"/>
      <c r="TQU44" s="125"/>
      <c r="TQV44" s="316"/>
      <c r="TQW44" s="10"/>
      <c r="TQX44" s="125"/>
      <c r="TQY44" s="125"/>
      <c r="TQZ44" s="316"/>
      <c r="TRA44" s="14"/>
      <c r="TRB44" s="125"/>
      <c r="TRC44" s="125"/>
      <c r="TRD44" s="316"/>
      <c r="TRE44" s="14"/>
      <c r="TRF44" s="125"/>
      <c r="TRG44" s="125"/>
      <c r="TRH44" s="316"/>
      <c r="TRI44" s="14"/>
      <c r="TRJ44" s="125"/>
      <c r="TRK44" s="125"/>
      <c r="TRL44" s="316"/>
      <c r="TRM44" s="10"/>
      <c r="TRN44" s="125"/>
      <c r="TRO44" s="125"/>
      <c r="TRP44" s="316"/>
      <c r="TRQ44" s="14"/>
      <c r="TRR44" s="125"/>
      <c r="TRS44" s="125"/>
      <c r="TRT44" s="316"/>
      <c r="TRU44" s="14"/>
      <c r="TRV44" s="125"/>
      <c r="TRW44" s="125"/>
      <c r="TRX44" s="316"/>
      <c r="TRY44" s="14"/>
      <c r="TRZ44" s="125"/>
      <c r="TSA44" s="125"/>
      <c r="TSB44" s="316"/>
      <c r="TSC44" s="10"/>
      <c r="TSD44" s="125"/>
      <c r="TSE44" s="125"/>
      <c r="TSF44" s="316"/>
      <c r="TSG44" s="14"/>
      <c r="TSH44" s="125"/>
      <c r="TSI44" s="125"/>
      <c r="TSJ44" s="316"/>
      <c r="TSK44" s="14"/>
      <c r="TSL44" s="125"/>
      <c r="TSM44" s="125"/>
      <c r="TSN44" s="316"/>
      <c r="TSO44" s="14"/>
      <c r="TSP44" s="125"/>
      <c r="TSQ44" s="125"/>
      <c r="TSR44" s="316"/>
      <c r="TSS44" s="10"/>
      <c r="TST44" s="125"/>
      <c r="TSU44" s="125"/>
      <c r="TSV44" s="316"/>
      <c r="TSW44" s="14"/>
      <c r="TSX44" s="125"/>
      <c r="TSY44" s="125"/>
      <c r="TSZ44" s="316"/>
      <c r="TTA44" s="14"/>
      <c r="TTB44" s="125"/>
      <c r="TTC44" s="125"/>
      <c r="TTD44" s="316"/>
      <c r="TTE44" s="14"/>
      <c r="TTF44" s="125"/>
      <c r="TTG44" s="125"/>
      <c r="TTH44" s="316"/>
      <c r="TTI44" s="10"/>
      <c r="TTJ44" s="125"/>
      <c r="TTK44" s="125"/>
      <c r="TTL44" s="316"/>
      <c r="TTM44" s="14"/>
      <c r="TTN44" s="125"/>
      <c r="TTO44" s="125"/>
      <c r="TTP44" s="316"/>
      <c r="TTQ44" s="14"/>
      <c r="TTR44" s="125"/>
      <c r="TTS44" s="125"/>
      <c r="TTT44" s="316"/>
      <c r="TTU44" s="14"/>
      <c r="TTV44" s="125"/>
      <c r="TTW44" s="125"/>
      <c r="TTX44" s="316"/>
      <c r="TTY44" s="10"/>
      <c r="TTZ44" s="125"/>
      <c r="TUA44" s="125"/>
      <c r="TUB44" s="316"/>
      <c r="TUC44" s="14"/>
      <c r="TUD44" s="125"/>
      <c r="TUE44" s="125"/>
      <c r="TUF44" s="316"/>
      <c r="TUG44" s="14"/>
      <c r="TUH44" s="125"/>
      <c r="TUI44" s="125"/>
      <c r="TUJ44" s="316"/>
      <c r="TUK44" s="14"/>
      <c r="TUL44" s="125"/>
      <c r="TUM44" s="125"/>
      <c r="TUN44" s="316"/>
      <c r="TUO44" s="10"/>
      <c r="TUP44" s="125"/>
      <c r="TUQ44" s="125"/>
      <c r="TUR44" s="316"/>
      <c r="TUS44" s="14"/>
      <c r="TUT44" s="125"/>
      <c r="TUU44" s="125"/>
      <c r="TUV44" s="316"/>
      <c r="TUW44" s="14"/>
      <c r="TUX44" s="125"/>
      <c r="TUY44" s="125"/>
      <c r="TUZ44" s="316"/>
      <c r="TVA44" s="14"/>
      <c r="TVB44" s="125"/>
      <c r="TVC44" s="125"/>
      <c r="TVD44" s="316"/>
      <c r="TVE44" s="10"/>
      <c r="TVF44" s="125"/>
      <c r="TVG44" s="125"/>
      <c r="TVH44" s="316"/>
      <c r="TVI44" s="14"/>
      <c r="TVJ44" s="125"/>
      <c r="TVK44" s="125"/>
      <c r="TVL44" s="316"/>
      <c r="TVM44" s="14"/>
      <c r="TVN44" s="125"/>
      <c r="TVO44" s="125"/>
      <c r="TVP44" s="316"/>
      <c r="TVQ44" s="14"/>
      <c r="TVR44" s="125"/>
      <c r="TVS44" s="125"/>
      <c r="TVT44" s="316"/>
      <c r="TVU44" s="10"/>
      <c r="TVV44" s="125"/>
      <c r="TVW44" s="125"/>
      <c r="TVX44" s="316"/>
      <c r="TVY44" s="14"/>
      <c r="TVZ44" s="125"/>
      <c r="TWA44" s="125"/>
      <c r="TWB44" s="316"/>
      <c r="TWC44" s="14"/>
      <c r="TWD44" s="125"/>
      <c r="TWE44" s="125"/>
      <c r="TWF44" s="316"/>
      <c r="TWG44" s="14"/>
      <c r="TWH44" s="125"/>
      <c r="TWI44" s="125"/>
      <c r="TWJ44" s="316"/>
      <c r="TWK44" s="10"/>
      <c r="TWL44" s="125"/>
      <c r="TWM44" s="125"/>
      <c r="TWN44" s="316"/>
      <c r="TWO44" s="14"/>
      <c r="TWP44" s="125"/>
      <c r="TWQ44" s="125"/>
      <c r="TWR44" s="316"/>
      <c r="TWS44" s="14"/>
      <c r="TWT44" s="125"/>
      <c r="TWU44" s="125"/>
      <c r="TWV44" s="316"/>
      <c r="TWW44" s="14"/>
      <c r="TWX44" s="125"/>
      <c r="TWY44" s="125"/>
      <c r="TWZ44" s="316"/>
      <c r="TXA44" s="10"/>
      <c r="TXB44" s="125"/>
      <c r="TXC44" s="125"/>
      <c r="TXD44" s="316"/>
      <c r="TXE44" s="14"/>
      <c r="TXF44" s="125"/>
      <c r="TXG44" s="125"/>
      <c r="TXH44" s="316"/>
      <c r="TXI44" s="14"/>
      <c r="TXJ44" s="125"/>
      <c r="TXK44" s="125"/>
      <c r="TXL44" s="316"/>
      <c r="TXM44" s="14"/>
      <c r="TXN44" s="125"/>
      <c r="TXO44" s="125"/>
      <c r="TXP44" s="316"/>
      <c r="TXQ44" s="10"/>
      <c r="TXR44" s="125"/>
      <c r="TXS44" s="125"/>
      <c r="TXT44" s="316"/>
      <c r="TXU44" s="14"/>
      <c r="TXV44" s="125"/>
      <c r="TXW44" s="125"/>
      <c r="TXX44" s="316"/>
      <c r="TXY44" s="14"/>
      <c r="TXZ44" s="125"/>
      <c r="TYA44" s="125"/>
      <c r="TYB44" s="316"/>
      <c r="TYC44" s="14"/>
      <c r="TYD44" s="125"/>
      <c r="TYE44" s="125"/>
      <c r="TYF44" s="316"/>
      <c r="TYG44" s="10"/>
      <c r="TYH44" s="125"/>
      <c r="TYI44" s="125"/>
      <c r="TYJ44" s="316"/>
      <c r="TYK44" s="14"/>
      <c r="TYL44" s="125"/>
      <c r="TYM44" s="125"/>
      <c r="TYN44" s="316"/>
      <c r="TYO44" s="14"/>
      <c r="TYP44" s="125"/>
      <c r="TYQ44" s="125"/>
      <c r="TYR44" s="316"/>
      <c r="TYS44" s="14"/>
      <c r="TYT44" s="125"/>
      <c r="TYU44" s="125"/>
      <c r="TYV44" s="316"/>
      <c r="TYW44" s="10"/>
      <c r="TYX44" s="125"/>
      <c r="TYY44" s="125"/>
      <c r="TYZ44" s="316"/>
      <c r="TZA44" s="14"/>
      <c r="TZB44" s="125"/>
      <c r="TZC44" s="125"/>
      <c r="TZD44" s="316"/>
      <c r="TZE44" s="14"/>
      <c r="TZF44" s="125"/>
      <c r="TZG44" s="125"/>
      <c r="TZH44" s="316"/>
      <c r="TZI44" s="14"/>
      <c r="TZJ44" s="125"/>
      <c r="TZK44" s="125"/>
      <c r="TZL44" s="316"/>
      <c r="TZM44" s="10"/>
      <c r="TZN44" s="125"/>
      <c r="TZO44" s="125"/>
      <c r="TZP44" s="316"/>
      <c r="TZQ44" s="14"/>
      <c r="TZR44" s="125"/>
      <c r="TZS44" s="125"/>
      <c r="TZT44" s="316"/>
      <c r="TZU44" s="14"/>
      <c r="TZV44" s="125"/>
      <c r="TZW44" s="125"/>
      <c r="TZX44" s="316"/>
      <c r="TZY44" s="14"/>
      <c r="TZZ44" s="125"/>
      <c r="UAA44" s="125"/>
      <c r="UAB44" s="316"/>
      <c r="UAC44" s="10"/>
      <c r="UAD44" s="125"/>
      <c r="UAE44" s="125"/>
      <c r="UAF44" s="316"/>
      <c r="UAG44" s="14"/>
      <c r="UAH44" s="125"/>
      <c r="UAI44" s="125"/>
      <c r="UAJ44" s="316"/>
      <c r="UAK44" s="14"/>
      <c r="UAL44" s="125"/>
      <c r="UAM44" s="125"/>
      <c r="UAN44" s="316"/>
      <c r="UAO44" s="14"/>
      <c r="UAP44" s="125"/>
      <c r="UAQ44" s="125"/>
      <c r="UAR44" s="316"/>
      <c r="UAS44" s="10"/>
      <c r="UAT44" s="125"/>
      <c r="UAU44" s="125"/>
      <c r="UAV44" s="316"/>
      <c r="UAW44" s="14"/>
      <c r="UAX44" s="125"/>
      <c r="UAY44" s="125"/>
      <c r="UAZ44" s="316"/>
      <c r="UBA44" s="14"/>
      <c r="UBB44" s="125"/>
      <c r="UBC44" s="125"/>
      <c r="UBD44" s="316"/>
      <c r="UBE44" s="14"/>
      <c r="UBF44" s="125"/>
      <c r="UBG44" s="125"/>
      <c r="UBH44" s="316"/>
      <c r="UBI44" s="10"/>
      <c r="UBJ44" s="125"/>
      <c r="UBK44" s="125"/>
      <c r="UBL44" s="316"/>
      <c r="UBM44" s="14"/>
      <c r="UBN44" s="125"/>
      <c r="UBO44" s="125"/>
      <c r="UBP44" s="316"/>
      <c r="UBQ44" s="14"/>
      <c r="UBR44" s="125"/>
      <c r="UBS44" s="125"/>
      <c r="UBT44" s="316"/>
      <c r="UBU44" s="14"/>
      <c r="UBV44" s="125"/>
      <c r="UBW44" s="125"/>
      <c r="UBX44" s="316"/>
      <c r="UBY44" s="10"/>
      <c r="UBZ44" s="125"/>
      <c r="UCA44" s="125"/>
      <c r="UCB44" s="316"/>
      <c r="UCC44" s="14"/>
      <c r="UCD44" s="125"/>
      <c r="UCE44" s="125"/>
      <c r="UCF44" s="316"/>
      <c r="UCG44" s="14"/>
      <c r="UCH44" s="125"/>
      <c r="UCI44" s="125"/>
      <c r="UCJ44" s="316"/>
      <c r="UCK44" s="14"/>
      <c r="UCL44" s="125"/>
      <c r="UCM44" s="125"/>
      <c r="UCN44" s="316"/>
      <c r="UCO44" s="10"/>
      <c r="UCP44" s="125"/>
      <c r="UCQ44" s="125"/>
      <c r="UCR44" s="316"/>
      <c r="UCS44" s="14"/>
      <c r="UCT44" s="125"/>
      <c r="UCU44" s="125"/>
      <c r="UCV44" s="316"/>
      <c r="UCW44" s="14"/>
      <c r="UCX44" s="125"/>
      <c r="UCY44" s="125"/>
      <c r="UCZ44" s="316"/>
      <c r="UDA44" s="14"/>
      <c r="UDB44" s="125"/>
      <c r="UDC44" s="125"/>
      <c r="UDD44" s="316"/>
      <c r="UDE44" s="10"/>
      <c r="UDF44" s="125"/>
      <c r="UDG44" s="125"/>
      <c r="UDH44" s="316"/>
      <c r="UDI44" s="14"/>
      <c r="UDJ44" s="125"/>
      <c r="UDK44" s="125"/>
      <c r="UDL44" s="316"/>
      <c r="UDM44" s="14"/>
      <c r="UDN44" s="125"/>
      <c r="UDO44" s="125"/>
      <c r="UDP44" s="316"/>
      <c r="UDQ44" s="14"/>
      <c r="UDR44" s="125"/>
      <c r="UDS44" s="125"/>
      <c r="UDT44" s="316"/>
      <c r="UDU44" s="10"/>
      <c r="UDV44" s="125"/>
      <c r="UDW44" s="125"/>
      <c r="UDX44" s="316"/>
      <c r="UDY44" s="14"/>
      <c r="UDZ44" s="125"/>
      <c r="UEA44" s="125"/>
      <c r="UEB44" s="316"/>
      <c r="UEC44" s="14"/>
      <c r="UED44" s="125"/>
      <c r="UEE44" s="125"/>
      <c r="UEF44" s="316"/>
      <c r="UEG44" s="14"/>
      <c r="UEH44" s="125"/>
      <c r="UEI44" s="125"/>
      <c r="UEJ44" s="316"/>
      <c r="UEK44" s="10"/>
      <c r="UEL44" s="125"/>
      <c r="UEM44" s="125"/>
      <c r="UEN44" s="316"/>
      <c r="UEO44" s="14"/>
      <c r="UEP44" s="125"/>
      <c r="UEQ44" s="125"/>
      <c r="UER44" s="316"/>
      <c r="UES44" s="14"/>
      <c r="UET44" s="125"/>
      <c r="UEU44" s="125"/>
      <c r="UEV44" s="316"/>
      <c r="UEW44" s="14"/>
      <c r="UEX44" s="125"/>
      <c r="UEY44" s="125"/>
      <c r="UEZ44" s="316"/>
      <c r="UFA44" s="10"/>
      <c r="UFB44" s="125"/>
      <c r="UFC44" s="125"/>
      <c r="UFD44" s="316"/>
      <c r="UFE44" s="14"/>
      <c r="UFF44" s="125"/>
      <c r="UFG44" s="125"/>
      <c r="UFH44" s="316"/>
      <c r="UFI44" s="14"/>
      <c r="UFJ44" s="125"/>
      <c r="UFK44" s="125"/>
      <c r="UFL44" s="316"/>
      <c r="UFM44" s="14"/>
      <c r="UFN44" s="125"/>
      <c r="UFO44" s="125"/>
      <c r="UFP44" s="316"/>
      <c r="UFQ44" s="10"/>
      <c r="UFR44" s="125"/>
      <c r="UFS44" s="125"/>
      <c r="UFT44" s="316"/>
      <c r="UFU44" s="14"/>
      <c r="UFV44" s="125"/>
      <c r="UFW44" s="125"/>
      <c r="UFX44" s="316"/>
      <c r="UFY44" s="14"/>
      <c r="UFZ44" s="125"/>
      <c r="UGA44" s="125"/>
      <c r="UGB44" s="316"/>
      <c r="UGC44" s="14"/>
      <c r="UGD44" s="125"/>
      <c r="UGE44" s="125"/>
      <c r="UGF44" s="316"/>
      <c r="UGG44" s="10"/>
      <c r="UGH44" s="125"/>
      <c r="UGI44" s="125"/>
      <c r="UGJ44" s="316"/>
      <c r="UGK44" s="14"/>
      <c r="UGL44" s="125"/>
      <c r="UGM44" s="125"/>
      <c r="UGN44" s="316"/>
      <c r="UGO44" s="14"/>
      <c r="UGP44" s="125"/>
      <c r="UGQ44" s="125"/>
      <c r="UGR44" s="316"/>
      <c r="UGS44" s="14"/>
      <c r="UGT44" s="125"/>
      <c r="UGU44" s="125"/>
      <c r="UGV44" s="316"/>
      <c r="UGW44" s="10"/>
      <c r="UGX44" s="125"/>
      <c r="UGY44" s="125"/>
      <c r="UGZ44" s="316"/>
      <c r="UHA44" s="14"/>
      <c r="UHB44" s="125"/>
      <c r="UHC44" s="125"/>
      <c r="UHD44" s="316"/>
      <c r="UHE44" s="14"/>
      <c r="UHF44" s="125"/>
      <c r="UHG44" s="125"/>
      <c r="UHH44" s="316"/>
      <c r="UHI44" s="14"/>
      <c r="UHJ44" s="125"/>
      <c r="UHK44" s="125"/>
      <c r="UHL44" s="316"/>
      <c r="UHM44" s="10"/>
      <c r="UHN44" s="125"/>
      <c r="UHO44" s="125"/>
      <c r="UHP44" s="316"/>
      <c r="UHQ44" s="14"/>
      <c r="UHR44" s="125"/>
      <c r="UHS44" s="125"/>
      <c r="UHT44" s="316"/>
      <c r="UHU44" s="14"/>
      <c r="UHV44" s="125"/>
      <c r="UHW44" s="125"/>
      <c r="UHX44" s="316"/>
      <c r="UHY44" s="14"/>
      <c r="UHZ44" s="125"/>
      <c r="UIA44" s="125"/>
      <c r="UIB44" s="316"/>
      <c r="UIC44" s="10"/>
      <c r="UID44" s="125"/>
      <c r="UIE44" s="125"/>
      <c r="UIF44" s="316"/>
      <c r="UIG44" s="14"/>
      <c r="UIH44" s="125"/>
      <c r="UII44" s="125"/>
      <c r="UIJ44" s="316"/>
      <c r="UIK44" s="14"/>
      <c r="UIL44" s="125"/>
      <c r="UIM44" s="125"/>
      <c r="UIN44" s="316"/>
      <c r="UIO44" s="14"/>
      <c r="UIP44" s="125"/>
      <c r="UIQ44" s="125"/>
      <c r="UIR44" s="316"/>
      <c r="UIS44" s="10"/>
      <c r="UIT44" s="125"/>
      <c r="UIU44" s="125"/>
      <c r="UIV44" s="316"/>
      <c r="UIW44" s="14"/>
      <c r="UIX44" s="125"/>
      <c r="UIY44" s="125"/>
      <c r="UIZ44" s="316"/>
      <c r="UJA44" s="14"/>
      <c r="UJB44" s="125"/>
      <c r="UJC44" s="125"/>
      <c r="UJD44" s="316"/>
      <c r="UJE44" s="14"/>
      <c r="UJF44" s="125"/>
      <c r="UJG44" s="125"/>
      <c r="UJH44" s="316"/>
      <c r="UJI44" s="10"/>
      <c r="UJJ44" s="125"/>
      <c r="UJK44" s="125"/>
      <c r="UJL44" s="316"/>
      <c r="UJM44" s="14"/>
      <c r="UJN44" s="125"/>
      <c r="UJO44" s="125"/>
      <c r="UJP44" s="316"/>
      <c r="UJQ44" s="14"/>
      <c r="UJR44" s="125"/>
      <c r="UJS44" s="125"/>
      <c r="UJT44" s="316"/>
      <c r="UJU44" s="14"/>
      <c r="UJV44" s="125"/>
      <c r="UJW44" s="125"/>
      <c r="UJX44" s="316"/>
      <c r="UJY44" s="10"/>
      <c r="UJZ44" s="125"/>
      <c r="UKA44" s="125"/>
      <c r="UKB44" s="316"/>
      <c r="UKC44" s="14"/>
      <c r="UKD44" s="125"/>
      <c r="UKE44" s="125"/>
      <c r="UKF44" s="316"/>
      <c r="UKG44" s="14"/>
      <c r="UKH44" s="125"/>
      <c r="UKI44" s="125"/>
      <c r="UKJ44" s="316"/>
      <c r="UKK44" s="14"/>
      <c r="UKL44" s="125"/>
      <c r="UKM44" s="125"/>
      <c r="UKN44" s="316"/>
      <c r="UKO44" s="10"/>
      <c r="UKP44" s="125"/>
      <c r="UKQ44" s="125"/>
      <c r="UKR44" s="316"/>
      <c r="UKS44" s="14"/>
      <c r="UKT44" s="125"/>
      <c r="UKU44" s="125"/>
      <c r="UKV44" s="316"/>
      <c r="UKW44" s="14"/>
      <c r="UKX44" s="125"/>
      <c r="UKY44" s="125"/>
      <c r="UKZ44" s="316"/>
      <c r="ULA44" s="14"/>
      <c r="ULB44" s="125"/>
      <c r="ULC44" s="125"/>
      <c r="ULD44" s="316"/>
      <c r="ULE44" s="10"/>
      <c r="ULF44" s="125"/>
      <c r="ULG44" s="125"/>
      <c r="ULH44" s="316"/>
      <c r="ULI44" s="14"/>
      <c r="ULJ44" s="125"/>
      <c r="ULK44" s="125"/>
      <c r="ULL44" s="316"/>
      <c r="ULM44" s="14"/>
      <c r="ULN44" s="125"/>
      <c r="ULO44" s="125"/>
      <c r="ULP44" s="316"/>
      <c r="ULQ44" s="14"/>
      <c r="ULR44" s="125"/>
      <c r="ULS44" s="125"/>
      <c r="ULT44" s="316"/>
      <c r="ULU44" s="10"/>
      <c r="ULV44" s="125"/>
      <c r="ULW44" s="125"/>
      <c r="ULX44" s="316"/>
      <c r="ULY44" s="14"/>
      <c r="ULZ44" s="125"/>
      <c r="UMA44" s="125"/>
      <c r="UMB44" s="316"/>
      <c r="UMC44" s="14"/>
      <c r="UMD44" s="125"/>
      <c r="UME44" s="125"/>
      <c r="UMF44" s="316"/>
      <c r="UMG44" s="14"/>
      <c r="UMH44" s="125"/>
      <c r="UMI44" s="125"/>
      <c r="UMJ44" s="316"/>
      <c r="UMK44" s="10"/>
      <c r="UML44" s="125"/>
      <c r="UMM44" s="125"/>
      <c r="UMN44" s="316"/>
      <c r="UMO44" s="14"/>
      <c r="UMP44" s="125"/>
      <c r="UMQ44" s="125"/>
      <c r="UMR44" s="316"/>
      <c r="UMS44" s="14"/>
      <c r="UMT44" s="125"/>
      <c r="UMU44" s="125"/>
      <c r="UMV44" s="316"/>
      <c r="UMW44" s="14"/>
      <c r="UMX44" s="125"/>
      <c r="UMY44" s="125"/>
      <c r="UMZ44" s="316"/>
      <c r="UNA44" s="10"/>
      <c r="UNB44" s="125"/>
      <c r="UNC44" s="125"/>
      <c r="UND44" s="316"/>
      <c r="UNE44" s="14"/>
      <c r="UNF44" s="125"/>
      <c r="UNG44" s="125"/>
      <c r="UNH44" s="316"/>
      <c r="UNI44" s="14"/>
      <c r="UNJ44" s="125"/>
      <c r="UNK44" s="125"/>
      <c r="UNL44" s="316"/>
      <c r="UNM44" s="14"/>
      <c r="UNN44" s="125"/>
      <c r="UNO44" s="125"/>
      <c r="UNP44" s="316"/>
      <c r="UNQ44" s="10"/>
      <c r="UNR44" s="125"/>
      <c r="UNS44" s="125"/>
      <c r="UNT44" s="316"/>
      <c r="UNU44" s="14"/>
      <c r="UNV44" s="125"/>
      <c r="UNW44" s="125"/>
      <c r="UNX44" s="316"/>
      <c r="UNY44" s="14"/>
      <c r="UNZ44" s="125"/>
      <c r="UOA44" s="125"/>
      <c r="UOB44" s="316"/>
      <c r="UOC44" s="14"/>
      <c r="UOD44" s="125"/>
      <c r="UOE44" s="125"/>
      <c r="UOF44" s="316"/>
      <c r="UOG44" s="10"/>
      <c r="UOH44" s="125"/>
      <c r="UOI44" s="125"/>
      <c r="UOJ44" s="316"/>
      <c r="UOK44" s="14"/>
      <c r="UOL44" s="125"/>
      <c r="UOM44" s="125"/>
      <c r="UON44" s="316"/>
      <c r="UOO44" s="14"/>
      <c r="UOP44" s="125"/>
      <c r="UOQ44" s="125"/>
      <c r="UOR44" s="316"/>
      <c r="UOS44" s="14"/>
      <c r="UOT44" s="125"/>
      <c r="UOU44" s="125"/>
      <c r="UOV44" s="316"/>
      <c r="UOW44" s="10"/>
      <c r="UOX44" s="125"/>
      <c r="UOY44" s="125"/>
      <c r="UOZ44" s="316"/>
      <c r="UPA44" s="14"/>
      <c r="UPB44" s="125"/>
      <c r="UPC44" s="125"/>
      <c r="UPD44" s="316"/>
      <c r="UPE44" s="14"/>
      <c r="UPF44" s="125"/>
      <c r="UPG44" s="125"/>
      <c r="UPH44" s="316"/>
      <c r="UPI44" s="14"/>
      <c r="UPJ44" s="125"/>
      <c r="UPK44" s="125"/>
      <c r="UPL44" s="316"/>
      <c r="UPM44" s="10"/>
      <c r="UPN44" s="125"/>
      <c r="UPO44" s="125"/>
      <c r="UPP44" s="316"/>
      <c r="UPQ44" s="14"/>
      <c r="UPR44" s="125"/>
      <c r="UPS44" s="125"/>
      <c r="UPT44" s="316"/>
      <c r="UPU44" s="14"/>
      <c r="UPV44" s="125"/>
      <c r="UPW44" s="125"/>
      <c r="UPX44" s="316"/>
      <c r="UPY44" s="14"/>
      <c r="UPZ44" s="125"/>
      <c r="UQA44" s="125"/>
      <c r="UQB44" s="316"/>
      <c r="UQC44" s="10"/>
      <c r="UQD44" s="125"/>
      <c r="UQE44" s="125"/>
      <c r="UQF44" s="316"/>
      <c r="UQG44" s="14"/>
      <c r="UQH44" s="125"/>
      <c r="UQI44" s="125"/>
      <c r="UQJ44" s="316"/>
      <c r="UQK44" s="14"/>
      <c r="UQL44" s="125"/>
      <c r="UQM44" s="125"/>
      <c r="UQN44" s="316"/>
      <c r="UQO44" s="14"/>
      <c r="UQP44" s="125"/>
      <c r="UQQ44" s="125"/>
      <c r="UQR44" s="316"/>
      <c r="UQS44" s="10"/>
      <c r="UQT44" s="125"/>
      <c r="UQU44" s="125"/>
      <c r="UQV44" s="316"/>
      <c r="UQW44" s="14"/>
      <c r="UQX44" s="125"/>
      <c r="UQY44" s="125"/>
      <c r="UQZ44" s="316"/>
      <c r="URA44" s="14"/>
      <c r="URB44" s="125"/>
      <c r="URC44" s="125"/>
      <c r="URD44" s="316"/>
      <c r="URE44" s="14"/>
      <c r="URF44" s="125"/>
      <c r="URG44" s="125"/>
      <c r="URH44" s="316"/>
      <c r="URI44" s="10"/>
      <c r="URJ44" s="125"/>
      <c r="URK44" s="125"/>
      <c r="URL44" s="316"/>
      <c r="URM44" s="14"/>
      <c r="URN44" s="125"/>
      <c r="URO44" s="125"/>
      <c r="URP44" s="316"/>
      <c r="URQ44" s="14"/>
      <c r="URR44" s="125"/>
      <c r="URS44" s="125"/>
      <c r="URT44" s="316"/>
      <c r="URU44" s="14"/>
      <c r="URV44" s="125"/>
      <c r="URW44" s="125"/>
      <c r="URX44" s="316"/>
      <c r="URY44" s="10"/>
      <c r="URZ44" s="125"/>
      <c r="USA44" s="125"/>
      <c r="USB44" s="316"/>
      <c r="USC44" s="14"/>
      <c r="USD44" s="125"/>
      <c r="USE44" s="125"/>
      <c r="USF44" s="316"/>
      <c r="USG44" s="14"/>
      <c r="USH44" s="125"/>
      <c r="USI44" s="125"/>
      <c r="USJ44" s="316"/>
      <c r="USK44" s="14"/>
      <c r="USL44" s="125"/>
      <c r="USM44" s="125"/>
      <c r="USN44" s="316"/>
      <c r="USO44" s="10"/>
      <c r="USP44" s="125"/>
      <c r="USQ44" s="125"/>
      <c r="USR44" s="316"/>
      <c r="USS44" s="14"/>
      <c r="UST44" s="125"/>
      <c r="USU44" s="125"/>
      <c r="USV44" s="316"/>
      <c r="USW44" s="14"/>
      <c r="USX44" s="125"/>
      <c r="USY44" s="125"/>
      <c r="USZ44" s="316"/>
      <c r="UTA44" s="14"/>
      <c r="UTB44" s="125"/>
      <c r="UTC44" s="125"/>
      <c r="UTD44" s="316"/>
      <c r="UTE44" s="10"/>
      <c r="UTF44" s="125"/>
      <c r="UTG44" s="125"/>
      <c r="UTH44" s="316"/>
      <c r="UTI44" s="14"/>
      <c r="UTJ44" s="125"/>
      <c r="UTK44" s="125"/>
      <c r="UTL44" s="316"/>
      <c r="UTM44" s="14"/>
      <c r="UTN44" s="125"/>
      <c r="UTO44" s="125"/>
      <c r="UTP44" s="316"/>
      <c r="UTQ44" s="14"/>
      <c r="UTR44" s="125"/>
      <c r="UTS44" s="125"/>
      <c r="UTT44" s="316"/>
      <c r="UTU44" s="10"/>
      <c r="UTV44" s="125"/>
      <c r="UTW44" s="125"/>
      <c r="UTX44" s="316"/>
      <c r="UTY44" s="14"/>
      <c r="UTZ44" s="125"/>
      <c r="UUA44" s="125"/>
      <c r="UUB44" s="316"/>
      <c r="UUC44" s="14"/>
      <c r="UUD44" s="125"/>
      <c r="UUE44" s="125"/>
      <c r="UUF44" s="316"/>
      <c r="UUG44" s="14"/>
      <c r="UUH44" s="125"/>
      <c r="UUI44" s="125"/>
      <c r="UUJ44" s="316"/>
      <c r="UUK44" s="10"/>
      <c r="UUL44" s="125"/>
      <c r="UUM44" s="125"/>
      <c r="UUN44" s="316"/>
      <c r="UUO44" s="14"/>
      <c r="UUP44" s="125"/>
      <c r="UUQ44" s="125"/>
      <c r="UUR44" s="316"/>
      <c r="UUS44" s="14"/>
      <c r="UUT44" s="125"/>
      <c r="UUU44" s="125"/>
      <c r="UUV44" s="316"/>
      <c r="UUW44" s="14"/>
      <c r="UUX44" s="125"/>
      <c r="UUY44" s="125"/>
      <c r="UUZ44" s="316"/>
      <c r="UVA44" s="10"/>
      <c r="UVB44" s="125"/>
      <c r="UVC44" s="125"/>
      <c r="UVD44" s="316"/>
      <c r="UVE44" s="14"/>
      <c r="UVF44" s="125"/>
      <c r="UVG44" s="125"/>
      <c r="UVH44" s="316"/>
      <c r="UVI44" s="14"/>
      <c r="UVJ44" s="125"/>
      <c r="UVK44" s="125"/>
      <c r="UVL44" s="316"/>
      <c r="UVM44" s="14"/>
      <c r="UVN44" s="125"/>
      <c r="UVO44" s="125"/>
      <c r="UVP44" s="316"/>
      <c r="UVQ44" s="10"/>
      <c r="UVR44" s="125"/>
      <c r="UVS44" s="125"/>
      <c r="UVT44" s="316"/>
      <c r="UVU44" s="14"/>
      <c r="UVV44" s="125"/>
      <c r="UVW44" s="125"/>
      <c r="UVX44" s="316"/>
      <c r="UVY44" s="14"/>
      <c r="UVZ44" s="125"/>
      <c r="UWA44" s="125"/>
      <c r="UWB44" s="316"/>
      <c r="UWC44" s="14"/>
      <c r="UWD44" s="125"/>
      <c r="UWE44" s="125"/>
      <c r="UWF44" s="316"/>
      <c r="UWG44" s="10"/>
      <c r="UWH44" s="125"/>
      <c r="UWI44" s="125"/>
      <c r="UWJ44" s="316"/>
      <c r="UWK44" s="14"/>
      <c r="UWL44" s="125"/>
      <c r="UWM44" s="125"/>
      <c r="UWN44" s="316"/>
      <c r="UWO44" s="14"/>
      <c r="UWP44" s="125"/>
      <c r="UWQ44" s="125"/>
      <c r="UWR44" s="316"/>
      <c r="UWS44" s="14"/>
      <c r="UWT44" s="125"/>
      <c r="UWU44" s="125"/>
      <c r="UWV44" s="316"/>
      <c r="UWW44" s="10"/>
      <c r="UWX44" s="125"/>
      <c r="UWY44" s="125"/>
      <c r="UWZ44" s="316"/>
      <c r="UXA44" s="14"/>
      <c r="UXB44" s="125"/>
      <c r="UXC44" s="125"/>
      <c r="UXD44" s="316"/>
      <c r="UXE44" s="14"/>
      <c r="UXF44" s="125"/>
      <c r="UXG44" s="125"/>
      <c r="UXH44" s="316"/>
      <c r="UXI44" s="14"/>
      <c r="UXJ44" s="125"/>
      <c r="UXK44" s="125"/>
      <c r="UXL44" s="316"/>
      <c r="UXM44" s="10"/>
      <c r="UXN44" s="125"/>
      <c r="UXO44" s="125"/>
      <c r="UXP44" s="316"/>
      <c r="UXQ44" s="14"/>
      <c r="UXR44" s="125"/>
      <c r="UXS44" s="125"/>
      <c r="UXT44" s="316"/>
      <c r="UXU44" s="14"/>
      <c r="UXV44" s="125"/>
      <c r="UXW44" s="125"/>
      <c r="UXX44" s="316"/>
      <c r="UXY44" s="14"/>
      <c r="UXZ44" s="125"/>
      <c r="UYA44" s="125"/>
      <c r="UYB44" s="316"/>
      <c r="UYC44" s="10"/>
      <c r="UYD44" s="125"/>
      <c r="UYE44" s="125"/>
      <c r="UYF44" s="316"/>
      <c r="UYG44" s="14"/>
      <c r="UYH44" s="125"/>
      <c r="UYI44" s="125"/>
      <c r="UYJ44" s="316"/>
      <c r="UYK44" s="14"/>
      <c r="UYL44" s="125"/>
      <c r="UYM44" s="125"/>
      <c r="UYN44" s="316"/>
      <c r="UYO44" s="14"/>
      <c r="UYP44" s="125"/>
      <c r="UYQ44" s="125"/>
      <c r="UYR44" s="316"/>
      <c r="UYS44" s="10"/>
      <c r="UYT44" s="125"/>
      <c r="UYU44" s="125"/>
      <c r="UYV44" s="316"/>
      <c r="UYW44" s="14"/>
      <c r="UYX44" s="125"/>
      <c r="UYY44" s="125"/>
      <c r="UYZ44" s="316"/>
      <c r="UZA44" s="14"/>
      <c r="UZB44" s="125"/>
      <c r="UZC44" s="125"/>
      <c r="UZD44" s="316"/>
      <c r="UZE44" s="14"/>
      <c r="UZF44" s="125"/>
      <c r="UZG44" s="125"/>
      <c r="UZH44" s="316"/>
      <c r="UZI44" s="10"/>
      <c r="UZJ44" s="125"/>
      <c r="UZK44" s="125"/>
      <c r="UZL44" s="316"/>
      <c r="UZM44" s="14"/>
      <c r="UZN44" s="125"/>
      <c r="UZO44" s="125"/>
      <c r="UZP44" s="316"/>
      <c r="UZQ44" s="14"/>
      <c r="UZR44" s="125"/>
      <c r="UZS44" s="125"/>
      <c r="UZT44" s="316"/>
      <c r="UZU44" s="14"/>
      <c r="UZV44" s="125"/>
      <c r="UZW44" s="125"/>
      <c r="UZX44" s="316"/>
      <c r="UZY44" s="10"/>
      <c r="UZZ44" s="125"/>
      <c r="VAA44" s="125"/>
      <c r="VAB44" s="316"/>
      <c r="VAC44" s="14"/>
      <c r="VAD44" s="125"/>
      <c r="VAE44" s="125"/>
      <c r="VAF44" s="316"/>
      <c r="VAG44" s="14"/>
      <c r="VAH44" s="125"/>
      <c r="VAI44" s="125"/>
      <c r="VAJ44" s="316"/>
      <c r="VAK44" s="14"/>
      <c r="VAL44" s="125"/>
      <c r="VAM44" s="125"/>
      <c r="VAN44" s="316"/>
      <c r="VAO44" s="10"/>
      <c r="VAP44" s="125"/>
      <c r="VAQ44" s="125"/>
      <c r="VAR44" s="316"/>
      <c r="VAS44" s="14"/>
      <c r="VAT44" s="125"/>
      <c r="VAU44" s="125"/>
      <c r="VAV44" s="316"/>
      <c r="VAW44" s="14"/>
      <c r="VAX44" s="125"/>
      <c r="VAY44" s="125"/>
      <c r="VAZ44" s="316"/>
      <c r="VBA44" s="14"/>
      <c r="VBB44" s="125"/>
      <c r="VBC44" s="125"/>
      <c r="VBD44" s="316"/>
      <c r="VBE44" s="10"/>
      <c r="VBF44" s="125"/>
      <c r="VBG44" s="125"/>
      <c r="VBH44" s="316"/>
      <c r="VBI44" s="14"/>
      <c r="VBJ44" s="125"/>
      <c r="VBK44" s="125"/>
      <c r="VBL44" s="316"/>
      <c r="VBM44" s="14"/>
      <c r="VBN44" s="125"/>
      <c r="VBO44" s="125"/>
      <c r="VBP44" s="316"/>
      <c r="VBQ44" s="14"/>
      <c r="VBR44" s="125"/>
      <c r="VBS44" s="125"/>
      <c r="VBT44" s="316"/>
      <c r="VBU44" s="10"/>
      <c r="VBV44" s="125"/>
      <c r="VBW44" s="125"/>
      <c r="VBX44" s="316"/>
      <c r="VBY44" s="14"/>
      <c r="VBZ44" s="125"/>
      <c r="VCA44" s="125"/>
      <c r="VCB44" s="316"/>
      <c r="VCC44" s="14"/>
      <c r="VCD44" s="125"/>
      <c r="VCE44" s="125"/>
      <c r="VCF44" s="316"/>
      <c r="VCG44" s="14"/>
      <c r="VCH44" s="125"/>
      <c r="VCI44" s="125"/>
      <c r="VCJ44" s="316"/>
      <c r="VCK44" s="10"/>
      <c r="VCL44" s="125"/>
      <c r="VCM44" s="125"/>
      <c r="VCN44" s="316"/>
      <c r="VCO44" s="14"/>
      <c r="VCP44" s="125"/>
      <c r="VCQ44" s="125"/>
      <c r="VCR44" s="316"/>
      <c r="VCS44" s="14"/>
      <c r="VCT44" s="125"/>
      <c r="VCU44" s="125"/>
      <c r="VCV44" s="316"/>
      <c r="VCW44" s="14"/>
      <c r="VCX44" s="125"/>
      <c r="VCY44" s="125"/>
      <c r="VCZ44" s="316"/>
      <c r="VDA44" s="10"/>
      <c r="VDB44" s="125"/>
      <c r="VDC44" s="125"/>
      <c r="VDD44" s="316"/>
      <c r="VDE44" s="14"/>
      <c r="VDF44" s="125"/>
      <c r="VDG44" s="125"/>
      <c r="VDH44" s="316"/>
      <c r="VDI44" s="14"/>
      <c r="VDJ44" s="125"/>
      <c r="VDK44" s="125"/>
      <c r="VDL44" s="316"/>
      <c r="VDM44" s="14"/>
      <c r="VDN44" s="125"/>
      <c r="VDO44" s="125"/>
      <c r="VDP44" s="316"/>
      <c r="VDQ44" s="10"/>
      <c r="VDR44" s="125"/>
      <c r="VDS44" s="125"/>
      <c r="VDT44" s="316"/>
      <c r="VDU44" s="14"/>
      <c r="VDV44" s="125"/>
      <c r="VDW44" s="125"/>
      <c r="VDX44" s="316"/>
      <c r="VDY44" s="14"/>
      <c r="VDZ44" s="125"/>
      <c r="VEA44" s="125"/>
      <c r="VEB44" s="316"/>
      <c r="VEC44" s="14"/>
      <c r="VED44" s="125"/>
      <c r="VEE44" s="125"/>
      <c r="VEF44" s="316"/>
      <c r="VEG44" s="10"/>
      <c r="VEH44" s="125"/>
      <c r="VEI44" s="125"/>
      <c r="VEJ44" s="316"/>
      <c r="VEK44" s="14"/>
      <c r="VEL44" s="125"/>
      <c r="VEM44" s="125"/>
      <c r="VEN44" s="316"/>
      <c r="VEO44" s="14"/>
      <c r="VEP44" s="125"/>
      <c r="VEQ44" s="125"/>
      <c r="VER44" s="316"/>
      <c r="VES44" s="14"/>
      <c r="VET44" s="125"/>
      <c r="VEU44" s="125"/>
      <c r="VEV44" s="316"/>
      <c r="VEW44" s="10"/>
      <c r="VEX44" s="125"/>
      <c r="VEY44" s="125"/>
      <c r="VEZ44" s="316"/>
      <c r="VFA44" s="14"/>
      <c r="VFB44" s="125"/>
      <c r="VFC44" s="125"/>
      <c r="VFD44" s="316"/>
      <c r="VFE44" s="14"/>
      <c r="VFF44" s="125"/>
      <c r="VFG44" s="125"/>
      <c r="VFH44" s="316"/>
      <c r="VFI44" s="14"/>
      <c r="VFJ44" s="125"/>
      <c r="VFK44" s="125"/>
      <c r="VFL44" s="316"/>
      <c r="VFM44" s="10"/>
      <c r="VFN44" s="125"/>
      <c r="VFO44" s="125"/>
      <c r="VFP44" s="316"/>
      <c r="VFQ44" s="14"/>
      <c r="VFR44" s="125"/>
      <c r="VFS44" s="125"/>
      <c r="VFT44" s="316"/>
      <c r="VFU44" s="14"/>
      <c r="VFV44" s="125"/>
      <c r="VFW44" s="125"/>
      <c r="VFX44" s="316"/>
      <c r="VFY44" s="14"/>
      <c r="VFZ44" s="125"/>
      <c r="VGA44" s="125"/>
      <c r="VGB44" s="316"/>
      <c r="VGC44" s="10"/>
      <c r="VGD44" s="125"/>
      <c r="VGE44" s="125"/>
      <c r="VGF44" s="316"/>
      <c r="VGG44" s="14"/>
      <c r="VGH44" s="125"/>
      <c r="VGI44" s="125"/>
      <c r="VGJ44" s="316"/>
      <c r="VGK44" s="14"/>
      <c r="VGL44" s="125"/>
      <c r="VGM44" s="125"/>
      <c r="VGN44" s="316"/>
      <c r="VGO44" s="14"/>
      <c r="VGP44" s="125"/>
      <c r="VGQ44" s="125"/>
      <c r="VGR44" s="316"/>
      <c r="VGS44" s="10"/>
      <c r="VGT44" s="125"/>
      <c r="VGU44" s="125"/>
      <c r="VGV44" s="316"/>
      <c r="VGW44" s="14"/>
      <c r="VGX44" s="125"/>
      <c r="VGY44" s="125"/>
      <c r="VGZ44" s="316"/>
      <c r="VHA44" s="14"/>
      <c r="VHB44" s="125"/>
      <c r="VHC44" s="125"/>
      <c r="VHD44" s="316"/>
      <c r="VHE44" s="14"/>
      <c r="VHF44" s="125"/>
      <c r="VHG44" s="125"/>
      <c r="VHH44" s="316"/>
      <c r="VHI44" s="10"/>
      <c r="VHJ44" s="125"/>
      <c r="VHK44" s="125"/>
      <c r="VHL44" s="316"/>
      <c r="VHM44" s="14"/>
      <c r="VHN44" s="125"/>
      <c r="VHO44" s="125"/>
      <c r="VHP44" s="316"/>
      <c r="VHQ44" s="14"/>
      <c r="VHR44" s="125"/>
      <c r="VHS44" s="125"/>
      <c r="VHT44" s="316"/>
      <c r="VHU44" s="14"/>
      <c r="VHV44" s="125"/>
      <c r="VHW44" s="125"/>
      <c r="VHX44" s="316"/>
      <c r="VHY44" s="10"/>
      <c r="VHZ44" s="125"/>
      <c r="VIA44" s="125"/>
      <c r="VIB44" s="316"/>
      <c r="VIC44" s="14"/>
      <c r="VID44" s="125"/>
      <c r="VIE44" s="125"/>
      <c r="VIF44" s="316"/>
      <c r="VIG44" s="14"/>
      <c r="VIH44" s="125"/>
      <c r="VII44" s="125"/>
      <c r="VIJ44" s="316"/>
      <c r="VIK44" s="14"/>
      <c r="VIL44" s="125"/>
      <c r="VIM44" s="125"/>
      <c r="VIN44" s="316"/>
      <c r="VIO44" s="10"/>
      <c r="VIP44" s="125"/>
      <c r="VIQ44" s="125"/>
      <c r="VIR44" s="316"/>
      <c r="VIS44" s="14"/>
      <c r="VIT44" s="125"/>
      <c r="VIU44" s="125"/>
      <c r="VIV44" s="316"/>
      <c r="VIW44" s="14"/>
      <c r="VIX44" s="125"/>
      <c r="VIY44" s="125"/>
      <c r="VIZ44" s="316"/>
      <c r="VJA44" s="14"/>
      <c r="VJB44" s="125"/>
      <c r="VJC44" s="125"/>
      <c r="VJD44" s="316"/>
      <c r="VJE44" s="10"/>
      <c r="VJF44" s="125"/>
      <c r="VJG44" s="125"/>
      <c r="VJH44" s="316"/>
      <c r="VJI44" s="14"/>
      <c r="VJJ44" s="125"/>
      <c r="VJK44" s="125"/>
      <c r="VJL44" s="316"/>
      <c r="VJM44" s="14"/>
      <c r="VJN44" s="125"/>
      <c r="VJO44" s="125"/>
      <c r="VJP44" s="316"/>
      <c r="VJQ44" s="14"/>
      <c r="VJR44" s="125"/>
      <c r="VJS44" s="125"/>
      <c r="VJT44" s="316"/>
      <c r="VJU44" s="10"/>
      <c r="VJV44" s="125"/>
      <c r="VJW44" s="125"/>
      <c r="VJX44" s="316"/>
      <c r="VJY44" s="14"/>
      <c r="VJZ44" s="125"/>
      <c r="VKA44" s="125"/>
      <c r="VKB44" s="316"/>
      <c r="VKC44" s="14"/>
      <c r="VKD44" s="125"/>
      <c r="VKE44" s="125"/>
      <c r="VKF44" s="316"/>
      <c r="VKG44" s="14"/>
      <c r="VKH44" s="125"/>
      <c r="VKI44" s="125"/>
      <c r="VKJ44" s="316"/>
      <c r="VKK44" s="10"/>
      <c r="VKL44" s="125"/>
      <c r="VKM44" s="125"/>
      <c r="VKN44" s="316"/>
      <c r="VKO44" s="14"/>
      <c r="VKP44" s="125"/>
      <c r="VKQ44" s="125"/>
      <c r="VKR44" s="316"/>
      <c r="VKS44" s="14"/>
      <c r="VKT44" s="125"/>
      <c r="VKU44" s="125"/>
      <c r="VKV44" s="316"/>
      <c r="VKW44" s="14"/>
      <c r="VKX44" s="125"/>
      <c r="VKY44" s="125"/>
      <c r="VKZ44" s="316"/>
      <c r="VLA44" s="10"/>
      <c r="VLB44" s="125"/>
      <c r="VLC44" s="125"/>
      <c r="VLD44" s="316"/>
      <c r="VLE44" s="14"/>
      <c r="VLF44" s="125"/>
      <c r="VLG44" s="125"/>
      <c r="VLH44" s="316"/>
      <c r="VLI44" s="14"/>
      <c r="VLJ44" s="125"/>
      <c r="VLK44" s="125"/>
      <c r="VLL44" s="316"/>
      <c r="VLM44" s="14"/>
      <c r="VLN44" s="125"/>
      <c r="VLO44" s="125"/>
      <c r="VLP44" s="316"/>
      <c r="VLQ44" s="10"/>
      <c r="VLR44" s="125"/>
      <c r="VLS44" s="125"/>
      <c r="VLT44" s="316"/>
      <c r="VLU44" s="14"/>
      <c r="VLV44" s="125"/>
      <c r="VLW44" s="125"/>
      <c r="VLX44" s="316"/>
      <c r="VLY44" s="14"/>
      <c r="VLZ44" s="125"/>
      <c r="VMA44" s="125"/>
      <c r="VMB44" s="316"/>
      <c r="VMC44" s="14"/>
      <c r="VMD44" s="125"/>
      <c r="VME44" s="125"/>
      <c r="VMF44" s="316"/>
      <c r="VMG44" s="10"/>
      <c r="VMH44" s="125"/>
      <c r="VMI44" s="125"/>
      <c r="VMJ44" s="316"/>
      <c r="VMK44" s="14"/>
      <c r="VML44" s="125"/>
      <c r="VMM44" s="125"/>
      <c r="VMN44" s="316"/>
      <c r="VMO44" s="14"/>
      <c r="VMP44" s="125"/>
      <c r="VMQ44" s="125"/>
      <c r="VMR44" s="316"/>
      <c r="VMS44" s="14"/>
      <c r="VMT44" s="125"/>
      <c r="VMU44" s="125"/>
      <c r="VMV44" s="316"/>
      <c r="VMW44" s="10"/>
      <c r="VMX44" s="125"/>
      <c r="VMY44" s="125"/>
      <c r="VMZ44" s="316"/>
      <c r="VNA44" s="14"/>
      <c r="VNB44" s="125"/>
      <c r="VNC44" s="125"/>
      <c r="VND44" s="316"/>
      <c r="VNE44" s="14"/>
      <c r="VNF44" s="125"/>
      <c r="VNG44" s="125"/>
      <c r="VNH44" s="316"/>
      <c r="VNI44" s="14"/>
      <c r="VNJ44" s="125"/>
      <c r="VNK44" s="125"/>
      <c r="VNL44" s="316"/>
      <c r="VNM44" s="10"/>
      <c r="VNN44" s="125"/>
      <c r="VNO44" s="125"/>
      <c r="VNP44" s="316"/>
      <c r="VNQ44" s="14"/>
      <c r="VNR44" s="125"/>
      <c r="VNS44" s="125"/>
      <c r="VNT44" s="316"/>
      <c r="VNU44" s="14"/>
      <c r="VNV44" s="125"/>
      <c r="VNW44" s="125"/>
      <c r="VNX44" s="316"/>
      <c r="VNY44" s="14"/>
      <c r="VNZ44" s="125"/>
      <c r="VOA44" s="125"/>
      <c r="VOB44" s="316"/>
      <c r="VOC44" s="10"/>
      <c r="VOD44" s="125"/>
      <c r="VOE44" s="125"/>
      <c r="VOF44" s="316"/>
      <c r="VOG44" s="14"/>
      <c r="VOH44" s="125"/>
      <c r="VOI44" s="125"/>
      <c r="VOJ44" s="316"/>
      <c r="VOK44" s="14"/>
      <c r="VOL44" s="125"/>
      <c r="VOM44" s="125"/>
      <c r="VON44" s="316"/>
      <c r="VOO44" s="14"/>
      <c r="VOP44" s="125"/>
      <c r="VOQ44" s="125"/>
      <c r="VOR44" s="316"/>
      <c r="VOS44" s="10"/>
      <c r="VOT44" s="125"/>
      <c r="VOU44" s="125"/>
      <c r="VOV44" s="316"/>
      <c r="VOW44" s="14"/>
      <c r="VOX44" s="125"/>
      <c r="VOY44" s="125"/>
      <c r="VOZ44" s="316"/>
      <c r="VPA44" s="14"/>
      <c r="VPB44" s="125"/>
      <c r="VPC44" s="125"/>
      <c r="VPD44" s="316"/>
      <c r="VPE44" s="14"/>
      <c r="VPF44" s="125"/>
      <c r="VPG44" s="125"/>
      <c r="VPH44" s="316"/>
      <c r="VPI44" s="10"/>
      <c r="VPJ44" s="125"/>
      <c r="VPK44" s="125"/>
      <c r="VPL44" s="316"/>
      <c r="VPM44" s="14"/>
      <c r="VPN44" s="125"/>
      <c r="VPO44" s="125"/>
      <c r="VPP44" s="316"/>
      <c r="VPQ44" s="14"/>
      <c r="VPR44" s="125"/>
      <c r="VPS44" s="125"/>
      <c r="VPT44" s="316"/>
      <c r="VPU44" s="14"/>
      <c r="VPV44" s="125"/>
      <c r="VPW44" s="125"/>
      <c r="VPX44" s="316"/>
      <c r="VPY44" s="10"/>
      <c r="VPZ44" s="125"/>
      <c r="VQA44" s="125"/>
      <c r="VQB44" s="316"/>
      <c r="VQC44" s="14"/>
      <c r="VQD44" s="125"/>
      <c r="VQE44" s="125"/>
      <c r="VQF44" s="316"/>
      <c r="VQG44" s="14"/>
      <c r="VQH44" s="125"/>
      <c r="VQI44" s="125"/>
      <c r="VQJ44" s="316"/>
      <c r="VQK44" s="14"/>
      <c r="VQL44" s="125"/>
      <c r="VQM44" s="125"/>
      <c r="VQN44" s="316"/>
      <c r="VQO44" s="10"/>
      <c r="VQP44" s="125"/>
      <c r="VQQ44" s="125"/>
      <c r="VQR44" s="316"/>
      <c r="VQS44" s="14"/>
      <c r="VQT44" s="125"/>
      <c r="VQU44" s="125"/>
      <c r="VQV44" s="316"/>
      <c r="VQW44" s="14"/>
      <c r="VQX44" s="125"/>
      <c r="VQY44" s="125"/>
      <c r="VQZ44" s="316"/>
      <c r="VRA44" s="14"/>
      <c r="VRB44" s="125"/>
      <c r="VRC44" s="125"/>
      <c r="VRD44" s="316"/>
      <c r="VRE44" s="10"/>
      <c r="VRF44" s="125"/>
      <c r="VRG44" s="125"/>
      <c r="VRH44" s="316"/>
      <c r="VRI44" s="14"/>
      <c r="VRJ44" s="125"/>
      <c r="VRK44" s="125"/>
      <c r="VRL44" s="316"/>
      <c r="VRM44" s="14"/>
      <c r="VRN44" s="125"/>
      <c r="VRO44" s="125"/>
      <c r="VRP44" s="316"/>
      <c r="VRQ44" s="14"/>
      <c r="VRR44" s="125"/>
      <c r="VRS44" s="125"/>
      <c r="VRT44" s="316"/>
      <c r="VRU44" s="10"/>
      <c r="VRV44" s="125"/>
      <c r="VRW44" s="125"/>
      <c r="VRX44" s="316"/>
      <c r="VRY44" s="14"/>
      <c r="VRZ44" s="125"/>
      <c r="VSA44" s="125"/>
      <c r="VSB44" s="316"/>
      <c r="VSC44" s="14"/>
      <c r="VSD44" s="125"/>
      <c r="VSE44" s="125"/>
      <c r="VSF44" s="316"/>
      <c r="VSG44" s="14"/>
      <c r="VSH44" s="125"/>
      <c r="VSI44" s="125"/>
      <c r="VSJ44" s="316"/>
      <c r="VSK44" s="10"/>
      <c r="VSL44" s="125"/>
      <c r="VSM44" s="125"/>
      <c r="VSN44" s="316"/>
      <c r="VSO44" s="14"/>
      <c r="VSP44" s="125"/>
      <c r="VSQ44" s="125"/>
      <c r="VSR44" s="316"/>
      <c r="VSS44" s="14"/>
      <c r="VST44" s="125"/>
      <c r="VSU44" s="125"/>
      <c r="VSV44" s="316"/>
      <c r="VSW44" s="14"/>
      <c r="VSX44" s="125"/>
      <c r="VSY44" s="125"/>
      <c r="VSZ44" s="316"/>
      <c r="VTA44" s="10"/>
      <c r="VTB44" s="125"/>
      <c r="VTC44" s="125"/>
      <c r="VTD44" s="316"/>
      <c r="VTE44" s="14"/>
      <c r="VTF44" s="125"/>
      <c r="VTG44" s="125"/>
      <c r="VTH44" s="316"/>
      <c r="VTI44" s="14"/>
      <c r="VTJ44" s="125"/>
      <c r="VTK44" s="125"/>
      <c r="VTL44" s="316"/>
      <c r="VTM44" s="14"/>
      <c r="VTN44" s="125"/>
      <c r="VTO44" s="125"/>
      <c r="VTP44" s="316"/>
      <c r="VTQ44" s="10"/>
      <c r="VTR44" s="125"/>
      <c r="VTS44" s="125"/>
      <c r="VTT44" s="316"/>
      <c r="VTU44" s="14"/>
      <c r="VTV44" s="125"/>
      <c r="VTW44" s="125"/>
      <c r="VTX44" s="316"/>
      <c r="VTY44" s="14"/>
      <c r="VTZ44" s="125"/>
      <c r="VUA44" s="125"/>
      <c r="VUB44" s="316"/>
      <c r="VUC44" s="14"/>
      <c r="VUD44" s="125"/>
      <c r="VUE44" s="125"/>
      <c r="VUF44" s="316"/>
      <c r="VUG44" s="10"/>
      <c r="VUH44" s="125"/>
      <c r="VUI44" s="125"/>
      <c r="VUJ44" s="316"/>
      <c r="VUK44" s="14"/>
      <c r="VUL44" s="125"/>
      <c r="VUM44" s="125"/>
      <c r="VUN44" s="316"/>
      <c r="VUO44" s="14"/>
      <c r="VUP44" s="125"/>
      <c r="VUQ44" s="125"/>
      <c r="VUR44" s="316"/>
      <c r="VUS44" s="14"/>
      <c r="VUT44" s="125"/>
      <c r="VUU44" s="125"/>
      <c r="VUV44" s="316"/>
      <c r="VUW44" s="10"/>
      <c r="VUX44" s="125"/>
      <c r="VUY44" s="125"/>
      <c r="VUZ44" s="316"/>
      <c r="VVA44" s="14"/>
      <c r="VVB44" s="125"/>
      <c r="VVC44" s="125"/>
      <c r="VVD44" s="316"/>
      <c r="VVE44" s="14"/>
      <c r="VVF44" s="125"/>
      <c r="VVG44" s="125"/>
      <c r="VVH44" s="316"/>
      <c r="VVI44" s="14"/>
      <c r="VVJ44" s="125"/>
      <c r="VVK44" s="125"/>
      <c r="VVL44" s="316"/>
      <c r="VVM44" s="10"/>
      <c r="VVN44" s="125"/>
      <c r="VVO44" s="125"/>
      <c r="VVP44" s="316"/>
      <c r="VVQ44" s="14"/>
      <c r="VVR44" s="125"/>
      <c r="VVS44" s="125"/>
      <c r="VVT44" s="316"/>
      <c r="VVU44" s="14"/>
      <c r="VVV44" s="125"/>
      <c r="VVW44" s="125"/>
      <c r="VVX44" s="316"/>
      <c r="VVY44" s="14"/>
      <c r="VVZ44" s="125"/>
      <c r="VWA44" s="125"/>
      <c r="VWB44" s="316"/>
      <c r="VWC44" s="10"/>
      <c r="VWD44" s="125"/>
      <c r="VWE44" s="125"/>
      <c r="VWF44" s="316"/>
      <c r="VWG44" s="14"/>
      <c r="VWH44" s="125"/>
      <c r="VWI44" s="125"/>
      <c r="VWJ44" s="316"/>
      <c r="VWK44" s="14"/>
      <c r="VWL44" s="125"/>
      <c r="VWM44" s="125"/>
      <c r="VWN44" s="316"/>
      <c r="VWO44" s="14"/>
      <c r="VWP44" s="125"/>
      <c r="VWQ44" s="125"/>
      <c r="VWR44" s="316"/>
      <c r="VWS44" s="10"/>
      <c r="VWT44" s="125"/>
      <c r="VWU44" s="125"/>
      <c r="VWV44" s="316"/>
      <c r="VWW44" s="14"/>
      <c r="VWX44" s="125"/>
      <c r="VWY44" s="125"/>
      <c r="VWZ44" s="316"/>
      <c r="VXA44" s="14"/>
      <c r="VXB44" s="125"/>
      <c r="VXC44" s="125"/>
      <c r="VXD44" s="316"/>
      <c r="VXE44" s="14"/>
      <c r="VXF44" s="125"/>
      <c r="VXG44" s="125"/>
      <c r="VXH44" s="316"/>
      <c r="VXI44" s="10"/>
      <c r="VXJ44" s="125"/>
      <c r="VXK44" s="125"/>
      <c r="VXL44" s="316"/>
      <c r="VXM44" s="14"/>
      <c r="VXN44" s="125"/>
      <c r="VXO44" s="125"/>
      <c r="VXP44" s="316"/>
      <c r="VXQ44" s="14"/>
      <c r="VXR44" s="125"/>
      <c r="VXS44" s="125"/>
      <c r="VXT44" s="316"/>
      <c r="VXU44" s="14"/>
      <c r="VXV44" s="125"/>
      <c r="VXW44" s="125"/>
      <c r="VXX44" s="316"/>
      <c r="VXY44" s="10"/>
      <c r="VXZ44" s="125"/>
      <c r="VYA44" s="125"/>
      <c r="VYB44" s="316"/>
      <c r="VYC44" s="14"/>
      <c r="VYD44" s="125"/>
      <c r="VYE44" s="125"/>
      <c r="VYF44" s="316"/>
      <c r="VYG44" s="14"/>
      <c r="VYH44" s="125"/>
      <c r="VYI44" s="125"/>
      <c r="VYJ44" s="316"/>
      <c r="VYK44" s="14"/>
      <c r="VYL44" s="125"/>
      <c r="VYM44" s="125"/>
      <c r="VYN44" s="316"/>
      <c r="VYO44" s="10"/>
      <c r="VYP44" s="125"/>
      <c r="VYQ44" s="125"/>
      <c r="VYR44" s="316"/>
      <c r="VYS44" s="14"/>
      <c r="VYT44" s="125"/>
      <c r="VYU44" s="125"/>
      <c r="VYV44" s="316"/>
      <c r="VYW44" s="14"/>
      <c r="VYX44" s="125"/>
      <c r="VYY44" s="125"/>
      <c r="VYZ44" s="316"/>
      <c r="VZA44" s="14"/>
      <c r="VZB44" s="125"/>
      <c r="VZC44" s="125"/>
      <c r="VZD44" s="316"/>
      <c r="VZE44" s="10"/>
      <c r="VZF44" s="125"/>
      <c r="VZG44" s="125"/>
      <c r="VZH44" s="316"/>
      <c r="VZI44" s="14"/>
      <c r="VZJ44" s="125"/>
      <c r="VZK44" s="125"/>
      <c r="VZL44" s="316"/>
      <c r="VZM44" s="14"/>
      <c r="VZN44" s="125"/>
      <c r="VZO44" s="125"/>
      <c r="VZP44" s="316"/>
      <c r="VZQ44" s="14"/>
      <c r="VZR44" s="125"/>
      <c r="VZS44" s="125"/>
      <c r="VZT44" s="316"/>
      <c r="VZU44" s="10"/>
      <c r="VZV44" s="125"/>
      <c r="VZW44" s="125"/>
      <c r="VZX44" s="316"/>
      <c r="VZY44" s="14"/>
      <c r="VZZ44" s="125"/>
      <c r="WAA44" s="125"/>
      <c r="WAB44" s="316"/>
      <c r="WAC44" s="14"/>
      <c r="WAD44" s="125"/>
      <c r="WAE44" s="125"/>
      <c r="WAF44" s="316"/>
      <c r="WAG44" s="14"/>
      <c r="WAH44" s="125"/>
      <c r="WAI44" s="125"/>
      <c r="WAJ44" s="316"/>
      <c r="WAK44" s="10"/>
      <c r="WAL44" s="125"/>
      <c r="WAM44" s="125"/>
      <c r="WAN44" s="316"/>
      <c r="WAO44" s="14"/>
      <c r="WAP44" s="125"/>
      <c r="WAQ44" s="125"/>
      <c r="WAR44" s="316"/>
      <c r="WAS44" s="14"/>
      <c r="WAT44" s="125"/>
      <c r="WAU44" s="125"/>
      <c r="WAV44" s="316"/>
      <c r="WAW44" s="14"/>
      <c r="WAX44" s="125"/>
      <c r="WAY44" s="125"/>
      <c r="WAZ44" s="316"/>
      <c r="WBA44" s="10"/>
      <c r="WBB44" s="125"/>
      <c r="WBC44" s="125"/>
      <c r="WBD44" s="316"/>
      <c r="WBE44" s="14"/>
      <c r="WBF44" s="125"/>
      <c r="WBG44" s="125"/>
      <c r="WBH44" s="316"/>
      <c r="WBI44" s="14"/>
      <c r="WBJ44" s="125"/>
      <c r="WBK44" s="125"/>
      <c r="WBL44" s="316"/>
      <c r="WBM44" s="14"/>
      <c r="WBN44" s="125"/>
      <c r="WBO44" s="125"/>
      <c r="WBP44" s="316"/>
      <c r="WBQ44" s="10"/>
      <c r="WBR44" s="125"/>
      <c r="WBS44" s="125"/>
      <c r="WBT44" s="316"/>
      <c r="WBU44" s="14"/>
      <c r="WBV44" s="125"/>
      <c r="WBW44" s="125"/>
      <c r="WBX44" s="316"/>
      <c r="WBY44" s="14"/>
      <c r="WBZ44" s="125"/>
      <c r="WCA44" s="125"/>
      <c r="WCB44" s="316"/>
      <c r="WCC44" s="14"/>
      <c r="WCD44" s="125"/>
      <c r="WCE44" s="125"/>
      <c r="WCF44" s="316"/>
      <c r="WCG44" s="10"/>
      <c r="WCH44" s="125"/>
      <c r="WCI44" s="125"/>
      <c r="WCJ44" s="316"/>
      <c r="WCK44" s="14"/>
      <c r="WCL44" s="125"/>
      <c r="WCM44" s="125"/>
      <c r="WCN44" s="316"/>
      <c r="WCO44" s="14"/>
      <c r="WCP44" s="125"/>
      <c r="WCQ44" s="125"/>
      <c r="WCR44" s="316"/>
      <c r="WCS44" s="14"/>
      <c r="WCT44" s="125"/>
      <c r="WCU44" s="125"/>
      <c r="WCV44" s="316"/>
      <c r="WCW44" s="10"/>
      <c r="WCX44" s="125"/>
      <c r="WCY44" s="125"/>
      <c r="WCZ44" s="316"/>
      <c r="WDA44" s="14"/>
      <c r="WDB44" s="125"/>
      <c r="WDC44" s="125"/>
      <c r="WDD44" s="316"/>
      <c r="WDE44" s="14"/>
      <c r="WDF44" s="125"/>
      <c r="WDG44" s="125"/>
      <c r="WDH44" s="316"/>
      <c r="WDI44" s="14"/>
      <c r="WDJ44" s="125"/>
      <c r="WDK44" s="125"/>
      <c r="WDL44" s="316"/>
      <c r="WDM44" s="10"/>
      <c r="WDN44" s="125"/>
      <c r="WDO44" s="125"/>
      <c r="WDP44" s="316"/>
      <c r="WDQ44" s="14"/>
      <c r="WDR44" s="125"/>
      <c r="WDS44" s="125"/>
      <c r="WDT44" s="316"/>
      <c r="WDU44" s="14"/>
      <c r="WDV44" s="125"/>
      <c r="WDW44" s="125"/>
      <c r="WDX44" s="316"/>
      <c r="WDY44" s="14"/>
      <c r="WDZ44" s="125"/>
      <c r="WEA44" s="125"/>
      <c r="WEB44" s="316"/>
      <c r="WEC44" s="10"/>
      <c r="WED44" s="125"/>
      <c r="WEE44" s="125"/>
      <c r="WEF44" s="316"/>
      <c r="WEG44" s="14"/>
      <c r="WEH44" s="125"/>
      <c r="WEI44" s="125"/>
      <c r="WEJ44" s="316"/>
      <c r="WEK44" s="14"/>
      <c r="WEL44" s="125"/>
      <c r="WEM44" s="125"/>
      <c r="WEN44" s="316"/>
      <c r="WEO44" s="14"/>
      <c r="WEP44" s="125"/>
      <c r="WEQ44" s="125"/>
      <c r="WER44" s="316"/>
      <c r="WES44" s="10"/>
      <c r="WET44" s="125"/>
      <c r="WEU44" s="125"/>
      <c r="WEV44" s="316"/>
      <c r="WEW44" s="14"/>
      <c r="WEX44" s="125"/>
      <c r="WEY44" s="125"/>
      <c r="WEZ44" s="316"/>
      <c r="WFA44" s="14"/>
      <c r="WFB44" s="125"/>
      <c r="WFC44" s="125"/>
      <c r="WFD44" s="316"/>
      <c r="WFE44" s="14"/>
      <c r="WFF44" s="125"/>
      <c r="WFG44" s="125"/>
      <c r="WFH44" s="316"/>
      <c r="WFI44" s="10"/>
      <c r="WFJ44" s="125"/>
      <c r="WFK44" s="125"/>
      <c r="WFL44" s="316"/>
      <c r="WFM44" s="14"/>
      <c r="WFN44" s="125"/>
      <c r="WFO44" s="125"/>
      <c r="WFP44" s="316"/>
      <c r="WFQ44" s="14"/>
      <c r="WFR44" s="125"/>
      <c r="WFS44" s="125"/>
      <c r="WFT44" s="316"/>
      <c r="WFU44" s="14"/>
      <c r="WFV44" s="125"/>
      <c r="WFW44" s="125"/>
      <c r="WFX44" s="316"/>
      <c r="WFY44" s="10"/>
      <c r="WFZ44" s="125"/>
      <c r="WGA44" s="125"/>
      <c r="WGB44" s="316"/>
      <c r="WGC44" s="14"/>
      <c r="WGD44" s="125"/>
      <c r="WGE44" s="125"/>
      <c r="WGF44" s="316"/>
      <c r="WGG44" s="14"/>
      <c r="WGH44" s="125"/>
      <c r="WGI44" s="125"/>
      <c r="WGJ44" s="316"/>
      <c r="WGK44" s="14"/>
      <c r="WGL44" s="125"/>
      <c r="WGM44" s="125"/>
      <c r="WGN44" s="316"/>
      <c r="WGO44" s="10"/>
      <c r="WGP44" s="125"/>
      <c r="WGQ44" s="125"/>
      <c r="WGR44" s="316"/>
      <c r="WGS44" s="14"/>
      <c r="WGT44" s="125"/>
      <c r="WGU44" s="125"/>
      <c r="WGV44" s="316"/>
      <c r="WGW44" s="14"/>
      <c r="WGX44" s="125"/>
      <c r="WGY44" s="125"/>
      <c r="WGZ44" s="316"/>
      <c r="WHA44" s="14"/>
      <c r="WHB44" s="125"/>
      <c r="WHC44" s="125"/>
      <c r="WHD44" s="316"/>
      <c r="WHE44" s="10"/>
      <c r="WHF44" s="125"/>
      <c r="WHG44" s="125"/>
      <c r="WHH44" s="316"/>
      <c r="WHI44" s="14"/>
      <c r="WHJ44" s="125"/>
      <c r="WHK44" s="125"/>
      <c r="WHL44" s="316"/>
      <c r="WHM44" s="14"/>
      <c r="WHN44" s="125"/>
      <c r="WHO44" s="125"/>
      <c r="WHP44" s="316"/>
      <c r="WHQ44" s="14"/>
      <c r="WHR44" s="125"/>
      <c r="WHS44" s="125"/>
      <c r="WHT44" s="316"/>
      <c r="WHU44" s="10"/>
      <c r="WHV44" s="125"/>
      <c r="WHW44" s="125"/>
      <c r="WHX44" s="316"/>
      <c r="WHY44" s="14"/>
      <c r="WHZ44" s="125"/>
      <c r="WIA44" s="125"/>
      <c r="WIB44" s="316"/>
      <c r="WIC44" s="14"/>
      <c r="WID44" s="125"/>
      <c r="WIE44" s="125"/>
      <c r="WIF44" s="316"/>
      <c r="WIG44" s="14"/>
      <c r="WIH44" s="125"/>
      <c r="WII44" s="125"/>
      <c r="WIJ44" s="316"/>
      <c r="WIK44" s="10"/>
      <c r="WIL44" s="125"/>
      <c r="WIM44" s="125"/>
      <c r="WIN44" s="316"/>
      <c r="WIO44" s="14"/>
      <c r="WIP44" s="125"/>
      <c r="WIQ44" s="125"/>
      <c r="WIR44" s="316"/>
      <c r="WIS44" s="14"/>
      <c r="WIT44" s="125"/>
      <c r="WIU44" s="125"/>
      <c r="WIV44" s="316"/>
      <c r="WIW44" s="14"/>
      <c r="WIX44" s="125"/>
      <c r="WIY44" s="125"/>
      <c r="WIZ44" s="316"/>
      <c r="WJA44" s="10"/>
      <c r="WJB44" s="125"/>
      <c r="WJC44" s="125"/>
      <c r="WJD44" s="316"/>
      <c r="WJE44" s="14"/>
      <c r="WJF44" s="125"/>
      <c r="WJG44" s="125"/>
      <c r="WJH44" s="316"/>
      <c r="WJI44" s="14"/>
      <c r="WJJ44" s="125"/>
      <c r="WJK44" s="125"/>
      <c r="WJL44" s="316"/>
      <c r="WJM44" s="14"/>
      <c r="WJN44" s="125"/>
      <c r="WJO44" s="125"/>
      <c r="WJP44" s="316"/>
      <c r="WJQ44" s="10"/>
      <c r="WJR44" s="125"/>
      <c r="WJS44" s="125"/>
      <c r="WJT44" s="316"/>
      <c r="WJU44" s="14"/>
      <c r="WJV44" s="125"/>
      <c r="WJW44" s="125"/>
      <c r="WJX44" s="316"/>
      <c r="WJY44" s="14"/>
      <c r="WJZ44" s="125"/>
      <c r="WKA44" s="125"/>
      <c r="WKB44" s="316"/>
      <c r="WKC44" s="14"/>
      <c r="WKD44" s="125"/>
      <c r="WKE44" s="125"/>
      <c r="WKF44" s="316"/>
      <c r="WKG44" s="10"/>
      <c r="WKH44" s="125"/>
      <c r="WKI44" s="125"/>
      <c r="WKJ44" s="316"/>
      <c r="WKK44" s="14"/>
      <c r="WKL44" s="125"/>
      <c r="WKM44" s="125"/>
      <c r="WKN44" s="316"/>
      <c r="WKO44" s="14"/>
      <c r="WKP44" s="125"/>
      <c r="WKQ44" s="125"/>
      <c r="WKR44" s="316"/>
      <c r="WKS44" s="14"/>
      <c r="WKT44" s="125"/>
      <c r="WKU44" s="125"/>
      <c r="WKV44" s="316"/>
      <c r="WKW44" s="10"/>
      <c r="WKX44" s="125"/>
      <c r="WKY44" s="125"/>
      <c r="WKZ44" s="316"/>
      <c r="WLA44" s="14"/>
      <c r="WLB44" s="125"/>
      <c r="WLC44" s="125"/>
      <c r="WLD44" s="316"/>
      <c r="WLE44" s="14"/>
      <c r="WLF44" s="125"/>
      <c r="WLG44" s="125"/>
      <c r="WLH44" s="316"/>
      <c r="WLI44" s="14"/>
      <c r="WLJ44" s="125"/>
      <c r="WLK44" s="125"/>
      <c r="WLL44" s="316"/>
      <c r="WLM44" s="10"/>
      <c r="WLN44" s="125"/>
      <c r="WLO44" s="125"/>
      <c r="WLP44" s="316"/>
      <c r="WLQ44" s="14"/>
      <c r="WLR44" s="125"/>
      <c r="WLS44" s="125"/>
      <c r="WLT44" s="316"/>
      <c r="WLU44" s="14"/>
      <c r="WLV44" s="125"/>
      <c r="WLW44" s="125"/>
      <c r="WLX44" s="316"/>
      <c r="WLY44" s="14"/>
      <c r="WLZ44" s="125"/>
      <c r="WMA44" s="125"/>
      <c r="WMB44" s="316"/>
      <c r="WMC44" s="10"/>
      <c r="WMD44" s="125"/>
      <c r="WME44" s="125"/>
      <c r="WMF44" s="316"/>
      <c r="WMG44" s="14"/>
      <c r="WMH44" s="125"/>
      <c r="WMI44" s="125"/>
      <c r="WMJ44" s="316"/>
      <c r="WMK44" s="14"/>
      <c r="WML44" s="125"/>
      <c r="WMM44" s="125"/>
      <c r="WMN44" s="316"/>
      <c r="WMO44" s="14"/>
      <c r="WMP44" s="125"/>
      <c r="WMQ44" s="125"/>
      <c r="WMR44" s="316"/>
      <c r="WMS44" s="10"/>
      <c r="WMT44" s="125"/>
      <c r="WMU44" s="125"/>
      <c r="WMV44" s="316"/>
      <c r="WMW44" s="14"/>
      <c r="WMX44" s="125"/>
      <c r="WMY44" s="125"/>
      <c r="WMZ44" s="316"/>
      <c r="WNA44" s="14"/>
      <c r="WNB44" s="125"/>
      <c r="WNC44" s="125"/>
      <c r="WND44" s="316"/>
      <c r="WNE44" s="14"/>
      <c r="WNF44" s="125"/>
      <c r="WNG44" s="125"/>
      <c r="WNH44" s="316"/>
      <c r="WNI44" s="10"/>
      <c r="WNJ44" s="125"/>
      <c r="WNK44" s="125"/>
      <c r="WNL44" s="316"/>
      <c r="WNM44" s="14"/>
      <c r="WNN44" s="125"/>
      <c r="WNO44" s="125"/>
      <c r="WNP44" s="316"/>
      <c r="WNQ44" s="14"/>
      <c r="WNR44" s="125"/>
      <c r="WNS44" s="125"/>
      <c r="WNT44" s="316"/>
      <c r="WNU44" s="14"/>
      <c r="WNV44" s="125"/>
      <c r="WNW44" s="125"/>
      <c r="WNX44" s="316"/>
      <c r="WNY44" s="10"/>
      <c r="WNZ44" s="125"/>
      <c r="WOA44" s="125"/>
      <c r="WOB44" s="316"/>
      <c r="WOC44" s="14"/>
      <c r="WOD44" s="125"/>
      <c r="WOE44" s="125"/>
      <c r="WOF44" s="316"/>
      <c r="WOG44" s="14"/>
      <c r="WOH44" s="125"/>
      <c r="WOI44" s="125"/>
      <c r="WOJ44" s="316"/>
      <c r="WOK44" s="14"/>
      <c r="WOL44" s="125"/>
      <c r="WOM44" s="125"/>
      <c r="WON44" s="316"/>
      <c r="WOO44" s="10"/>
      <c r="WOP44" s="125"/>
      <c r="WOQ44" s="125"/>
      <c r="WOR44" s="316"/>
      <c r="WOS44" s="14"/>
      <c r="WOT44" s="125"/>
      <c r="WOU44" s="125"/>
      <c r="WOV44" s="316"/>
      <c r="WOW44" s="14"/>
      <c r="WOX44" s="125"/>
      <c r="WOY44" s="125"/>
      <c r="WOZ44" s="316"/>
      <c r="WPA44" s="14"/>
      <c r="WPB44" s="125"/>
      <c r="WPC44" s="125"/>
      <c r="WPD44" s="316"/>
      <c r="WPE44" s="10"/>
      <c r="WPF44" s="125"/>
      <c r="WPG44" s="125"/>
      <c r="WPH44" s="316"/>
      <c r="WPI44" s="14"/>
      <c r="WPJ44" s="125"/>
      <c r="WPK44" s="125"/>
      <c r="WPL44" s="316"/>
      <c r="WPM44" s="14"/>
      <c r="WPN44" s="125"/>
      <c r="WPO44" s="125"/>
      <c r="WPP44" s="316"/>
      <c r="WPQ44" s="14"/>
      <c r="WPR44" s="125"/>
      <c r="WPS44" s="125"/>
      <c r="WPT44" s="316"/>
      <c r="WPU44" s="10"/>
      <c r="WPV44" s="125"/>
      <c r="WPW44" s="125"/>
      <c r="WPX44" s="316"/>
      <c r="WPY44" s="14"/>
      <c r="WPZ44" s="125"/>
      <c r="WQA44" s="125"/>
      <c r="WQB44" s="316"/>
      <c r="WQC44" s="14"/>
      <c r="WQD44" s="125"/>
      <c r="WQE44" s="125"/>
      <c r="WQF44" s="316"/>
      <c r="WQG44" s="14"/>
      <c r="WQH44" s="125"/>
      <c r="WQI44" s="125"/>
      <c r="WQJ44" s="316"/>
      <c r="WQK44" s="10"/>
      <c r="WQL44" s="125"/>
      <c r="WQM44" s="125"/>
      <c r="WQN44" s="316"/>
      <c r="WQO44" s="14"/>
      <c r="WQP44" s="125"/>
      <c r="WQQ44" s="125"/>
      <c r="WQR44" s="316"/>
      <c r="WQS44" s="14"/>
      <c r="WQT44" s="125"/>
      <c r="WQU44" s="125"/>
      <c r="WQV44" s="316"/>
      <c r="WQW44" s="14"/>
      <c r="WQX44" s="125"/>
      <c r="WQY44" s="125"/>
      <c r="WQZ44" s="316"/>
      <c r="WRA44" s="10"/>
      <c r="WRB44" s="125"/>
      <c r="WRC44" s="125"/>
      <c r="WRD44" s="316"/>
      <c r="WRE44" s="14"/>
      <c r="WRF44" s="125"/>
      <c r="WRG44" s="125"/>
      <c r="WRH44" s="316"/>
      <c r="WRI44" s="14"/>
      <c r="WRJ44" s="125"/>
      <c r="WRK44" s="125"/>
      <c r="WRL44" s="316"/>
      <c r="WRM44" s="14"/>
      <c r="WRN44" s="125"/>
      <c r="WRO44" s="125"/>
      <c r="WRP44" s="316"/>
      <c r="WRQ44" s="10"/>
      <c r="WRR44" s="125"/>
      <c r="WRS44" s="125"/>
      <c r="WRT44" s="316"/>
      <c r="WRU44" s="14"/>
      <c r="WRV44" s="125"/>
      <c r="WRW44" s="125"/>
      <c r="WRX44" s="316"/>
      <c r="WRY44" s="14"/>
      <c r="WRZ44" s="125"/>
      <c r="WSA44" s="125"/>
      <c r="WSB44" s="316"/>
      <c r="WSC44" s="14"/>
      <c r="WSD44" s="125"/>
      <c r="WSE44" s="125"/>
      <c r="WSF44" s="316"/>
      <c r="WSG44" s="10"/>
      <c r="WSH44" s="125"/>
      <c r="WSI44" s="125"/>
      <c r="WSJ44" s="316"/>
      <c r="WSK44" s="14"/>
      <c r="WSL44" s="125"/>
      <c r="WSM44" s="125"/>
      <c r="WSN44" s="316"/>
      <c r="WSO44" s="14"/>
      <c r="WSP44" s="125"/>
      <c r="WSQ44" s="125"/>
      <c r="WSR44" s="316"/>
      <c r="WSS44" s="14"/>
      <c r="WST44" s="125"/>
      <c r="WSU44" s="125"/>
      <c r="WSV44" s="316"/>
      <c r="WSW44" s="10"/>
      <c r="WSX44" s="125"/>
      <c r="WSY44" s="125"/>
      <c r="WSZ44" s="316"/>
      <c r="WTA44" s="14"/>
      <c r="WTB44" s="125"/>
      <c r="WTC44" s="125"/>
      <c r="WTD44" s="316"/>
      <c r="WTE44" s="14"/>
      <c r="WTF44" s="125"/>
      <c r="WTG44" s="125"/>
      <c r="WTH44" s="316"/>
      <c r="WTI44" s="14"/>
      <c r="WTJ44" s="125"/>
      <c r="WTK44" s="125"/>
      <c r="WTL44" s="316"/>
      <c r="WTM44" s="10"/>
      <c r="WTN44" s="125"/>
      <c r="WTO44" s="125"/>
      <c r="WTP44" s="316"/>
      <c r="WTQ44" s="14"/>
      <c r="WTR44" s="125"/>
      <c r="WTS44" s="125"/>
      <c r="WTT44" s="316"/>
      <c r="WTU44" s="14"/>
      <c r="WTV44" s="125"/>
      <c r="WTW44" s="125"/>
      <c r="WTX44" s="316"/>
      <c r="WTY44" s="14"/>
      <c r="WTZ44" s="125"/>
      <c r="WUA44" s="125"/>
      <c r="WUB44" s="316"/>
      <c r="WUC44" s="10"/>
      <c r="WUD44" s="125"/>
      <c r="WUE44" s="125"/>
      <c r="WUF44" s="316"/>
      <c r="WUG44" s="14"/>
      <c r="WUH44" s="125"/>
      <c r="WUI44" s="125"/>
      <c r="WUJ44" s="316"/>
      <c r="WUK44" s="14"/>
      <c r="WUL44" s="125"/>
      <c r="WUM44" s="125"/>
      <c r="WUN44" s="316"/>
      <c r="WUO44" s="14"/>
      <c r="WUP44" s="125"/>
      <c r="WUQ44" s="125"/>
      <c r="WUR44" s="316"/>
      <c r="WUS44" s="10"/>
      <c r="WUT44" s="125"/>
      <c r="WUU44" s="125"/>
      <c r="WUV44" s="316"/>
      <c r="WUW44" s="14"/>
      <c r="WUX44" s="125"/>
      <c r="WUY44" s="125"/>
      <c r="WUZ44" s="316"/>
      <c r="WVA44" s="14"/>
      <c r="WVB44" s="125"/>
      <c r="WVC44" s="125"/>
      <c r="WVD44" s="316"/>
      <c r="WVE44" s="14"/>
      <c r="WVF44" s="125"/>
      <c r="WVG44" s="125"/>
      <c r="WVH44" s="316"/>
      <c r="WVI44" s="10"/>
      <c r="WVJ44" s="125"/>
      <c r="WVK44" s="125"/>
      <c r="WVL44" s="316"/>
      <c r="WVM44" s="14"/>
      <c r="WVN44" s="125"/>
      <c r="WVO44" s="125"/>
      <c r="WVP44" s="316"/>
      <c r="WVQ44" s="14"/>
      <c r="WVR44" s="125"/>
      <c r="WVS44" s="125"/>
      <c r="WVT44" s="316"/>
      <c r="WVU44" s="14"/>
      <c r="WVV44" s="125"/>
      <c r="WVW44" s="125"/>
      <c r="WVX44" s="316"/>
      <c r="WVY44" s="10"/>
      <c r="WVZ44" s="125"/>
      <c r="WWA44" s="125"/>
      <c r="WWB44" s="316"/>
      <c r="WWC44" s="14"/>
      <c r="WWD44" s="125"/>
      <c r="WWE44" s="125"/>
      <c r="WWF44" s="316"/>
      <c r="WWG44" s="14"/>
      <c r="WWH44" s="125"/>
      <c r="WWI44" s="125"/>
      <c r="WWJ44" s="316"/>
      <c r="WWK44" s="14"/>
      <c r="WWL44" s="125"/>
      <c r="WWM44" s="125"/>
      <c r="WWN44" s="316"/>
      <c r="WWO44" s="10"/>
      <c r="WWP44" s="125"/>
      <c r="WWQ44" s="125"/>
      <c r="WWR44" s="316"/>
      <c r="WWS44" s="14"/>
      <c r="WWT44" s="125"/>
      <c r="WWU44" s="125"/>
      <c r="WWV44" s="316"/>
      <c r="WWW44" s="14"/>
      <c r="WWX44" s="125"/>
      <c r="WWY44" s="125"/>
      <c r="WWZ44" s="316"/>
      <c r="WXA44" s="14"/>
      <c r="WXB44" s="125"/>
      <c r="WXC44" s="125"/>
      <c r="WXD44" s="316"/>
      <c r="WXE44" s="10"/>
      <c r="WXF44" s="125"/>
      <c r="WXG44" s="125"/>
      <c r="WXH44" s="316"/>
      <c r="WXI44" s="14"/>
      <c r="WXJ44" s="125"/>
      <c r="WXK44" s="125"/>
      <c r="WXL44" s="316"/>
      <c r="WXM44" s="14"/>
      <c r="WXN44" s="125"/>
      <c r="WXO44" s="125"/>
      <c r="WXP44" s="316"/>
      <c r="WXQ44" s="14"/>
      <c r="WXR44" s="125"/>
      <c r="WXS44" s="125"/>
      <c r="WXT44" s="316"/>
      <c r="WXU44" s="10"/>
      <c r="WXV44" s="125"/>
      <c r="WXW44" s="125"/>
      <c r="WXX44" s="316"/>
      <c r="WXY44" s="14"/>
      <c r="WXZ44" s="125"/>
      <c r="WYA44" s="125"/>
      <c r="WYB44" s="316"/>
      <c r="WYC44" s="14"/>
      <c r="WYD44" s="125"/>
      <c r="WYE44" s="125"/>
      <c r="WYF44" s="316"/>
      <c r="WYG44" s="14"/>
      <c r="WYH44" s="125"/>
      <c r="WYI44" s="125"/>
      <c r="WYJ44" s="316"/>
      <c r="WYK44" s="10"/>
      <c r="WYL44" s="125"/>
      <c r="WYM44" s="125"/>
      <c r="WYN44" s="316"/>
      <c r="WYO44" s="14"/>
      <c r="WYP44" s="125"/>
      <c r="WYQ44" s="125"/>
      <c r="WYR44" s="316"/>
      <c r="WYS44" s="14"/>
      <c r="WYT44" s="125"/>
      <c r="WYU44" s="125"/>
      <c r="WYV44" s="316"/>
      <c r="WYW44" s="14"/>
      <c r="WYX44" s="125"/>
      <c r="WYY44" s="125"/>
      <c r="WYZ44" s="316"/>
      <c r="WZA44" s="10"/>
      <c r="WZB44" s="125"/>
      <c r="WZC44" s="125"/>
      <c r="WZD44" s="316"/>
      <c r="WZE44" s="14"/>
      <c r="WZF44" s="125"/>
      <c r="WZG44" s="125"/>
      <c r="WZH44" s="316"/>
      <c r="WZI44" s="14"/>
      <c r="WZJ44" s="125"/>
      <c r="WZK44" s="125"/>
      <c r="WZL44" s="316"/>
      <c r="WZM44" s="14"/>
      <c r="WZN44" s="125"/>
      <c r="WZO44" s="125"/>
      <c r="WZP44" s="316"/>
      <c r="WZQ44" s="10"/>
      <c r="WZR44" s="125"/>
      <c r="WZS44" s="125"/>
      <c r="WZT44" s="316"/>
      <c r="WZU44" s="14"/>
      <c r="WZV44" s="125"/>
      <c r="WZW44" s="125"/>
      <c r="WZX44" s="316"/>
      <c r="WZY44" s="14"/>
      <c r="WZZ44" s="125"/>
      <c r="XAA44" s="125"/>
      <c r="XAB44" s="316"/>
      <c r="XAC44" s="14"/>
      <c r="XAD44" s="125"/>
      <c r="XAE44" s="125"/>
      <c r="XAF44" s="316"/>
      <c r="XAG44" s="10"/>
      <c r="XAH44" s="125"/>
      <c r="XAI44" s="125"/>
      <c r="XAJ44" s="316"/>
      <c r="XAK44" s="14"/>
      <c r="XAL44" s="125"/>
      <c r="XAM44" s="125"/>
      <c r="XAN44" s="316"/>
      <c r="XAO44" s="14"/>
      <c r="XAP44" s="125"/>
      <c r="XAQ44" s="125"/>
      <c r="XAR44" s="316"/>
      <c r="XAS44" s="14"/>
      <c r="XAT44" s="125"/>
      <c r="XAU44" s="125"/>
      <c r="XAV44" s="316"/>
      <c r="XAW44" s="10"/>
      <c r="XAX44" s="125"/>
      <c r="XAY44" s="125"/>
      <c r="XAZ44" s="316"/>
      <c r="XBA44" s="14"/>
      <c r="XBB44" s="125"/>
      <c r="XBC44" s="125"/>
      <c r="XBD44" s="316"/>
      <c r="XBE44" s="14"/>
      <c r="XBF44" s="125"/>
      <c r="XBG44" s="125"/>
      <c r="XBH44" s="316"/>
      <c r="XBI44" s="14"/>
      <c r="XBJ44" s="125"/>
      <c r="XBK44" s="125"/>
      <c r="XBL44" s="316"/>
      <c r="XBM44" s="10"/>
      <c r="XBN44" s="125"/>
      <c r="XBO44" s="125"/>
      <c r="XBP44" s="316"/>
      <c r="XBQ44" s="14"/>
      <c r="XBR44" s="125"/>
      <c r="XBS44" s="125"/>
      <c r="XBT44" s="316"/>
      <c r="XBU44" s="14"/>
      <c r="XBV44" s="125"/>
      <c r="XBW44" s="125"/>
      <c r="XBX44" s="316"/>
      <c r="XBY44" s="14"/>
      <c r="XBZ44" s="125"/>
      <c r="XCA44" s="125"/>
      <c r="XCB44" s="316"/>
      <c r="XCC44" s="10"/>
      <c r="XCD44" s="125"/>
      <c r="XCE44" s="125"/>
      <c r="XCF44" s="316"/>
      <c r="XCG44" s="14"/>
      <c r="XCH44" s="125"/>
      <c r="XCI44" s="125"/>
      <c r="XCJ44" s="316"/>
      <c r="XCK44" s="14"/>
      <c r="XCL44" s="125"/>
      <c r="XCM44" s="125"/>
      <c r="XCN44" s="316"/>
      <c r="XCO44" s="14"/>
      <c r="XCP44" s="125"/>
      <c r="XCQ44" s="125"/>
      <c r="XCR44" s="316"/>
      <c r="XCS44" s="10"/>
      <c r="XCT44" s="125"/>
      <c r="XCU44" s="125"/>
      <c r="XCV44" s="316"/>
      <c r="XCW44" s="14"/>
      <c r="XCX44" s="125"/>
      <c r="XCY44" s="125"/>
      <c r="XCZ44" s="316"/>
      <c r="XDA44" s="14"/>
      <c r="XDB44" s="125"/>
      <c r="XDC44" s="125"/>
      <c r="XDD44" s="316"/>
      <c r="XDE44" s="14"/>
      <c r="XDF44" s="125"/>
      <c r="XDG44" s="125"/>
      <c r="XDH44" s="316"/>
      <c r="XDI44" s="10"/>
      <c r="XDJ44" s="125"/>
      <c r="XDK44" s="125"/>
      <c r="XDL44" s="316"/>
      <c r="XDM44" s="14"/>
      <c r="XDN44" s="125"/>
      <c r="XDO44" s="125"/>
      <c r="XDP44" s="316"/>
      <c r="XDQ44" s="14"/>
      <c r="XDR44" s="125"/>
      <c r="XDS44" s="125"/>
      <c r="XDT44" s="316"/>
      <c r="XDU44" s="14"/>
      <c r="XDV44" s="125"/>
      <c r="XDW44" s="125"/>
      <c r="XDX44" s="316"/>
      <c r="XDY44" s="10"/>
      <c r="XDZ44" s="125"/>
      <c r="XEA44" s="125"/>
      <c r="XEB44" s="316"/>
      <c r="XEC44" s="14"/>
      <c r="XED44" s="125"/>
      <c r="XEE44" s="125"/>
      <c r="XEF44" s="316"/>
      <c r="XEG44" s="14"/>
      <c r="XEH44" s="125"/>
      <c r="XEI44" s="125"/>
      <c r="XEJ44" s="316"/>
      <c r="XEK44" s="14"/>
      <c r="XEL44" s="125"/>
      <c r="XEM44" s="125"/>
      <c r="XEN44" s="316"/>
      <c r="XEO44" s="10"/>
      <c r="XEP44" s="125"/>
      <c r="XEQ44" s="125"/>
      <c r="XER44" s="316"/>
      <c r="XES44" s="14"/>
      <c r="XET44" s="125"/>
      <c r="XEU44" s="125"/>
      <c r="XEV44" s="316"/>
      <c r="XEW44" s="14"/>
      <c r="XEX44" s="125"/>
      <c r="XEY44" s="125"/>
      <c r="XEZ44" s="316"/>
      <c r="XFA44" s="14"/>
      <c r="XFB44" s="125"/>
      <c r="XFC44" s="125"/>
      <c r="XFD44" s="316"/>
    </row>
    <row r="45" spans="1:16384" customFormat="1">
      <c r="A45" s="10" t="s">
        <v>157</v>
      </c>
      <c r="B45" s="125" cm="1">
        <f t="array" ref="B45">SUM(SUMIFS(B$9:B$40,$A$9:$A$40,{"East Lothian","Edinburgh, City of","Fife","Midlothian","Scottish Borders","West Lothian"}))</f>
        <v>33515</v>
      </c>
      <c r="C45" s="125" cm="1">
        <f t="array" ref="C45">SUM(SUMIFS(C$9:C$40,$A$9:$A$40,{"East Lothian","Edinburgh, City of","Fife","Midlothian","Scottish Borders","West Lothian"}))</f>
        <v>912993.08781661722</v>
      </c>
      <c r="D45" s="14">
        <f t="shared" si="0"/>
        <v>3.6708930710690972</v>
      </c>
      <c r="E45" s="15"/>
      <c r="F45" s="125" cm="1">
        <f t="array" ref="F45">SUM(SUMIFS(F$9:F$40,$A$9:$A$40,{"East Lothian","Edinburgh, City of","Fife","Midlothian","Scottish Borders","West Lothian"}))</f>
        <v>23945</v>
      </c>
      <c r="G45" s="125" cm="1">
        <f t="array" ref="G45">SUM(SUMIFS(G$9:G$40,$A$9:$A$40,{"East Lothian","Edinburgh, City of","Fife","Midlothian","Scottish Borders","West Lothian"}))</f>
        <v>914302.70816140389</v>
      </c>
      <c r="H45" s="14">
        <f t="shared" si="1"/>
        <v>2.6189356967072372</v>
      </c>
      <c r="I45" s="15"/>
      <c r="J45" s="125" cm="1">
        <f t="array" ref="J45">SUM(SUMIFS(J$9:J$40,$A$9:$A$40,{"East Lothian","Edinburgh, City of","Fife","Midlothian","Scottish Borders","West Lothian"}))</f>
        <v>23325</v>
      </c>
      <c r="K45" s="125" cm="1">
        <f t="array" ref="K45">SUM(SUMIFS(K$9:K$40,$A$9:$A$40,{"East Lothian","Edinburgh, City of","Fife","Midlothian","Scottish Borders","West Lothian"}))</f>
        <v>901752.6679841897</v>
      </c>
      <c r="L45" s="14">
        <f t="shared" si="2"/>
        <v>2.5866294415453788</v>
      </c>
      <c r="M45" s="15"/>
      <c r="N45" s="125" cm="1">
        <f t="array" ref="N45">SUM(SUMIFS(N$9:N$40,$A$9:$A$40,{"East Lothian","Edinburgh, City of","Fife","Midlothian","Scottish Borders","West Lothian"}))</f>
        <v>25280</v>
      </c>
      <c r="O45" s="125" cm="1">
        <f t="array" ref="O45">SUM(SUMIFS(O$9:O$40,$A$9:$A$40,{"East Lothian","Edinburgh, City of","Fife","Midlothian","Scottish Borders","West Lothian"}))</f>
        <v>917755.72035491397</v>
      </c>
      <c r="P45" s="14">
        <f t="shared" si="3"/>
        <v>2.7545456202903029</v>
      </c>
      <c r="Q45" s="10"/>
      <c r="R45" s="125"/>
      <c r="S45" s="125"/>
      <c r="T45" s="14"/>
      <c r="U45" s="15"/>
      <c r="V45" s="125"/>
      <c r="W45" s="125"/>
      <c r="X45" s="14"/>
      <c r="Y45" s="15"/>
      <c r="Z45" s="125"/>
      <c r="AA45" s="125"/>
      <c r="AB45" s="14"/>
      <c r="AC45" s="15"/>
      <c r="AD45" s="125"/>
      <c r="AE45" s="125"/>
      <c r="AF45" s="14"/>
      <c r="AG45" s="10"/>
      <c r="AH45" s="125"/>
      <c r="AI45" s="125"/>
      <c r="AJ45" s="14"/>
      <c r="AK45" s="15"/>
      <c r="AL45" s="125"/>
      <c r="AM45" s="125"/>
      <c r="AN45" s="14"/>
      <c r="AO45" s="15"/>
      <c r="AP45" s="125"/>
      <c r="AQ45" s="125"/>
      <c r="AR45" s="14"/>
      <c r="AS45" s="15"/>
      <c r="AT45" s="125"/>
      <c r="AU45" s="125"/>
      <c r="AV45" s="14"/>
      <c r="AW45" s="10"/>
      <c r="AX45" s="125"/>
      <c r="AY45" s="125"/>
      <c r="AZ45" s="14"/>
      <c r="BA45" s="15"/>
      <c r="BB45" s="125"/>
      <c r="BC45" s="125"/>
      <c r="BD45" s="14"/>
      <c r="BE45" s="15"/>
      <c r="BF45" s="125"/>
      <c r="BG45" s="125"/>
      <c r="BH45" s="14"/>
      <c r="BI45" s="15"/>
      <c r="BJ45" s="125"/>
      <c r="BK45" s="125"/>
      <c r="BL45" s="14"/>
      <c r="BM45" s="10"/>
      <c r="BN45" s="125"/>
      <c r="BO45" s="125"/>
      <c r="BP45" s="14"/>
      <c r="BQ45" s="15"/>
      <c r="BR45" s="125"/>
      <c r="BS45" s="125"/>
      <c r="BT45" s="14"/>
      <c r="BU45" s="15"/>
      <c r="BV45" s="125"/>
      <c r="BW45" s="125"/>
      <c r="BX45" s="14"/>
      <c r="BY45" s="15"/>
      <c r="BZ45" s="125"/>
      <c r="CA45" s="125"/>
      <c r="CB45" s="14"/>
      <c r="CC45" s="10"/>
      <c r="CD45" s="125"/>
      <c r="CE45" s="125"/>
      <c r="CF45" s="14"/>
      <c r="CG45" s="15"/>
      <c r="CH45" s="125"/>
      <c r="CI45" s="125"/>
      <c r="CJ45" s="14"/>
      <c r="CK45" s="15"/>
      <c r="CL45" s="125"/>
      <c r="CM45" s="125"/>
      <c r="CN45" s="14"/>
      <c r="CO45" s="15"/>
      <c r="CP45" s="125"/>
      <c r="CQ45" s="125"/>
      <c r="CR45" s="14"/>
      <c r="CS45" s="10"/>
      <c r="CT45" s="125"/>
      <c r="CU45" s="125"/>
      <c r="CV45" s="14"/>
      <c r="CW45" s="15"/>
      <c r="CX45" s="125"/>
      <c r="CY45" s="125"/>
      <c r="CZ45" s="14"/>
      <c r="DA45" s="15"/>
      <c r="DB45" s="125"/>
      <c r="DC45" s="125"/>
      <c r="DD45" s="14"/>
      <c r="DE45" s="15"/>
      <c r="DF45" s="125"/>
      <c r="DG45" s="125"/>
      <c r="DH45" s="14"/>
      <c r="DI45" s="10"/>
      <c r="DJ45" s="125"/>
      <c r="DK45" s="125"/>
      <c r="DL45" s="14"/>
      <c r="DM45" s="15"/>
      <c r="DN45" s="125"/>
      <c r="DO45" s="125"/>
      <c r="DP45" s="14"/>
      <c r="DQ45" s="15"/>
      <c r="DR45" s="125"/>
      <c r="DS45" s="125"/>
      <c r="DT45" s="14"/>
      <c r="DU45" s="15"/>
      <c r="DV45" s="125"/>
      <c r="DW45" s="125"/>
      <c r="DX45" s="14"/>
      <c r="DY45" s="10"/>
      <c r="DZ45" s="125"/>
      <c r="EA45" s="125"/>
      <c r="EB45" s="14"/>
      <c r="EC45" s="15"/>
      <c r="ED45" s="125"/>
      <c r="EE45" s="125"/>
      <c r="EF45" s="14"/>
      <c r="EG45" s="15"/>
      <c r="EH45" s="125"/>
      <c r="EI45" s="125"/>
      <c r="EJ45" s="14"/>
      <c r="EK45" s="15"/>
      <c r="EL45" s="125"/>
      <c r="EM45" s="125"/>
      <c r="EN45" s="14"/>
      <c r="EO45" s="10"/>
      <c r="EP45" s="125"/>
      <c r="EQ45" s="125"/>
      <c r="ER45" s="14"/>
      <c r="ES45" s="15"/>
      <c r="ET45" s="125"/>
      <c r="EU45" s="125"/>
      <c r="EV45" s="14"/>
      <c r="EW45" s="15"/>
      <c r="EX45" s="125"/>
      <c r="EY45" s="125"/>
      <c r="EZ45" s="14"/>
      <c r="FA45" s="15"/>
      <c r="FB45" s="125"/>
      <c r="FC45" s="125"/>
      <c r="FD45" s="14"/>
      <c r="FE45" s="10"/>
      <c r="FF45" s="125"/>
      <c r="FG45" s="125"/>
      <c r="FH45" s="14"/>
      <c r="FI45" s="15"/>
      <c r="FJ45" s="125"/>
      <c r="FK45" s="125"/>
      <c r="FL45" s="14"/>
      <c r="FM45" s="15"/>
      <c r="FN45" s="125"/>
      <c r="FO45" s="125"/>
      <c r="FP45" s="14"/>
      <c r="FQ45" s="15"/>
      <c r="FR45" s="125"/>
      <c r="FS45" s="125"/>
      <c r="FT45" s="14"/>
      <c r="FU45" s="10"/>
      <c r="FV45" s="125"/>
      <c r="FW45" s="125"/>
      <c r="FX45" s="14"/>
      <c r="FY45" s="15"/>
      <c r="FZ45" s="125"/>
      <c r="GA45" s="125"/>
      <c r="GB45" s="14"/>
      <c r="GC45" s="15"/>
      <c r="GD45" s="125"/>
      <c r="GE45" s="125"/>
      <c r="GF45" s="14"/>
      <c r="GG45" s="15"/>
      <c r="GH45" s="125"/>
      <c r="GI45" s="125"/>
      <c r="GJ45" s="14"/>
      <c r="GK45" s="10"/>
      <c r="GL45" s="125"/>
      <c r="GM45" s="125"/>
      <c r="GN45" s="14"/>
      <c r="GO45" s="15"/>
      <c r="GP45" s="125"/>
      <c r="GQ45" s="125"/>
      <c r="GR45" s="14"/>
      <c r="GS45" s="15"/>
      <c r="GT45" s="125"/>
      <c r="GU45" s="125"/>
      <c r="GV45" s="14"/>
      <c r="GW45" s="15"/>
      <c r="GX45" s="125"/>
      <c r="GY45" s="125"/>
      <c r="GZ45" s="14"/>
      <c r="HA45" s="10"/>
      <c r="HB45" s="125"/>
      <c r="HC45" s="125"/>
      <c r="HD45" s="14"/>
      <c r="HE45" s="15"/>
      <c r="HF45" s="125"/>
      <c r="HG45" s="125"/>
      <c r="HH45" s="14"/>
      <c r="HI45" s="15"/>
      <c r="HJ45" s="125"/>
      <c r="HK45" s="125"/>
      <c r="HL45" s="14"/>
      <c r="HM45" s="15"/>
      <c r="HN45" s="125"/>
      <c r="HO45" s="125"/>
      <c r="HP45" s="14"/>
      <c r="HQ45" s="10"/>
      <c r="HR45" s="125"/>
      <c r="HS45" s="125"/>
      <c r="HT45" s="14"/>
      <c r="HU45" s="15"/>
      <c r="HV45" s="125"/>
      <c r="HW45" s="125"/>
      <c r="HX45" s="14"/>
      <c r="HY45" s="15"/>
      <c r="HZ45" s="125"/>
      <c r="IA45" s="125"/>
      <c r="IB45" s="14"/>
      <c r="IC45" s="15"/>
      <c r="ID45" s="125"/>
      <c r="IE45" s="125"/>
      <c r="IF45" s="14"/>
      <c r="IG45" s="10"/>
      <c r="IH45" s="125"/>
      <c r="II45" s="125"/>
      <c r="IJ45" s="14"/>
      <c r="IK45" s="15"/>
      <c r="IL45" s="125"/>
      <c r="IM45" s="125"/>
      <c r="IN45" s="14"/>
      <c r="IO45" s="15"/>
      <c r="IP45" s="125"/>
      <c r="IQ45" s="125"/>
      <c r="IR45" s="14"/>
      <c r="IS45" s="15"/>
      <c r="IT45" s="125"/>
      <c r="IU45" s="125"/>
      <c r="IV45" s="14"/>
      <c r="IW45" s="10"/>
      <c r="IX45" s="125"/>
      <c r="IY45" s="125"/>
      <c r="IZ45" s="14"/>
      <c r="JA45" s="15"/>
      <c r="JB45" s="125"/>
      <c r="JC45" s="125"/>
      <c r="JD45" s="14"/>
      <c r="JE45" s="15"/>
      <c r="JF45" s="125"/>
      <c r="JG45" s="125"/>
      <c r="JH45" s="14"/>
      <c r="JI45" s="15"/>
      <c r="JJ45" s="125"/>
      <c r="JK45" s="125"/>
      <c r="JL45" s="14"/>
      <c r="JM45" s="10"/>
      <c r="JN45" s="125"/>
      <c r="JO45" s="125"/>
      <c r="JP45" s="14"/>
      <c r="JQ45" s="15"/>
      <c r="JR45" s="125"/>
      <c r="JS45" s="125"/>
      <c r="JT45" s="14"/>
      <c r="JU45" s="15"/>
      <c r="JV45" s="125"/>
      <c r="JW45" s="125"/>
      <c r="JX45" s="14"/>
      <c r="JY45" s="15"/>
      <c r="JZ45" s="125"/>
      <c r="KA45" s="125"/>
      <c r="KB45" s="14"/>
      <c r="KC45" s="10"/>
      <c r="KD45" s="125"/>
      <c r="KE45" s="125"/>
      <c r="KF45" s="14"/>
      <c r="KG45" s="15"/>
      <c r="KH45" s="125"/>
      <c r="KI45" s="125"/>
      <c r="KJ45" s="14"/>
      <c r="KK45" s="15"/>
      <c r="KL45" s="125"/>
      <c r="KM45" s="125"/>
      <c r="KN45" s="14"/>
      <c r="KO45" s="15"/>
      <c r="KP45" s="125"/>
      <c r="KQ45" s="125"/>
      <c r="KR45" s="14"/>
      <c r="KS45" s="10"/>
      <c r="KT45" s="125"/>
      <c r="KU45" s="125"/>
      <c r="KV45" s="14"/>
      <c r="KW45" s="15"/>
      <c r="KX45" s="125"/>
      <c r="KY45" s="125"/>
      <c r="KZ45" s="14"/>
      <c r="LA45" s="15"/>
      <c r="LB45" s="125"/>
      <c r="LC45" s="125"/>
      <c r="LD45" s="14"/>
      <c r="LE45" s="15"/>
      <c r="LF45" s="125"/>
      <c r="LG45" s="125"/>
      <c r="LH45" s="14"/>
      <c r="LI45" s="10"/>
      <c r="LJ45" s="125"/>
      <c r="LK45" s="125"/>
      <c r="LL45" s="14"/>
      <c r="LM45" s="15"/>
      <c r="LN45" s="125"/>
      <c r="LO45" s="125"/>
      <c r="LP45" s="14"/>
      <c r="LQ45" s="15"/>
      <c r="LR45" s="125"/>
      <c r="LS45" s="125"/>
      <c r="LT45" s="14"/>
      <c r="LU45" s="15"/>
      <c r="LV45" s="125"/>
      <c r="LW45" s="125"/>
      <c r="LX45" s="14"/>
      <c r="LY45" s="10"/>
      <c r="LZ45" s="125"/>
      <c r="MA45" s="125"/>
      <c r="MB45" s="14"/>
      <c r="MC45" s="15"/>
      <c r="MD45" s="125"/>
      <c r="ME45" s="125"/>
      <c r="MF45" s="14"/>
      <c r="MG45" s="15"/>
      <c r="MH45" s="125"/>
      <c r="MI45" s="125"/>
      <c r="MJ45" s="14"/>
      <c r="MK45" s="15"/>
      <c r="ML45" s="125"/>
      <c r="MM45" s="125"/>
      <c r="MN45" s="14"/>
      <c r="MO45" s="10"/>
      <c r="MP45" s="125"/>
      <c r="MQ45" s="125"/>
      <c r="MR45" s="14"/>
      <c r="MS45" s="15"/>
      <c r="MT45" s="125"/>
      <c r="MU45" s="125"/>
      <c r="MV45" s="14"/>
      <c r="MW45" s="15"/>
      <c r="MX45" s="125"/>
      <c r="MY45" s="125"/>
      <c r="MZ45" s="14"/>
      <c r="NA45" s="15"/>
      <c r="NB45" s="125"/>
      <c r="NC45" s="125"/>
      <c r="ND45" s="14"/>
      <c r="NE45" s="10"/>
      <c r="NF45" s="125"/>
      <c r="NG45" s="125"/>
      <c r="NH45" s="14"/>
      <c r="NI45" s="15"/>
      <c r="NJ45" s="125"/>
      <c r="NK45" s="125"/>
      <c r="NL45" s="14"/>
      <c r="NM45" s="15"/>
      <c r="NN45" s="125"/>
      <c r="NO45" s="125"/>
      <c r="NP45" s="14"/>
      <c r="NQ45" s="15"/>
      <c r="NR45" s="125"/>
      <c r="NS45" s="125"/>
      <c r="NT45" s="14"/>
      <c r="NU45" s="10"/>
      <c r="NV45" s="125"/>
      <c r="NW45" s="125"/>
      <c r="NX45" s="14"/>
      <c r="NY45" s="15"/>
      <c r="NZ45" s="125"/>
      <c r="OA45" s="125"/>
      <c r="OB45" s="14"/>
      <c r="OC45" s="15"/>
      <c r="OD45" s="125"/>
      <c r="OE45" s="125"/>
      <c r="OF45" s="14"/>
      <c r="OG45" s="15"/>
      <c r="OH45" s="125"/>
      <c r="OI45" s="125"/>
      <c r="OJ45" s="14"/>
      <c r="OK45" s="10"/>
      <c r="OL45" s="125"/>
      <c r="OM45" s="125"/>
      <c r="ON45" s="14"/>
      <c r="OO45" s="15"/>
      <c r="OP45" s="125"/>
      <c r="OQ45" s="125"/>
      <c r="OR45" s="14"/>
      <c r="OS45" s="15"/>
      <c r="OT45" s="125"/>
      <c r="OU45" s="125"/>
      <c r="OV45" s="14"/>
      <c r="OW45" s="15"/>
      <c r="OX45" s="125"/>
      <c r="OY45" s="125"/>
      <c r="OZ45" s="14"/>
      <c r="PA45" s="10"/>
      <c r="PB45" s="125"/>
      <c r="PC45" s="125"/>
      <c r="PD45" s="14"/>
      <c r="PE45" s="15"/>
      <c r="PF45" s="125"/>
      <c r="PG45" s="125"/>
      <c r="PH45" s="14"/>
      <c r="PI45" s="15"/>
      <c r="PJ45" s="125"/>
      <c r="PK45" s="125"/>
      <c r="PL45" s="14"/>
      <c r="PM45" s="15"/>
      <c r="PN45" s="125"/>
      <c r="PO45" s="125"/>
      <c r="PP45" s="14"/>
      <c r="PQ45" s="10"/>
      <c r="PR45" s="125"/>
      <c r="PS45" s="125"/>
      <c r="PT45" s="14"/>
      <c r="PU45" s="15"/>
      <c r="PV45" s="125"/>
      <c r="PW45" s="125"/>
      <c r="PX45" s="14"/>
      <c r="PY45" s="15"/>
      <c r="PZ45" s="125"/>
      <c r="QA45" s="125"/>
      <c r="QB45" s="14"/>
      <c r="QC45" s="15"/>
      <c r="QD45" s="125"/>
      <c r="QE45" s="125"/>
      <c r="QF45" s="14"/>
      <c r="QG45" s="10"/>
      <c r="QH45" s="125"/>
      <c r="QI45" s="125"/>
      <c r="QJ45" s="14"/>
      <c r="QK45" s="15"/>
      <c r="QL45" s="125"/>
      <c r="QM45" s="125"/>
      <c r="QN45" s="14"/>
      <c r="QO45" s="15"/>
      <c r="QP45" s="125"/>
      <c r="QQ45" s="125"/>
      <c r="QR45" s="14"/>
      <c r="QS45" s="15"/>
      <c r="QT45" s="125"/>
      <c r="QU45" s="125"/>
      <c r="QV45" s="14"/>
      <c r="QW45" s="10"/>
      <c r="QX45" s="125"/>
      <c r="QY45" s="125"/>
      <c r="QZ45" s="14"/>
      <c r="RA45" s="15"/>
      <c r="RB45" s="125"/>
      <c r="RC45" s="125"/>
      <c r="RD45" s="14"/>
      <c r="RE45" s="15"/>
      <c r="RF45" s="125"/>
      <c r="RG45" s="125"/>
      <c r="RH45" s="14"/>
      <c r="RI45" s="15"/>
      <c r="RJ45" s="125"/>
      <c r="RK45" s="125"/>
      <c r="RL45" s="14"/>
      <c r="RM45" s="10"/>
      <c r="RN45" s="125"/>
      <c r="RO45" s="125"/>
      <c r="RP45" s="14"/>
      <c r="RQ45" s="15"/>
      <c r="RR45" s="125"/>
      <c r="RS45" s="125"/>
      <c r="RT45" s="14"/>
      <c r="RU45" s="15"/>
      <c r="RV45" s="125"/>
      <c r="RW45" s="125"/>
      <c r="RX45" s="14"/>
      <c r="RY45" s="15"/>
      <c r="RZ45" s="125"/>
      <c r="SA45" s="125"/>
      <c r="SB45" s="14"/>
      <c r="SC45" s="10"/>
      <c r="SD45" s="125"/>
      <c r="SE45" s="125"/>
      <c r="SF45" s="14"/>
      <c r="SG45" s="15"/>
      <c r="SH45" s="125"/>
      <c r="SI45" s="125"/>
      <c r="SJ45" s="14"/>
      <c r="SK45" s="15"/>
      <c r="SL45" s="125"/>
      <c r="SM45" s="125"/>
      <c r="SN45" s="14"/>
      <c r="SO45" s="15"/>
      <c r="SP45" s="125"/>
      <c r="SQ45" s="125"/>
      <c r="SR45" s="14"/>
      <c r="SS45" s="10"/>
      <c r="ST45" s="125"/>
      <c r="SU45" s="125"/>
      <c r="SV45" s="14"/>
      <c r="SW45" s="15"/>
      <c r="SX45" s="125"/>
      <c r="SY45" s="125"/>
      <c r="SZ45" s="14"/>
      <c r="TA45" s="15"/>
      <c r="TB45" s="125"/>
      <c r="TC45" s="125"/>
      <c r="TD45" s="14"/>
      <c r="TE45" s="15"/>
      <c r="TF45" s="125"/>
      <c r="TG45" s="125"/>
      <c r="TH45" s="14"/>
      <c r="TI45" s="10"/>
      <c r="TJ45" s="125"/>
      <c r="TK45" s="125"/>
      <c r="TL45" s="14"/>
      <c r="TM45" s="15"/>
      <c r="TN45" s="125"/>
      <c r="TO45" s="125"/>
      <c r="TP45" s="14"/>
      <c r="TQ45" s="15"/>
      <c r="TR45" s="125"/>
      <c r="TS45" s="125"/>
      <c r="TT45" s="14"/>
      <c r="TU45" s="15"/>
      <c r="TV45" s="125"/>
      <c r="TW45" s="125"/>
      <c r="TX45" s="14"/>
      <c r="TY45" s="10"/>
      <c r="TZ45" s="125"/>
      <c r="UA45" s="125"/>
      <c r="UB45" s="14"/>
      <c r="UC45" s="15"/>
      <c r="UD45" s="125"/>
      <c r="UE45" s="125"/>
      <c r="UF45" s="14"/>
      <c r="UG45" s="15"/>
      <c r="UH45" s="125"/>
      <c r="UI45" s="125"/>
      <c r="UJ45" s="14"/>
      <c r="UK45" s="15"/>
      <c r="UL45" s="125"/>
      <c r="UM45" s="125"/>
      <c r="UN45" s="14"/>
      <c r="UO45" s="10"/>
      <c r="UP45" s="125"/>
      <c r="UQ45" s="125"/>
      <c r="UR45" s="14"/>
      <c r="US45" s="15"/>
      <c r="UT45" s="125"/>
      <c r="UU45" s="125"/>
      <c r="UV45" s="14"/>
      <c r="UW45" s="15"/>
      <c r="UX45" s="125"/>
      <c r="UY45" s="125"/>
      <c r="UZ45" s="14"/>
      <c r="VA45" s="15"/>
      <c r="VB45" s="125"/>
      <c r="VC45" s="125"/>
      <c r="VD45" s="14"/>
      <c r="VE45" s="10"/>
      <c r="VF45" s="125"/>
      <c r="VG45" s="125"/>
      <c r="VH45" s="14"/>
      <c r="VI45" s="15"/>
      <c r="VJ45" s="125"/>
      <c r="VK45" s="125"/>
      <c r="VL45" s="14"/>
      <c r="VM45" s="15"/>
      <c r="VN45" s="125"/>
      <c r="VO45" s="125"/>
      <c r="VP45" s="14"/>
      <c r="VQ45" s="15"/>
      <c r="VR45" s="125"/>
      <c r="VS45" s="125"/>
      <c r="VT45" s="14"/>
      <c r="VU45" s="10"/>
      <c r="VV45" s="125"/>
      <c r="VW45" s="125"/>
      <c r="VX45" s="14"/>
      <c r="VY45" s="15"/>
      <c r="VZ45" s="125"/>
      <c r="WA45" s="125"/>
      <c r="WB45" s="14"/>
      <c r="WC45" s="15"/>
      <c r="WD45" s="125"/>
      <c r="WE45" s="125"/>
      <c r="WF45" s="14"/>
      <c r="WG45" s="15"/>
      <c r="WH45" s="125"/>
      <c r="WI45" s="125"/>
      <c r="WJ45" s="14"/>
      <c r="WK45" s="10"/>
      <c r="WL45" s="125"/>
      <c r="WM45" s="125"/>
      <c r="WN45" s="14"/>
      <c r="WO45" s="15"/>
      <c r="WP45" s="125"/>
      <c r="WQ45" s="125"/>
      <c r="WR45" s="14"/>
      <c r="WS45" s="15"/>
      <c r="WT45" s="125"/>
      <c r="WU45" s="125"/>
      <c r="WV45" s="14"/>
      <c r="WW45" s="15"/>
      <c r="WX45" s="125"/>
      <c r="WY45" s="125"/>
      <c r="WZ45" s="14"/>
      <c r="XA45" s="10"/>
      <c r="XB45" s="125"/>
      <c r="XC45" s="125"/>
      <c r="XD45" s="14"/>
      <c r="XE45" s="15"/>
      <c r="XF45" s="125"/>
      <c r="XG45" s="125"/>
      <c r="XH45" s="14"/>
      <c r="XI45" s="15"/>
      <c r="XJ45" s="125"/>
      <c r="XK45" s="125"/>
      <c r="XL45" s="14"/>
      <c r="XM45" s="15"/>
      <c r="XN45" s="125"/>
      <c r="XO45" s="125"/>
      <c r="XP45" s="14"/>
      <c r="XQ45" s="10"/>
      <c r="XR45" s="125"/>
      <c r="XS45" s="125"/>
      <c r="XT45" s="14"/>
      <c r="XU45" s="15"/>
      <c r="XV45" s="125"/>
      <c r="XW45" s="125"/>
      <c r="XX45" s="14"/>
      <c r="XY45" s="15"/>
      <c r="XZ45" s="125"/>
      <c r="YA45" s="125"/>
      <c r="YB45" s="14"/>
      <c r="YC45" s="15"/>
      <c r="YD45" s="125"/>
      <c r="YE45" s="125"/>
      <c r="YF45" s="14"/>
      <c r="YG45" s="10"/>
      <c r="YH45" s="125"/>
      <c r="YI45" s="125"/>
      <c r="YJ45" s="14"/>
      <c r="YK45" s="15"/>
      <c r="YL45" s="125"/>
      <c r="YM45" s="125"/>
      <c r="YN45" s="14"/>
      <c r="YO45" s="15"/>
      <c r="YP45" s="125"/>
      <c r="YQ45" s="125"/>
      <c r="YR45" s="14"/>
      <c r="YS45" s="15"/>
      <c r="YT45" s="125"/>
      <c r="YU45" s="125"/>
      <c r="YV45" s="14"/>
      <c r="YW45" s="10"/>
      <c r="YX45" s="125"/>
      <c r="YY45" s="125"/>
      <c r="YZ45" s="14"/>
      <c r="ZA45" s="15"/>
      <c r="ZB45" s="125"/>
      <c r="ZC45" s="125"/>
      <c r="ZD45" s="14"/>
      <c r="ZE45" s="15"/>
      <c r="ZF45" s="125"/>
      <c r="ZG45" s="125"/>
      <c r="ZH45" s="14"/>
      <c r="ZI45" s="15"/>
      <c r="ZJ45" s="125"/>
      <c r="ZK45" s="125"/>
      <c r="ZL45" s="14"/>
      <c r="ZM45" s="10"/>
      <c r="ZN45" s="125"/>
      <c r="ZO45" s="125"/>
      <c r="ZP45" s="14"/>
      <c r="ZQ45" s="15"/>
      <c r="ZR45" s="125"/>
      <c r="ZS45" s="125"/>
      <c r="ZT45" s="14"/>
      <c r="ZU45" s="15"/>
      <c r="ZV45" s="125"/>
      <c r="ZW45" s="125"/>
      <c r="ZX45" s="14"/>
      <c r="ZY45" s="15"/>
      <c r="ZZ45" s="125"/>
      <c r="AAA45" s="125"/>
      <c r="AAB45" s="14"/>
      <c r="AAC45" s="10"/>
      <c r="AAD45" s="125"/>
      <c r="AAE45" s="125"/>
      <c r="AAF45" s="14"/>
      <c r="AAG45" s="15"/>
      <c r="AAH45" s="125"/>
      <c r="AAI45" s="125"/>
      <c r="AAJ45" s="14"/>
      <c r="AAK45" s="15"/>
      <c r="AAL45" s="125"/>
      <c r="AAM45" s="125"/>
      <c r="AAN45" s="14"/>
      <c r="AAO45" s="15"/>
      <c r="AAP45" s="125"/>
      <c r="AAQ45" s="125"/>
      <c r="AAR45" s="14"/>
      <c r="AAS45" s="10"/>
      <c r="AAT45" s="125"/>
      <c r="AAU45" s="125"/>
      <c r="AAV45" s="14"/>
      <c r="AAW45" s="15"/>
      <c r="AAX45" s="125"/>
      <c r="AAY45" s="125"/>
      <c r="AAZ45" s="14"/>
      <c r="ABA45" s="15"/>
      <c r="ABB45" s="125"/>
      <c r="ABC45" s="125"/>
      <c r="ABD45" s="14"/>
      <c r="ABE45" s="15"/>
      <c r="ABF45" s="125"/>
      <c r="ABG45" s="125"/>
      <c r="ABH45" s="14"/>
      <c r="ABI45" s="10"/>
      <c r="ABJ45" s="125"/>
      <c r="ABK45" s="125"/>
      <c r="ABL45" s="14"/>
      <c r="ABM45" s="15"/>
      <c r="ABN45" s="125"/>
      <c r="ABO45" s="125"/>
      <c r="ABP45" s="14"/>
      <c r="ABQ45" s="15"/>
      <c r="ABR45" s="125"/>
      <c r="ABS45" s="125"/>
      <c r="ABT45" s="14"/>
      <c r="ABU45" s="15"/>
      <c r="ABV45" s="125"/>
      <c r="ABW45" s="125"/>
      <c r="ABX45" s="14"/>
      <c r="ABY45" s="10"/>
      <c r="ABZ45" s="125"/>
      <c r="ACA45" s="125"/>
      <c r="ACB45" s="14"/>
      <c r="ACC45" s="15"/>
      <c r="ACD45" s="125"/>
      <c r="ACE45" s="125"/>
      <c r="ACF45" s="14"/>
      <c r="ACG45" s="15"/>
      <c r="ACH45" s="125"/>
      <c r="ACI45" s="125"/>
      <c r="ACJ45" s="14"/>
      <c r="ACK45" s="15"/>
      <c r="ACL45" s="125"/>
      <c r="ACM45" s="125"/>
      <c r="ACN45" s="14"/>
      <c r="ACO45" s="10"/>
      <c r="ACP45" s="125"/>
      <c r="ACQ45" s="125"/>
      <c r="ACR45" s="14"/>
      <c r="ACS45" s="15"/>
      <c r="ACT45" s="125"/>
      <c r="ACU45" s="125"/>
      <c r="ACV45" s="14"/>
      <c r="ACW45" s="15"/>
      <c r="ACX45" s="125"/>
      <c r="ACY45" s="125"/>
      <c r="ACZ45" s="14"/>
      <c r="ADA45" s="15"/>
      <c r="ADB45" s="125"/>
      <c r="ADC45" s="125"/>
      <c r="ADD45" s="14"/>
      <c r="ADE45" s="10"/>
      <c r="ADF45" s="125"/>
      <c r="ADG45" s="125"/>
      <c r="ADH45" s="14"/>
      <c r="ADI45" s="15"/>
      <c r="ADJ45" s="125"/>
      <c r="ADK45" s="125"/>
      <c r="ADL45" s="14"/>
      <c r="ADM45" s="15"/>
      <c r="ADN45" s="125"/>
      <c r="ADO45" s="125"/>
      <c r="ADP45" s="14"/>
      <c r="ADQ45" s="15"/>
      <c r="ADR45" s="125"/>
      <c r="ADS45" s="125"/>
      <c r="ADT45" s="14"/>
      <c r="ADU45" s="10"/>
      <c r="ADV45" s="125"/>
      <c r="ADW45" s="125"/>
      <c r="ADX45" s="14"/>
      <c r="ADY45" s="15"/>
      <c r="ADZ45" s="125"/>
      <c r="AEA45" s="125"/>
      <c r="AEB45" s="14"/>
      <c r="AEC45" s="15"/>
      <c r="AED45" s="125"/>
      <c r="AEE45" s="125"/>
      <c r="AEF45" s="14"/>
      <c r="AEG45" s="15"/>
      <c r="AEH45" s="125"/>
      <c r="AEI45" s="125"/>
      <c r="AEJ45" s="14"/>
      <c r="AEK45" s="10"/>
      <c r="AEL45" s="125"/>
      <c r="AEM45" s="125"/>
      <c r="AEN45" s="14"/>
      <c r="AEO45" s="15"/>
      <c r="AEP45" s="125"/>
      <c r="AEQ45" s="125"/>
      <c r="AER45" s="14"/>
      <c r="AES45" s="15"/>
      <c r="AET45" s="125"/>
      <c r="AEU45" s="125"/>
      <c r="AEV45" s="14"/>
      <c r="AEW45" s="15"/>
      <c r="AEX45" s="125"/>
      <c r="AEY45" s="125"/>
      <c r="AEZ45" s="14"/>
      <c r="AFA45" s="10"/>
      <c r="AFB45" s="125"/>
      <c r="AFC45" s="125"/>
      <c r="AFD45" s="14"/>
      <c r="AFE45" s="15"/>
      <c r="AFF45" s="125"/>
      <c r="AFG45" s="125"/>
      <c r="AFH45" s="14"/>
      <c r="AFI45" s="15"/>
      <c r="AFJ45" s="125"/>
      <c r="AFK45" s="125"/>
      <c r="AFL45" s="14"/>
      <c r="AFM45" s="15"/>
      <c r="AFN45" s="125"/>
      <c r="AFO45" s="125"/>
      <c r="AFP45" s="14"/>
      <c r="AFQ45" s="10"/>
      <c r="AFR45" s="125"/>
      <c r="AFS45" s="125"/>
      <c r="AFT45" s="14"/>
      <c r="AFU45" s="15"/>
      <c r="AFV45" s="125"/>
      <c r="AFW45" s="125"/>
      <c r="AFX45" s="14"/>
      <c r="AFY45" s="15"/>
      <c r="AFZ45" s="125"/>
      <c r="AGA45" s="125"/>
      <c r="AGB45" s="14"/>
      <c r="AGC45" s="15"/>
      <c r="AGD45" s="125"/>
      <c r="AGE45" s="125"/>
      <c r="AGF45" s="14"/>
      <c r="AGG45" s="10"/>
      <c r="AGH45" s="125"/>
      <c r="AGI45" s="125"/>
      <c r="AGJ45" s="14"/>
      <c r="AGK45" s="15"/>
      <c r="AGL45" s="125"/>
      <c r="AGM45" s="125"/>
      <c r="AGN45" s="14"/>
      <c r="AGO45" s="15"/>
      <c r="AGP45" s="125"/>
      <c r="AGQ45" s="125"/>
      <c r="AGR45" s="14"/>
      <c r="AGS45" s="15"/>
      <c r="AGT45" s="125"/>
      <c r="AGU45" s="125"/>
      <c r="AGV45" s="14"/>
      <c r="AGW45" s="10"/>
      <c r="AGX45" s="125"/>
      <c r="AGY45" s="125"/>
      <c r="AGZ45" s="14"/>
      <c r="AHA45" s="15"/>
      <c r="AHB45" s="125"/>
      <c r="AHC45" s="125"/>
      <c r="AHD45" s="14"/>
      <c r="AHE45" s="15"/>
      <c r="AHF45" s="125"/>
      <c r="AHG45" s="125"/>
      <c r="AHH45" s="14"/>
      <c r="AHI45" s="15"/>
      <c r="AHJ45" s="125"/>
      <c r="AHK45" s="125"/>
      <c r="AHL45" s="14"/>
      <c r="AHM45" s="10"/>
      <c r="AHN45" s="125"/>
      <c r="AHO45" s="125"/>
      <c r="AHP45" s="14"/>
      <c r="AHQ45" s="15"/>
      <c r="AHR45" s="125"/>
      <c r="AHS45" s="125"/>
      <c r="AHT45" s="14"/>
      <c r="AHU45" s="15"/>
      <c r="AHV45" s="125"/>
      <c r="AHW45" s="125"/>
      <c r="AHX45" s="14"/>
      <c r="AHY45" s="15"/>
      <c r="AHZ45" s="125"/>
      <c r="AIA45" s="125"/>
      <c r="AIB45" s="14"/>
      <c r="AIC45" s="10"/>
      <c r="AID45" s="125"/>
      <c r="AIE45" s="125"/>
      <c r="AIF45" s="14"/>
      <c r="AIG45" s="15"/>
      <c r="AIH45" s="125"/>
      <c r="AII45" s="125"/>
      <c r="AIJ45" s="14"/>
      <c r="AIK45" s="15"/>
      <c r="AIL45" s="125"/>
      <c r="AIM45" s="125"/>
      <c r="AIN45" s="14"/>
      <c r="AIO45" s="15"/>
      <c r="AIP45" s="125"/>
      <c r="AIQ45" s="125"/>
      <c r="AIR45" s="14"/>
      <c r="AIS45" s="10"/>
      <c r="AIT45" s="125"/>
      <c r="AIU45" s="125"/>
      <c r="AIV45" s="14"/>
      <c r="AIW45" s="15"/>
      <c r="AIX45" s="125"/>
      <c r="AIY45" s="125"/>
      <c r="AIZ45" s="14"/>
      <c r="AJA45" s="15"/>
      <c r="AJB45" s="125"/>
      <c r="AJC45" s="125"/>
      <c r="AJD45" s="14"/>
      <c r="AJE45" s="15"/>
      <c r="AJF45" s="125"/>
      <c r="AJG45" s="125"/>
      <c r="AJH45" s="14"/>
      <c r="AJI45" s="10"/>
      <c r="AJJ45" s="125"/>
      <c r="AJK45" s="125"/>
      <c r="AJL45" s="14"/>
      <c r="AJM45" s="15"/>
      <c r="AJN45" s="125"/>
      <c r="AJO45" s="125"/>
      <c r="AJP45" s="14"/>
      <c r="AJQ45" s="15"/>
      <c r="AJR45" s="125"/>
      <c r="AJS45" s="125"/>
      <c r="AJT45" s="14"/>
      <c r="AJU45" s="15"/>
      <c r="AJV45" s="125"/>
      <c r="AJW45" s="125"/>
      <c r="AJX45" s="14"/>
      <c r="AJY45" s="10"/>
      <c r="AJZ45" s="125"/>
      <c r="AKA45" s="125"/>
      <c r="AKB45" s="14"/>
      <c r="AKC45" s="15"/>
      <c r="AKD45" s="125"/>
      <c r="AKE45" s="125"/>
      <c r="AKF45" s="14"/>
      <c r="AKG45" s="15"/>
      <c r="AKH45" s="125"/>
      <c r="AKI45" s="125"/>
      <c r="AKJ45" s="14"/>
      <c r="AKK45" s="15"/>
      <c r="AKL45" s="125"/>
      <c r="AKM45" s="125"/>
      <c r="AKN45" s="14"/>
      <c r="AKO45" s="10"/>
      <c r="AKP45" s="125"/>
      <c r="AKQ45" s="125"/>
      <c r="AKR45" s="14"/>
      <c r="AKS45" s="15"/>
      <c r="AKT45" s="125"/>
      <c r="AKU45" s="125"/>
      <c r="AKV45" s="14"/>
      <c r="AKW45" s="15"/>
      <c r="AKX45" s="125"/>
      <c r="AKY45" s="125"/>
      <c r="AKZ45" s="14"/>
      <c r="ALA45" s="15"/>
      <c r="ALB45" s="125"/>
      <c r="ALC45" s="125"/>
      <c r="ALD45" s="14"/>
      <c r="ALE45" s="10"/>
      <c r="ALF45" s="125"/>
      <c r="ALG45" s="125"/>
      <c r="ALH45" s="14"/>
      <c r="ALI45" s="15"/>
      <c r="ALJ45" s="125"/>
      <c r="ALK45" s="125"/>
      <c r="ALL45" s="14"/>
      <c r="ALM45" s="15"/>
      <c r="ALN45" s="125"/>
      <c r="ALO45" s="125"/>
      <c r="ALP45" s="14"/>
      <c r="ALQ45" s="15"/>
      <c r="ALR45" s="125"/>
      <c r="ALS45" s="125"/>
      <c r="ALT45" s="14"/>
      <c r="ALU45" s="10"/>
      <c r="ALV45" s="125"/>
      <c r="ALW45" s="125"/>
      <c r="ALX45" s="14"/>
      <c r="ALY45" s="15"/>
      <c r="ALZ45" s="125"/>
      <c r="AMA45" s="125"/>
      <c r="AMB45" s="14"/>
      <c r="AMC45" s="15"/>
      <c r="AMD45" s="125"/>
      <c r="AME45" s="125"/>
      <c r="AMF45" s="14"/>
      <c r="AMG45" s="15"/>
      <c r="AMH45" s="125"/>
      <c r="AMI45" s="125"/>
      <c r="AMJ45" s="14"/>
      <c r="AMK45" s="10"/>
      <c r="AML45" s="125"/>
      <c r="AMM45" s="125"/>
      <c r="AMN45" s="14"/>
      <c r="AMO45" s="15"/>
      <c r="AMP45" s="125"/>
      <c r="AMQ45" s="125"/>
      <c r="AMR45" s="14"/>
      <c r="AMS45" s="15"/>
      <c r="AMT45" s="125"/>
      <c r="AMU45" s="125"/>
      <c r="AMV45" s="14"/>
      <c r="AMW45" s="15"/>
      <c r="AMX45" s="125"/>
      <c r="AMY45" s="125"/>
      <c r="AMZ45" s="14"/>
      <c r="ANA45" s="10"/>
      <c r="ANB45" s="125"/>
      <c r="ANC45" s="125"/>
      <c r="AND45" s="14"/>
      <c r="ANE45" s="15"/>
      <c r="ANF45" s="125"/>
      <c r="ANG45" s="125"/>
      <c r="ANH45" s="14"/>
      <c r="ANI45" s="15"/>
      <c r="ANJ45" s="125"/>
      <c r="ANK45" s="125"/>
      <c r="ANL45" s="14"/>
      <c r="ANM45" s="15"/>
      <c r="ANN45" s="125"/>
      <c r="ANO45" s="125"/>
      <c r="ANP45" s="14"/>
      <c r="ANQ45" s="10"/>
      <c r="ANR45" s="125"/>
      <c r="ANS45" s="125"/>
      <c r="ANT45" s="14"/>
      <c r="ANU45" s="15"/>
      <c r="ANV45" s="125"/>
      <c r="ANW45" s="125"/>
      <c r="ANX45" s="14"/>
      <c r="ANY45" s="15"/>
      <c r="ANZ45" s="125"/>
      <c r="AOA45" s="125"/>
      <c r="AOB45" s="14"/>
      <c r="AOC45" s="15"/>
      <c r="AOD45" s="125"/>
      <c r="AOE45" s="125"/>
      <c r="AOF45" s="14"/>
      <c r="AOG45" s="10"/>
      <c r="AOH45" s="125"/>
      <c r="AOI45" s="125"/>
      <c r="AOJ45" s="14"/>
      <c r="AOK45" s="15"/>
      <c r="AOL45" s="125"/>
      <c r="AOM45" s="125"/>
      <c r="AON45" s="14"/>
      <c r="AOO45" s="15"/>
      <c r="AOP45" s="125"/>
      <c r="AOQ45" s="125"/>
      <c r="AOR45" s="14"/>
      <c r="AOS45" s="15"/>
      <c r="AOT45" s="125"/>
      <c r="AOU45" s="125"/>
      <c r="AOV45" s="14"/>
      <c r="AOW45" s="10"/>
      <c r="AOX45" s="125"/>
      <c r="AOY45" s="125"/>
      <c r="AOZ45" s="14"/>
      <c r="APA45" s="15"/>
      <c r="APB45" s="125"/>
      <c r="APC45" s="125"/>
      <c r="APD45" s="14"/>
      <c r="APE45" s="15"/>
      <c r="APF45" s="125"/>
      <c r="APG45" s="125"/>
      <c r="APH45" s="14"/>
      <c r="API45" s="15"/>
      <c r="APJ45" s="125"/>
      <c r="APK45" s="125"/>
      <c r="APL45" s="14"/>
      <c r="APM45" s="10"/>
      <c r="APN45" s="125"/>
      <c r="APO45" s="125"/>
      <c r="APP45" s="14"/>
      <c r="APQ45" s="15"/>
      <c r="APR45" s="125"/>
      <c r="APS45" s="125"/>
      <c r="APT45" s="14"/>
      <c r="APU45" s="15"/>
      <c r="APV45" s="125"/>
      <c r="APW45" s="125"/>
      <c r="APX45" s="14"/>
      <c r="APY45" s="15"/>
      <c r="APZ45" s="125"/>
      <c r="AQA45" s="125"/>
      <c r="AQB45" s="14"/>
      <c r="AQC45" s="10"/>
      <c r="AQD45" s="125"/>
      <c r="AQE45" s="125"/>
      <c r="AQF45" s="14"/>
      <c r="AQG45" s="15"/>
      <c r="AQH45" s="125"/>
      <c r="AQI45" s="125"/>
      <c r="AQJ45" s="14"/>
      <c r="AQK45" s="15"/>
      <c r="AQL45" s="125"/>
      <c r="AQM45" s="125"/>
      <c r="AQN45" s="14"/>
      <c r="AQO45" s="15"/>
      <c r="AQP45" s="125"/>
      <c r="AQQ45" s="125"/>
      <c r="AQR45" s="14"/>
      <c r="AQS45" s="10"/>
      <c r="AQT45" s="125"/>
      <c r="AQU45" s="125"/>
      <c r="AQV45" s="14"/>
      <c r="AQW45" s="15"/>
      <c r="AQX45" s="125"/>
      <c r="AQY45" s="125"/>
      <c r="AQZ45" s="14"/>
      <c r="ARA45" s="15"/>
      <c r="ARB45" s="125"/>
      <c r="ARC45" s="125"/>
      <c r="ARD45" s="14"/>
      <c r="ARE45" s="15"/>
      <c r="ARF45" s="125"/>
      <c r="ARG45" s="125"/>
      <c r="ARH45" s="14"/>
      <c r="ARI45" s="10"/>
      <c r="ARJ45" s="125"/>
      <c r="ARK45" s="125"/>
      <c r="ARL45" s="14"/>
      <c r="ARM45" s="15"/>
      <c r="ARN45" s="125"/>
      <c r="ARO45" s="125"/>
      <c r="ARP45" s="14"/>
      <c r="ARQ45" s="15"/>
      <c r="ARR45" s="125"/>
      <c r="ARS45" s="125"/>
      <c r="ART45" s="14"/>
      <c r="ARU45" s="15"/>
      <c r="ARV45" s="125"/>
      <c r="ARW45" s="125"/>
      <c r="ARX45" s="14"/>
      <c r="ARY45" s="10"/>
      <c r="ARZ45" s="125"/>
      <c r="ASA45" s="125"/>
      <c r="ASB45" s="14"/>
      <c r="ASC45" s="15"/>
      <c r="ASD45" s="125"/>
      <c r="ASE45" s="125"/>
      <c r="ASF45" s="14"/>
      <c r="ASG45" s="15"/>
      <c r="ASH45" s="125"/>
      <c r="ASI45" s="125"/>
      <c r="ASJ45" s="14"/>
      <c r="ASK45" s="15"/>
      <c r="ASL45" s="125"/>
      <c r="ASM45" s="125"/>
      <c r="ASN45" s="14"/>
      <c r="ASO45" s="10"/>
      <c r="ASP45" s="125"/>
      <c r="ASQ45" s="125"/>
      <c r="ASR45" s="14"/>
      <c r="ASS45" s="15"/>
      <c r="AST45" s="125"/>
      <c r="ASU45" s="125"/>
      <c r="ASV45" s="14"/>
      <c r="ASW45" s="15"/>
      <c r="ASX45" s="125"/>
      <c r="ASY45" s="125"/>
      <c r="ASZ45" s="14"/>
      <c r="ATA45" s="15"/>
      <c r="ATB45" s="125"/>
      <c r="ATC45" s="125"/>
      <c r="ATD45" s="14"/>
      <c r="ATE45" s="10"/>
      <c r="ATF45" s="125"/>
      <c r="ATG45" s="125"/>
      <c r="ATH45" s="14"/>
      <c r="ATI45" s="15"/>
      <c r="ATJ45" s="125"/>
      <c r="ATK45" s="125"/>
      <c r="ATL45" s="14"/>
      <c r="ATM45" s="15"/>
      <c r="ATN45" s="125"/>
      <c r="ATO45" s="125"/>
      <c r="ATP45" s="14"/>
      <c r="ATQ45" s="15"/>
      <c r="ATR45" s="125"/>
      <c r="ATS45" s="125"/>
      <c r="ATT45" s="14"/>
      <c r="ATU45" s="10"/>
      <c r="ATV45" s="125"/>
      <c r="ATW45" s="125"/>
      <c r="ATX45" s="14"/>
      <c r="ATY45" s="15"/>
      <c r="ATZ45" s="125"/>
      <c r="AUA45" s="125"/>
      <c r="AUB45" s="14"/>
      <c r="AUC45" s="15"/>
      <c r="AUD45" s="125"/>
      <c r="AUE45" s="125"/>
      <c r="AUF45" s="14"/>
      <c r="AUG45" s="15"/>
      <c r="AUH45" s="125"/>
      <c r="AUI45" s="125"/>
      <c r="AUJ45" s="14"/>
      <c r="AUK45" s="10"/>
      <c r="AUL45" s="125"/>
      <c r="AUM45" s="125"/>
      <c r="AUN45" s="14"/>
      <c r="AUO45" s="15"/>
      <c r="AUP45" s="125"/>
      <c r="AUQ45" s="125"/>
      <c r="AUR45" s="14"/>
      <c r="AUS45" s="15"/>
      <c r="AUT45" s="125"/>
      <c r="AUU45" s="125"/>
      <c r="AUV45" s="14"/>
      <c r="AUW45" s="15"/>
      <c r="AUX45" s="125"/>
      <c r="AUY45" s="125"/>
      <c r="AUZ45" s="14"/>
      <c r="AVA45" s="10"/>
      <c r="AVB45" s="125"/>
      <c r="AVC45" s="125"/>
      <c r="AVD45" s="14"/>
      <c r="AVE45" s="15"/>
      <c r="AVF45" s="125"/>
      <c r="AVG45" s="125"/>
      <c r="AVH45" s="14"/>
      <c r="AVI45" s="15"/>
      <c r="AVJ45" s="125"/>
      <c r="AVK45" s="125"/>
      <c r="AVL45" s="14"/>
      <c r="AVM45" s="15"/>
      <c r="AVN45" s="125"/>
      <c r="AVO45" s="125"/>
      <c r="AVP45" s="14"/>
      <c r="AVQ45" s="10"/>
      <c r="AVR45" s="125"/>
      <c r="AVS45" s="125"/>
      <c r="AVT45" s="14"/>
      <c r="AVU45" s="15"/>
      <c r="AVV45" s="125"/>
      <c r="AVW45" s="125"/>
      <c r="AVX45" s="14"/>
      <c r="AVY45" s="15"/>
      <c r="AVZ45" s="125"/>
      <c r="AWA45" s="125"/>
      <c r="AWB45" s="14"/>
      <c r="AWC45" s="15"/>
      <c r="AWD45" s="125"/>
      <c r="AWE45" s="125"/>
      <c r="AWF45" s="14"/>
      <c r="AWG45" s="10"/>
      <c r="AWH45" s="125"/>
      <c r="AWI45" s="125"/>
      <c r="AWJ45" s="14"/>
      <c r="AWK45" s="15"/>
      <c r="AWL45" s="125"/>
      <c r="AWM45" s="125"/>
      <c r="AWN45" s="14"/>
      <c r="AWO45" s="15"/>
      <c r="AWP45" s="125"/>
      <c r="AWQ45" s="125"/>
      <c r="AWR45" s="14"/>
      <c r="AWS45" s="15"/>
      <c r="AWT45" s="125"/>
      <c r="AWU45" s="125"/>
      <c r="AWV45" s="14"/>
      <c r="AWW45" s="10"/>
      <c r="AWX45" s="125"/>
      <c r="AWY45" s="125"/>
      <c r="AWZ45" s="14"/>
      <c r="AXA45" s="15"/>
      <c r="AXB45" s="125"/>
      <c r="AXC45" s="125"/>
      <c r="AXD45" s="14"/>
      <c r="AXE45" s="15"/>
      <c r="AXF45" s="125"/>
      <c r="AXG45" s="125"/>
      <c r="AXH45" s="14"/>
      <c r="AXI45" s="15"/>
      <c r="AXJ45" s="125"/>
      <c r="AXK45" s="125"/>
      <c r="AXL45" s="14"/>
      <c r="AXM45" s="10"/>
      <c r="AXN45" s="125"/>
      <c r="AXO45" s="125"/>
      <c r="AXP45" s="14"/>
      <c r="AXQ45" s="15"/>
      <c r="AXR45" s="125"/>
      <c r="AXS45" s="125"/>
      <c r="AXT45" s="14"/>
      <c r="AXU45" s="15"/>
      <c r="AXV45" s="125"/>
      <c r="AXW45" s="125"/>
      <c r="AXX45" s="14"/>
      <c r="AXY45" s="15"/>
      <c r="AXZ45" s="125"/>
      <c r="AYA45" s="125"/>
      <c r="AYB45" s="14"/>
      <c r="AYC45" s="10"/>
      <c r="AYD45" s="125"/>
      <c r="AYE45" s="125"/>
      <c r="AYF45" s="14"/>
      <c r="AYG45" s="15"/>
      <c r="AYH45" s="125"/>
      <c r="AYI45" s="125"/>
      <c r="AYJ45" s="14"/>
      <c r="AYK45" s="15"/>
      <c r="AYL45" s="125"/>
      <c r="AYM45" s="125"/>
      <c r="AYN45" s="14"/>
      <c r="AYO45" s="15"/>
      <c r="AYP45" s="125"/>
      <c r="AYQ45" s="125"/>
      <c r="AYR45" s="14"/>
      <c r="AYS45" s="10"/>
      <c r="AYT45" s="125"/>
      <c r="AYU45" s="125"/>
      <c r="AYV45" s="14"/>
      <c r="AYW45" s="15"/>
      <c r="AYX45" s="125"/>
      <c r="AYY45" s="125"/>
      <c r="AYZ45" s="14"/>
      <c r="AZA45" s="15"/>
      <c r="AZB45" s="125"/>
      <c r="AZC45" s="125"/>
      <c r="AZD45" s="14"/>
      <c r="AZE45" s="15"/>
      <c r="AZF45" s="125"/>
      <c r="AZG45" s="125"/>
      <c r="AZH45" s="14"/>
      <c r="AZI45" s="10"/>
      <c r="AZJ45" s="125"/>
      <c r="AZK45" s="125"/>
      <c r="AZL45" s="14"/>
      <c r="AZM45" s="15"/>
      <c r="AZN45" s="125"/>
      <c r="AZO45" s="125"/>
      <c r="AZP45" s="14"/>
      <c r="AZQ45" s="15"/>
      <c r="AZR45" s="125"/>
      <c r="AZS45" s="125"/>
      <c r="AZT45" s="14"/>
      <c r="AZU45" s="15"/>
      <c r="AZV45" s="125"/>
      <c r="AZW45" s="125"/>
      <c r="AZX45" s="14"/>
      <c r="AZY45" s="10"/>
      <c r="AZZ45" s="125"/>
      <c r="BAA45" s="125"/>
      <c r="BAB45" s="14"/>
      <c r="BAC45" s="15"/>
      <c r="BAD45" s="125"/>
      <c r="BAE45" s="125"/>
      <c r="BAF45" s="14"/>
      <c r="BAG45" s="15"/>
      <c r="BAH45" s="125"/>
      <c r="BAI45" s="125"/>
      <c r="BAJ45" s="14"/>
      <c r="BAK45" s="15"/>
      <c r="BAL45" s="125"/>
      <c r="BAM45" s="125"/>
      <c r="BAN45" s="14"/>
      <c r="BAO45" s="10"/>
      <c r="BAP45" s="125"/>
      <c r="BAQ45" s="125"/>
      <c r="BAR45" s="14"/>
      <c r="BAS45" s="15"/>
      <c r="BAT45" s="125"/>
      <c r="BAU45" s="125"/>
      <c r="BAV45" s="14"/>
      <c r="BAW45" s="15"/>
      <c r="BAX45" s="125"/>
      <c r="BAY45" s="125"/>
      <c r="BAZ45" s="14"/>
      <c r="BBA45" s="15"/>
      <c r="BBB45" s="125"/>
      <c r="BBC45" s="125"/>
      <c r="BBD45" s="14"/>
      <c r="BBE45" s="10"/>
      <c r="BBF45" s="125"/>
      <c r="BBG45" s="125"/>
      <c r="BBH45" s="14"/>
      <c r="BBI45" s="15"/>
      <c r="BBJ45" s="125"/>
      <c r="BBK45" s="125"/>
      <c r="BBL45" s="14"/>
      <c r="BBM45" s="15"/>
      <c r="BBN45" s="125"/>
      <c r="BBO45" s="125"/>
      <c r="BBP45" s="14"/>
      <c r="BBQ45" s="15"/>
      <c r="BBR45" s="125"/>
      <c r="BBS45" s="125"/>
      <c r="BBT45" s="14"/>
      <c r="BBU45" s="10"/>
      <c r="BBV45" s="125"/>
      <c r="BBW45" s="125"/>
      <c r="BBX45" s="14"/>
      <c r="BBY45" s="15"/>
      <c r="BBZ45" s="125"/>
      <c r="BCA45" s="125"/>
      <c r="BCB45" s="14"/>
      <c r="BCC45" s="15"/>
      <c r="BCD45" s="125"/>
      <c r="BCE45" s="125"/>
      <c r="BCF45" s="14"/>
      <c r="BCG45" s="15"/>
      <c r="BCH45" s="125"/>
      <c r="BCI45" s="125"/>
      <c r="BCJ45" s="14"/>
      <c r="BCK45" s="10"/>
      <c r="BCL45" s="125"/>
      <c r="BCM45" s="125"/>
      <c r="BCN45" s="14"/>
      <c r="BCO45" s="15"/>
      <c r="BCP45" s="125"/>
      <c r="BCQ45" s="125"/>
      <c r="BCR45" s="14"/>
      <c r="BCS45" s="15"/>
      <c r="BCT45" s="125"/>
      <c r="BCU45" s="125"/>
      <c r="BCV45" s="14"/>
      <c r="BCW45" s="15"/>
      <c r="BCX45" s="125"/>
      <c r="BCY45" s="125"/>
      <c r="BCZ45" s="14"/>
      <c r="BDA45" s="10"/>
      <c r="BDB45" s="125"/>
      <c r="BDC45" s="125"/>
      <c r="BDD45" s="14"/>
      <c r="BDE45" s="15"/>
      <c r="BDF45" s="125"/>
      <c r="BDG45" s="125"/>
      <c r="BDH45" s="14"/>
      <c r="BDI45" s="15"/>
      <c r="BDJ45" s="125"/>
      <c r="BDK45" s="125"/>
      <c r="BDL45" s="14"/>
      <c r="BDM45" s="15"/>
      <c r="BDN45" s="125"/>
      <c r="BDO45" s="125"/>
      <c r="BDP45" s="14"/>
      <c r="BDQ45" s="10"/>
      <c r="BDR45" s="125"/>
      <c r="BDS45" s="125"/>
      <c r="BDT45" s="14"/>
      <c r="BDU45" s="15"/>
      <c r="BDV45" s="125"/>
      <c r="BDW45" s="125"/>
      <c r="BDX45" s="14"/>
      <c r="BDY45" s="15"/>
      <c r="BDZ45" s="125"/>
      <c r="BEA45" s="125"/>
      <c r="BEB45" s="14"/>
      <c r="BEC45" s="15"/>
      <c r="BED45" s="125"/>
      <c r="BEE45" s="125"/>
      <c r="BEF45" s="14"/>
      <c r="BEG45" s="10"/>
      <c r="BEH45" s="125"/>
      <c r="BEI45" s="125"/>
      <c r="BEJ45" s="14"/>
      <c r="BEK45" s="15"/>
      <c r="BEL45" s="125"/>
      <c r="BEM45" s="125"/>
      <c r="BEN45" s="14"/>
      <c r="BEO45" s="15"/>
      <c r="BEP45" s="125"/>
      <c r="BEQ45" s="125"/>
      <c r="BER45" s="14"/>
      <c r="BES45" s="15"/>
      <c r="BET45" s="125"/>
      <c r="BEU45" s="125"/>
      <c r="BEV45" s="14"/>
      <c r="BEW45" s="10"/>
      <c r="BEX45" s="125"/>
      <c r="BEY45" s="125"/>
      <c r="BEZ45" s="14"/>
      <c r="BFA45" s="15"/>
      <c r="BFB45" s="125"/>
      <c r="BFC45" s="125"/>
      <c r="BFD45" s="14"/>
      <c r="BFE45" s="15"/>
      <c r="BFF45" s="125"/>
      <c r="BFG45" s="125"/>
      <c r="BFH45" s="14"/>
      <c r="BFI45" s="15"/>
      <c r="BFJ45" s="125"/>
      <c r="BFK45" s="125"/>
      <c r="BFL45" s="14"/>
      <c r="BFM45" s="10"/>
      <c r="BFN45" s="125"/>
      <c r="BFO45" s="125"/>
      <c r="BFP45" s="14"/>
      <c r="BFQ45" s="15"/>
      <c r="BFR45" s="125"/>
      <c r="BFS45" s="125"/>
      <c r="BFT45" s="14"/>
      <c r="BFU45" s="15"/>
      <c r="BFV45" s="125"/>
      <c r="BFW45" s="125"/>
      <c r="BFX45" s="14"/>
      <c r="BFY45" s="15"/>
      <c r="BFZ45" s="125"/>
      <c r="BGA45" s="125"/>
      <c r="BGB45" s="14"/>
      <c r="BGC45" s="10"/>
      <c r="BGD45" s="125"/>
      <c r="BGE45" s="125"/>
      <c r="BGF45" s="14"/>
      <c r="BGG45" s="15"/>
      <c r="BGH45" s="125"/>
      <c r="BGI45" s="125"/>
      <c r="BGJ45" s="14"/>
      <c r="BGK45" s="15"/>
      <c r="BGL45" s="125"/>
      <c r="BGM45" s="125"/>
      <c r="BGN45" s="14"/>
      <c r="BGO45" s="15"/>
      <c r="BGP45" s="125"/>
      <c r="BGQ45" s="125"/>
      <c r="BGR45" s="14"/>
      <c r="BGS45" s="10"/>
      <c r="BGT45" s="125"/>
      <c r="BGU45" s="125"/>
      <c r="BGV45" s="14"/>
      <c r="BGW45" s="15"/>
      <c r="BGX45" s="125"/>
      <c r="BGY45" s="125"/>
      <c r="BGZ45" s="14"/>
      <c r="BHA45" s="15"/>
      <c r="BHB45" s="125"/>
      <c r="BHC45" s="125"/>
      <c r="BHD45" s="14"/>
      <c r="BHE45" s="15"/>
      <c r="BHF45" s="125"/>
      <c r="BHG45" s="125"/>
      <c r="BHH45" s="14"/>
      <c r="BHI45" s="10"/>
      <c r="BHJ45" s="125"/>
      <c r="BHK45" s="125"/>
      <c r="BHL45" s="14"/>
      <c r="BHM45" s="15"/>
      <c r="BHN45" s="125"/>
      <c r="BHO45" s="125"/>
      <c r="BHP45" s="14"/>
      <c r="BHQ45" s="15"/>
      <c r="BHR45" s="125"/>
      <c r="BHS45" s="125"/>
      <c r="BHT45" s="14"/>
      <c r="BHU45" s="15"/>
      <c r="BHV45" s="125"/>
      <c r="BHW45" s="125"/>
      <c r="BHX45" s="14"/>
      <c r="BHY45" s="10"/>
      <c r="BHZ45" s="125"/>
      <c r="BIA45" s="125"/>
      <c r="BIB45" s="14"/>
      <c r="BIC45" s="15"/>
      <c r="BID45" s="125"/>
      <c r="BIE45" s="125"/>
      <c r="BIF45" s="14"/>
      <c r="BIG45" s="15"/>
      <c r="BIH45" s="125"/>
      <c r="BII45" s="125"/>
      <c r="BIJ45" s="14"/>
      <c r="BIK45" s="15"/>
      <c r="BIL45" s="125"/>
      <c r="BIM45" s="125"/>
      <c r="BIN45" s="14"/>
      <c r="BIO45" s="10"/>
      <c r="BIP45" s="125"/>
      <c r="BIQ45" s="125"/>
      <c r="BIR45" s="14"/>
      <c r="BIS45" s="15"/>
      <c r="BIT45" s="125"/>
      <c r="BIU45" s="125"/>
      <c r="BIV45" s="14"/>
      <c r="BIW45" s="15"/>
      <c r="BIX45" s="125"/>
      <c r="BIY45" s="125"/>
      <c r="BIZ45" s="14"/>
      <c r="BJA45" s="15"/>
      <c r="BJB45" s="125"/>
      <c r="BJC45" s="125"/>
      <c r="BJD45" s="14"/>
      <c r="BJE45" s="10"/>
      <c r="BJF45" s="125"/>
      <c r="BJG45" s="125"/>
      <c r="BJH45" s="14"/>
      <c r="BJI45" s="15"/>
      <c r="BJJ45" s="125"/>
      <c r="BJK45" s="125"/>
      <c r="BJL45" s="14"/>
      <c r="BJM45" s="15"/>
      <c r="BJN45" s="125"/>
      <c r="BJO45" s="125"/>
      <c r="BJP45" s="14"/>
      <c r="BJQ45" s="15"/>
      <c r="BJR45" s="125"/>
      <c r="BJS45" s="125"/>
      <c r="BJT45" s="14"/>
      <c r="BJU45" s="10"/>
      <c r="BJV45" s="125"/>
      <c r="BJW45" s="125"/>
      <c r="BJX45" s="14"/>
      <c r="BJY45" s="15"/>
      <c r="BJZ45" s="125"/>
      <c r="BKA45" s="125"/>
      <c r="BKB45" s="14"/>
      <c r="BKC45" s="15"/>
      <c r="BKD45" s="125"/>
      <c r="BKE45" s="125"/>
      <c r="BKF45" s="14"/>
      <c r="BKG45" s="15"/>
      <c r="BKH45" s="125"/>
      <c r="BKI45" s="125"/>
      <c r="BKJ45" s="14"/>
      <c r="BKK45" s="10"/>
      <c r="BKL45" s="125"/>
      <c r="BKM45" s="125"/>
      <c r="BKN45" s="14"/>
      <c r="BKO45" s="15"/>
      <c r="BKP45" s="125"/>
      <c r="BKQ45" s="125"/>
      <c r="BKR45" s="14"/>
      <c r="BKS45" s="15"/>
      <c r="BKT45" s="125"/>
      <c r="BKU45" s="125"/>
      <c r="BKV45" s="14"/>
      <c r="BKW45" s="15"/>
      <c r="BKX45" s="125"/>
      <c r="BKY45" s="125"/>
      <c r="BKZ45" s="14"/>
      <c r="BLA45" s="10"/>
      <c r="BLB45" s="125"/>
      <c r="BLC45" s="125"/>
      <c r="BLD45" s="14"/>
      <c r="BLE45" s="15"/>
      <c r="BLF45" s="125"/>
      <c r="BLG45" s="125"/>
      <c r="BLH45" s="14"/>
      <c r="BLI45" s="15"/>
      <c r="BLJ45" s="125"/>
      <c r="BLK45" s="125"/>
      <c r="BLL45" s="14"/>
      <c r="BLM45" s="15"/>
      <c r="BLN45" s="125"/>
      <c r="BLO45" s="125"/>
      <c r="BLP45" s="14"/>
      <c r="BLQ45" s="10"/>
      <c r="BLR45" s="125"/>
      <c r="BLS45" s="125"/>
      <c r="BLT45" s="14"/>
      <c r="BLU45" s="15"/>
      <c r="BLV45" s="125"/>
      <c r="BLW45" s="125"/>
      <c r="BLX45" s="14"/>
      <c r="BLY45" s="15"/>
      <c r="BLZ45" s="125"/>
      <c r="BMA45" s="125"/>
      <c r="BMB45" s="14"/>
      <c r="BMC45" s="15"/>
      <c r="BMD45" s="125"/>
      <c r="BME45" s="125"/>
      <c r="BMF45" s="14"/>
      <c r="BMG45" s="10"/>
      <c r="BMH45" s="125"/>
      <c r="BMI45" s="125"/>
      <c r="BMJ45" s="14"/>
      <c r="BMK45" s="15"/>
      <c r="BML45" s="125"/>
      <c r="BMM45" s="125"/>
      <c r="BMN45" s="14"/>
      <c r="BMO45" s="15"/>
      <c r="BMP45" s="125"/>
      <c r="BMQ45" s="125"/>
      <c r="BMR45" s="14"/>
      <c r="BMS45" s="15"/>
      <c r="BMT45" s="125"/>
      <c r="BMU45" s="125"/>
      <c r="BMV45" s="14"/>
      <c r="BMW45" s="10"/>
      <c r="BMX45" s="125"/>
      <c r="BMY45" s="125"/>
      <c r="BMZ45" s="14"/>
      <c r="BNA45" s="15"/>
      <c r="BNB45" s="125"/>
      <c r="BNC45" s="125"/>
      <c r="BND45" s="14"/>
      <c r="BNE45" s="15"/>
      <c r="BNF45" s="125"/>
      <c r="BNG45" s="125"/>
      <c r="BNH45" s="14"/>
      <c r="BNI45" s="15"/>
      <c r="BNJ45" s="125"/>
      <c r="BNK45" s="125"/>
      <c r="BNL45" s="14"/>
      <c r="BNM45" s="10"/>
      <c r="BNN45" s="125"/>
      <c r="BNO45" s="125"/>
      <c r="BNP45" s="14"/>
      <c r="BNQ45" s="15"/>
      <c r="BNR45" s="125"/>
      <c r="BNS45" s="125"/>
      <c r="BNT45" s="14"/>
      <c r="BNU45" s="15"/>
      <c r="BNV45" s="125"/>
      <c r="BNW45" s="125"/>
      <c r="BNX45" s="14"/>
      <c r="BNY45" s="15"/>
      <c r="BNZ45" s="125"/>
      <c r="BOA45" s="125"/>
      <c r="BOB45" s="14"/>
      <c r="BOC45" s="10"/>
      <c r="BOD45" s="125"/>
      <c r="BOE45" s="125"/>
      <c r="BOF45" s="14"/>
      <c r="BOG45" s="15"/>
      <c r="BOH45" s="125"/>
      <c r="BOI45" s="125"/>
      <c r="BOJ45" s="14"/>
      <c r="BOK45" s="15"/>
      <c r="BOL45" s="125"/>
      <c r="BOM45" s="125"/>
      <c r="BON45" s="14"/>
      <c r="BOO45" s="15"/>
      <c r="BOP45" s="125"/>
      <c r="BOQ45" s="125"/>
      <c r="BOR45" s="14"/>
      <c r="BOS45" s="10"/>
      <c r="BOT45" s="125"/>
      <c r="BOU45" s="125"/>
      <c r="BOV45" s="14"/>
      <c r="BOW45" s="15"/>
      <c r="BOX45" s="125"/>
      <c r="BOY45" s="125"/>
      <c r="BOZ45" s="14"/>
      <c r="BPA45" s="15"/>
      <c r="BPB45" s="125"/>
      <c r="BPC45" s="125"/>
      <c r="BPD45" s="14"/>
      <c r="BPE45" s="15"/>
      <c r="BPF45" s="125"/>
      <c r="BPG45" s="125"/>
      <c r="BPH45" s="14"/>
      <c r="BPI45" s="10"/>
      <c r="BPJ45" s="125"/>
      <c r="BPK45" s="125"/>
      <c r="BPL45" s="14"/>
      <c r="BPM45" s="15"/>
      <c r="BPN45" s="125"/>
      <c r="BPO45" s="125"/>
      <c r="BPP45" s="14"/>
      <c r="BPQ45" s="15"/>
      <c r="BPR45" s="125"/>
      <c r="BPS45" s="125"/>
      <c r="BPT45" s="14"/>
      <c r="BPU45" s="15"/>
      <c r="BPV45" s="125"/>
      <c r="BPW45" s="125"/>
      <c r="BPX45" s="14"/>
      <c r="BPY45" s="10"/>
      <c r="BPZ45" s="125"/>
      <c r="BQA45" s="125"/>
      <c r="BQB45" s="14"/>
      <c r="BQC45" s="15"/>
      <c r="BQD45" s="125"/>
      <c r="BQE45" s="125"/>
      <c r="BQF45" s="14"/>
      <c r="BQG45" s="15"/>
      <c r="BQH45" s="125"/>
      <c r="BQI45" s="125"/>
      <c r="BQJ45" s="14"/>
      <c r="BQK45" s="15"/>
      <c r="BQL45" s="125"/>
      <c r="BQM45" s="125"/>
      <c r="BQN45" s="14"/>
      <c r="BQO45" s="10"/>
      <c r="BQP45" s="125"/>
      <c r="BQQ45" s="125"/>
      <c r="BQR45" s="14"/>
      <c r="BQS45" s="15"/>
      <c r="BQT45" s="125"/>
      <c r="BQU45" s="125"/>
      <c r="BQV45" s="14"/>
      <c r="BQW45" s="15"/>
      <c r="BQX45" s="125"/>
      <c r="BQY45" s="125"/>
      <c r="BQZ45" s="14"/>
      <c r="BRA45" s="15"/>
      <c r="BRB45" s="125"/>
      <c r="BRC45" s="125"/>
      <c r="BRD45" s="14"/>
      <c r="BRE45" s="10"/>
      <c r="BRF45" s="125"/>
      <c r="BRG45" s="125"/>
      <c r="BRH45" s="14"/>
      <c r="BRI45" s="15"/>
      <c r="BRJ45" s="125"/>
      <c r="BRK45" s="125"/>
      <c r="BRL45" s="14"/>
      <c r="BRM45" s="15"/>
      <c r="BRN45" s="125"/>
      <c r="BRO45" s="125"/>
      <c r="BRP45" s="14"/>
      <c r="BRQ45" s="15"/>
      <c r="BRR45" s="125"/>
      <c r="BRS45" s="125"/>
      <c r="BRT45" s="14"/>
      <c r="BRU45" s="10"/>
      <c r="BRV45" s="125"/>
      <c r="BRW45" s="125"/>
      <c r="BRX45" s="14"/>
      <c r="BRY45" s="15"/>
      <c r="BRZ45" s="125"/>
      <c r="BSA45" s="125"/>
      <c r="BSB45" s="14"/>
      <c r="BSC45" s="15"/>
      <c r="BSD45" s="125"/>
      <c r="BSE45" s="125"/>
      <c r="BSF45" s="14"/>
      <c r="BSG45" s="15"/>
      <c r="BSH45" s="125"/>
      <c r="BSI45" s="125"/>
      <c r="BSJ45" s="14"/>
      <c r="BSK45" s="10"/>
      <c r="BSL45" s="125"/>
      <c r="BSM45" s="125"/>
      <c r="BSN45" s="14"/>
      <c r="BSO45" s="15"/>
      <c r="BSP45" s="125"/>
      <c r="BSQ45" s="125"/>
      <c r="BSR45" s="14"/>
      <c r="BSS45" s="15"/>
      <c r="BST45" s="125"/>
      <c r="BSU45" s="125"/>
      <c r="BSV45" s="14"/>
      <c r="BSW45" s="15"/>
      <c r="BSX45" s="125"/>
      <c r="BSY45" s="125"/>
      <c r="BSZ45" s="14"/>
      <c r="BTA45" s="10"/>
      <c r="BTB45" s="125"/>
      <c r="BTC45" s="125"/>
      <c r="BTD45" s="14"/>
      <c r="BTE45" s="15"/>
      <c r="BTF45" s="125"/>
      <c r="BTG45" s="125"/>
      <c r="BTH45" s="14"/>
      <c r="BTI45" s="15"/>
      <c r="BTJ45" s="125"/>
      <c r="BTK45" s="125"/>
      <c r="BTL45" s="14"/>
      <c r="BTM45" s="15"/>
      <c r="BTN45" s="125"/>
      <c r="BTO45" s="125"/>
      <c r="BTP45" s="14"/>
      <c r="BTQ45" s="10"/>
      <c r="BTR45" s="125"/>
      <c r="BTS45" s="125"/>
      <c r="BTT45" s="14"/>
      <c r="BTU45" s="15"/>
      <c r="BTV45" s="125"/>
      <c r="BTW45" s="125"/>
      <c r="BTX45" s="14"/>
      <c r="BTY45" s="15"/>
      <c r="BTZ45" s="125"/>
      <c r="BUA45" s="125"/>
      <c r="BUB45" s="14"/>
      <c r="BUC45" s="15"/>
      <c r="BUD45" s="125"/>
      <c r="BUE45" s="125"/>
      <c r="BUF45" s="14"/>
      <c r="BUG45" s="10"/>
      <c r="BUH45" s="125"/>
      <c r="BUI45" s="125"/>
      <c r="BUJ45" s="14"/>
      <c r="BUK45" s="15"/>
      <c r="BUL45" s="125"/>
      <c r="BUM45" s="125"/>
      <c r="BUN45" s="14"/>
      <c r="BUO45" s="15"/>
      <c r="BUP45" s="125"/>
      <c r="BUQ45" s="125"/>
      <c r="BUR45" s="14"/>
      <c r="BUS45" s="15"/>
      <c r="BUT45" s="125"/>
      <c r="BUU45" s="125"/>
      <c r="BUV45" s="14"/>
      <c r="BUW45" s="10"/>
      <c r="BUX45" s="125"/>
      <c r="BUY45" s="125"/>
      <c r="BUZ45" s="14"/>
      <c r="BVA45" s="15"/>
      <c r="BVB45" s="125"/>
      <c r="BVC45" s="125"/>
      <c r="BVD45" s="14"/>
      <c r="BVE45" s="15"/>
      <c r="BVF45" s="125"/>
      <c r="BVG45" s="125"/>
      <c r="BVH45" s="14"/>
      <c r="BVI45" s="15"/>
      <c r="BVJ45" s="125"/>
      <c r="BVK45" s="125"/>
      <c r="BVL45" s="14"/>
      <c r="BVM45" s="10"/>
      <c r="BVN45" s="125"/>
      <c r="BVO45" s="125"/>
      <c r="BVP45" s="14"/>
      <c r="BVQ45" s="15"/>
      <c r="BVR45" s="125"/>
      <c r="BVS45" s="125"/>
      <c r="BVT45" s="14"/>
      <c r="BVU45" s="15"/>
      <c r="BVV45" s="125"/>
      <c r="BVW45" s="125"/>
      <c r="BVX45" s="14"/>
      <c r="BVY45" s="15"/>
      <c r="BVZ45" s="125"/>
      <c r="BWA45" s="125"/>
      <c r="BWB45" s="14"/>
      <c r="BWC45" s="10"/>
      <c r="BWD45" s="125"/>
      <c r="BWE45" s="125"/>
      <c r="BWF45" s="14"/>
      <c r="BWG45" s="15"/>
      <c r="BWH45" s="125"/>
      <c r="BWI45" s="125"/>
      <c r="BWJ45" s="14"/>
      <c r="BWK45" s="15"/>
      <c r="BWL45" s="125"/>
      <c r="BWM45" s="125"/>
      <c r="BWN45" s="14"/>
      <c r="BWO45" s="15"/>
      <c r="BWP45" s="125"/>
      <c r="BWQ45" s="125"/>
      <c r="BWR45" s="14"/>
      <c r="BWS45" s="10"/>
      <c r="BWT45" s="125"/>
      <c r="BWU45" s="125"/>
      <c r="BWV45" s="14"/>
      <c r="BWW45" s="15"/>
      <c r="BWX45" s="125"/>
      <c r="BWY45" s="125"/>
      <c r="BWZ45" s="14"/>
      <c r="BXA45" s="15"/>
      <c r="BXB45" s="125"/>
      <c r="BXC45" s="125"/>
      <c r="BXD45" s="14"/>
      <c r="BXE45" s="15"/>
      <c r="BXF45" s="125"/>
      <c r="BXG45" s="125"/>
      <c r="BXH45" s="14"/>
      <c r="BXI45" s="10"/>
      <c r="BXJ45" s="125"/>
      <c r="BXK45" s="125"/>
      <c r="BXL45" s="14"/>
      <c r="BXM45" s="15"/>
      <c r="BXN45" s="125"/>
      <c r="BXO45" s="125"/>
      <c r="BXP45" s="14"/>
      <c r="BXQ45" s="15"/>
      <c r="BXR45" s="125"/>
      <c r="BXS45" s="125"/>
      <c r="BXT45" s="14"/>
      <c r="BXU45" s="15"/>
      <c r="BXV45" s="125"/>
      <c r="BXW45" s="125"/>
      <c r="BXX45" s="14"/>
      <c r="BXY45" s="10"/>
      <c r="BXZ45" s="125"/>
      <c r="BYA45" s="125"/>
      <c r="BYB45" s="14"/>
      <c r="BYC45" s="15"/>
      <c r="BYD45" s="125"/>
      <c r="BYE45" s="125"/>
      <c r="BYF45" s="14"/>
      <c r="BYG45" s="15"/>
      <c r="BYH45" s="125"/>
      <c r="BYI45" s="125"/>
      <c r="BYJ45" s="14"/>
      <c r="BYK45" s="15"/>
      <c r="BYL45" s="125"/>
      <c r="BYM45" s="125"/>
      <c r="BYN45" s="14"/>
      <c r="BYO45" s="10"/>
      <c r="BYP45" s="125"/>
      <c r="BYQ45" s="125"/>
      <c r="BYR45" s="14"/>
      <c r="BYS45" s="15"/>
      <c r="BYT45" s="125"/>
      <c r="BYU45" s="125"/>
      <c r="BYV45" s="14"/>
      <c r="BYW45" s="15"/>
      <c r="BYX45" s="125"/>
      <c r="BYY45" s="125"/>
      <c r="BYZ45" s="14"/>
      <c r="BZA45" s="15"/>
      <c r="BZB45" s="125"/>
      <c r="BZC45" s="125"/>
      <c r="BZD45" s="14"/>
      <c r="BZE45" s="10"/>
      <c r="BZF45" s="125"/>
      <c r="BZG45" s="125"/>
      <c r="BZH45" s="14"/>
      <c r="BZI45" s="15"/>
      <c r="BZJ45" s="125"/>
      <c r="BZK45" s="125"/>
      <c r="BZL45" s="14"/>
      <c r="BZM45" s="15"/>
      <c r="BZN45" s="125"/>
      <c r="BZO45" s="125"/>
      <c r="BZP45" s="14"/>
      <c r="BZQ45" s="15"/>
      <c r="BZR45" s="125"/>
      <c r="BZS45" s="125"/>
      <c r="BZT45" s="14"/>
      <c r="BZU45" s="10"/>
      <c r="BZV45" s="125"/>
      <c r="BZW45" s="125"/>
      <c r="BZX45" s="14"/>
      <c r="BZY45" s="15"/>
      <c r="BZZ45" s="125"/>
      <c r="CAA45" s="125"/>
      <c r="CAB45" s="14"/>
      <c r="CAC45" s="15"/>
      <c r="CAD45" s="125"/>
      <c r="CAE45" s="125"/>
      <c r="CAF45" s="14"/>
      <c r="CAG45" s="15"/>
      <c r="CAH45" s="125"/>
      <c r="CAI45" s="125"/>
      <c r="CAJ45" s="14"/>
      <c r="CAK45" s="10"/>
      <c r="CAL45" s="125"/>
      <c r="CAM45" s="125"/>
      <c r="CAN45" s="14"/>
      <c r="CAO45" s="15"/>
      <c r="CAP45" s="125"/>
      <c r="CAQ45" s="125"/>
      <c r="CAR45" s="14"/>
      <c r="CAS45" s="15"/>
      <c r="CAT45" s="125"/>
      <c r="CAU45" s="125"/>
      <c r="CAV45" s="14"/>
      <c r="CAW45" s="15"/>
      <c r="CAX45" s="125"/>
      <c r="CAY45" s="125"/>
      <c r="CAZ45" s="14"/>
      <c r="CBA45" s="10"/>
      <c r="CBB45" s="125"/>
      <c r="CBC45" s="125"/>
      <c r="CBD45" s="14"/>
      <c r="CBE45" s="15"/>
      <c r="CBF45" s="125"/>
      <c r="CBG45" s="125"/>
      <c r="CBH45" s="14"/>
      <c r="CBI45" s="15"/>
      <c r="CBJ45" s="125"/>
      <c r="CBK45" s="125"/>
      <c r="CBL45" s="14"/>
      <c r="CBM45" s="15"/>
      <c r="CBN45" s="125"/>
      <c r="CBO45" s="125"/>
      <c r="CBP45" s="14"/>
      <c r="CBQ45" s="10"/>
      <c r="CBR45" s="125"/>
      <c r="CBS45" s="125"/>
      <c r="CBT45" s="14"/>
      <c r="CBU45" s="15"/>
      <c r="CBV45" s="125"/>
      <c r="CBW45" s="125"/>
      <c r="CBX45" s="14"/>
      <c r="CBY45" s="15"/>
      <c r="CBZ45" s="125"/>
      <c r="CCA45" s="125"/>
      <c r="CCB45" s="14"/>
      <c r="CCC45" s="15"/>
      <c r="CCD45" s="125"/>
      <c r="CCE45" s="125"/>
      <c r="CCF45" s="14"/>
      <c r="CCG45" s="10"/>
      <c r="CCH45" s="125"/>
      <c r="CCI45" s="125"/>
      <c r="CCJ45" s="14"/>
      <c r="CCK45" s="15"/>
      <c r="CCL45" s="125"/>
      <c r="CCM45" s="125"/>
      <c r="CCN45" s="14"/>
      <c r="CCO45" s="15"/>
      <c r="CCP45" s="125"/>
      <c r="CCQ45" s="125"/>
      <c r="CCR45" s="14"/>
      <c r="CCS45" s="15"/>
      <c r="CCT45" s="125"/>
      <c r="CCU45" s="125"/>
      <c r="CCV45" s="14"/>
      <c r="CCW45" s="10"/>
      <c r="CCX45" s="125"/>
      <c r="CCY45" s="125"/>
      <c r="CCZ45" s="14"/>
      <c r="CDA45" s="15"/>
      <c r="CDB45" s="125"/>
      <c r="CDC45" s="125"/>
      <c r="CDD45" s="14"/>
      <c r="CDE45" s="15"/>
      <c r="CDF45" s="125"/>
      <c r="CDG45" s="125"/>
      <c r="CDH45" s="14"/>
      <c r="CDI45" s="15"/>
      <c r="CDJ45" s="125"/>
      <c r="CDK45" s="125"/>
      <c r="CDL45" s="14"/>
      <c r="CDM45" s="10"/>
      <c r="CDN45" s="125"/>
      <c r="CDO45" s="125"/>
      <c r="CDP45" s="14"/>
      <c r="CDQ45" s="15"/>
      <c r="CDR45" s="125"/>
      <c r="CDS45" s="125"/>
      <c r="CDT45" s="14"/>
      <c r="CDU45" s="15"/>
      <c r="CDV45" s="125"/>
      <c r="CDW45" s="125"/>
      <c r="CDX45" s="14"/>
      <c r="CDY45" s="15"/>
      <c r="CDZ45" s="125"/>
      <c r="CEA45" s="125"/>
      <c r="CEB45" s="14"/>
      <c r="CEC45" s="10"/>
      <c r="CED45" s="125"/>
      <c r="CEE45" s="125"/>
      <c r="CEF45" s="14"/>
      <c r="CEG45" s="15"/>
      <c r="CEH45" s="125"/>
      <c r="CEI45" s="125"/>
      <c r="CEJ45" s="14"/>
      <c r="CEK45" s="15"/>
      <c r="CEL45" s="125"/>
      <c r="CEM45" s="125"/>
      <c r="CEN45" s="14"/>
      <c r="CEO45" s="15"/>
      <c r="CEP45" s="125"/>
      <c r="CEQ45" s="125"/>
      <c r="CER45" s="14"/>
      <c r="CES45" s="10"/>
      <c r="CET45" s="125"/>
      <c r="CEU45" s="125"/>
      <c r="CEV45" s="14"/>
      <c r="CEW45" s="15"/>
      <c r="CEX45" s="125"/>
      <c r="CEY45" s="125"/>
      <c r="CEZ45" s="14"/>
      <c r="CFA45" s="15"/>
      <c r="CFB45" s="125"/>
      <c r="CFC45" s="125"/>
      <c r="CFD45" s="14"/>
      <c r="CFE45" s="15"/>
      <c r="CFF45" s="125"/>
      <c r="CFG45" s="125"/>
      <c r="CFH45" s="14"/>
      <c r="CFI45" s="10"/>
      <c r="CFJ45" s="125"/>
      <c r="CFK45" s="125"/>
      <c r="CFL45" s="14"/>
      <c r="CFM45" s="15"/>
      <c r="CFN45" s="125"/>
      <c r="CFO45" s="125"/>
      <c r="CFP45" s="14"/>
      <c r="CFQ45" s="15"/>
      <c r="CFR45" s="125"/>
      <c r="CFS45" s="125"/>
      <c r="CFT45" s="14"/>
      <c r="CFU45" s="15"/>
      <c r="CFV45" s="125"/>
      <c r="CFW45" s="125"/>
      <c r="CFX45" s="14"/>
      <c r="CFY45" s="10"/>
      <c r="CFZ45" s="125"/>
      <c r="CGA45" s="125"/>
      <c r="CGB45" s="14"/>
      <c r="CGC45" s="15"/>
      <c r="CGD45" s="125"/>
      <c r="CGE45" s="125"/>
      <c r="CGF45" s="14"/>
      <c r="CGG45" s="15"/>
      <c r="CGH45" s="125"/>
      <c r="CGI45" s="125"/>
      <c r="CGJ45" s="14"/>
      <c r="CGK45" s="15"/>
      <c r="CGL45" s="125"/>
      <c r="CGM45" s="125"/>
      <c r="CGN45" s="14"/>
      <c r="CGO45" s="10"/>
      <c r="CGP45" s="125"/>
      <c r="CGQ45" s="125"/>
      <c r="CGR45" s="14"/>
      <c r="CGS45" s="15"/>
      <c r="CGT45" s="125"/>
      <c r="CGU45" s="125"/>
      <c r="CGV45" s="14"/>
      <c r="CGW45" s="15"/>
      <c r="CGX45" s="125"/>
      <c r="CGY45" s="125"/>
      <c r="CGZ45" s="14"/>
      <c r="CHA45" s="15"/>
      <c r="CHB45" s="125"/>
      <c r="CHC45" s="125"/>
      <c r="CHD45" s="14"/>
      <c r="CHE45" s="10"/>
      <c r="CHF45" s="125"/>
      <c r="CHG45" s="125"/>
      <c r="CHH45" s="14"/>
      <c r="CHI45" s="15"/>
      <c r="CHJ45" s="125"/>
      <c r="CHK45" s="125"/>
      <c r="CHL45" s="14"/>
      <c r="CHM45" s="15"/>
      <c r="CHN45" s="125"/>
      <c r="CHO45" s="125"/>
      <c r="CHP45" s="14"/>
      <c r="CHQ45" s="15"/>
      <c r="CHR45" s="125"/>
      <c r="CHS45" s="125"/>
      <c r="CHT45" s="14"/>
      <c r="CHU45" s="10"/>
      <c r="CHV45" s="125"/>
      <c r="CHW45" s="125"/>
      <c r="CHX45" s="14"/>
      <c r="CHY45" s="15"/>
      <c r="CHZ45" s="125"/>
      <c r="CIA45" s="125"/>
      <c r="CIB45" s="14"/>
      <c r="CIC45" s="15"/>
      <c r="CID45" s="125"/>
      <c r="CIE45" s="125"/>
      <c r="CIF45" s="14"/>
      <c r="CIG45" s="15"/>
      <c r="CIH45" s="125"/>
      <c r="CII45" s="125"/>
      <c r="CIJ45" s="14"/>
      <c r="CIK45" s="10"/>
      <c r="CIL45" s="125"/>
      <c r="CIM45" s="125"/>
      <c r="CIN45" s="14"/>
      <c r="CIO45" s="15"/>
      <c r="CIP45" s="125"/>
      <c r="CIQ45" s="125"/>
      <c r="CIR45" s="14"/>
      <c r="CIS45" s="15"/>
      <c r="CIT45" s="125"/>
      <c r="CIU45" s="125"/>
      <c r="CIV45" s="14"/>
      <c r="CIW45" s="15"/>
      <c r="CIX45" s="125"/>
      <c r="CIY45" s="125"/>
      <c r="CIZ45" s="14"/>
      <c r="CJA45" s="10"/>
      <c r="CJB45" s="125"/>
      <c r="CJC45" s="125"/>
      <c r="CJD45" s="14"/>
      <c r="CJE45" s="15"/>
      <c r="CJF45" s="125"/>
      <c r="CJG45" s="125"/>
      <c r="CJH45" s="14"/>
      <c r="CJI45" s="15"/>
      <c r="CJJ45" s="125"/>
      <c r="CJK45" s="125"/>
      <c r="CJL45" s="14"/>
      <c r="CJM45" s="15"/>
      <c r="CJN45" s="125"/>
      <c r="CJO45" s="125"/>
      <c r="CJP45" s="14"/>
      <c r="CJQ45" s="10"/>
      <c r="CJR45" s="125"/>
      <c r="CJS45" s="125"/>
      <c r="CJT45" s="14"/>
      <c r="CJU45" s="15"/>
      <c r="CJV45" s="125"/>
      <c r="CJW45" s="125"/>
      <c r="CJX45" s="14"/>
      <c r="CJY45" s="15"/>
      <c r="CJZ45" s="125"/>
      <c r="CKA45" s="125"/>
      <c r="CKB45" s="14"/>
      <c r="CKC45" s="15"/>
      <c r="CKD45" s="125"/>
      <c r="CKE45" s="125"/>
      <c r="CKF45" s="14"/>
      <c r="CKG45" s="10"/>
      <c r="CKH45" s="125"/>
      <c r="CKI45" s="125"/>
      <c r="CKJ45" s="14"/>
      <c r="CKK45" s="15"/>
      <c r="CKL45" s="125"/>
      <c r="CKM45" s="125"/>
      <c r="CKN45" s="14"/>
      <c r="CKO45" s="15"/>
      <c r="CKP45" s="125"/>
      <c r="CKQ45" s="125"/>
      <c r="CKR45" s="14"/>
      <c r="CKS45" s="15"/>
      <c r="CKT45" s="125"/>
      <c r="CKU45" s="125"/>
      <c r="CKV45" s="14"/>
      <c r="CKW45" s="10"/>
      <c r="CKX45" s="125"/>
      <c r="CKY45" s="125"/>
      <c r="CKZ45" s="14"/>
      <c r="CLA45" s="15"/>
      <c r="CLB45" s="125"/>
      <c r="CLC45" s="125"/>
      <c r="CLD45" s="14"/>
      <c r="CLE45" s="15"/>
      <c r="CLF45" s="125"/>
      <c r="CLG45" s="125"/>
      <c r="CLH45" s="14"/>
      <c r="CLI45" s="15"/>
      <c r="CLJ45" s="125"/>
      <c r="CLK45" s="125"/>
      <c r="CLL45" s="14"/>
      <c r="CLM45" s="10"/>
      <c r="CLN45" s="125"/>
      <c r="CLO45" s="125"/>
      <c r="CLP45" s="14"/>
      <c r="CLQ45" s="15"/>
      <c r="CLR45" s="125"/>
      <c r="CLS45" s="125"/>
      <c r="CLT45" s="14"/>
      <c r="CLU45" s="15"/>
      <c r="CLV45" s="125"/>
      <c r="CLW45" s="125"/>
      <c r="CLX45" s="14"/>
      <c r="CLY45" s="15"/>
      <c r="CLZ45" s="125"/>
      <c r="CMA45" s="125"/>
      <c r="CMB45" s="14"/>
      <c r="CMC45" s="10"/>
      <c r="CMD45" s="125"/>
      <c r="CME45" s="125"/>
      <c r="CMF45" s="14"/>
      <c r="CMG45" s="15"/>
      <c r="CMH45" s="125"/>
      <c r="CMI45" s="125"/>
      <c r="CMJ45" s="14"/>
      <c r="CMK45" s="15"/>
      <c r="CML45" s="125"/>
      <c r="CMM45" s="125"/>
      <c r="CMN45" s="14"/>
      <c r="CMO45" s="15"/>
      <c r="CMP45" s="125"/>
      <c r="CMQ45" s="125"/>
      <c r="CMR45" s="14"/>
      <c r="CMS45" s="10"/>
      <c r="CMT45" s="125"/>
      <c r="CMU45" s="125"/>
      <c r="CMV45" s="14"/>
      <c r="CMW45" s="15"/>
      <c r="CMX45" s="125"/>
      <c r="CMY45" s="125"/>
      <c r="CMZ45" s="14"/>
      <c r="CNA45" s="15"/>
      <c r="CNB45" s="125"/>
      <c r="CNC45" s="125"/>
      <c r="CND45" s="14"/>
      <c r="CNE45" s="15"/>
      <c r="CNF45" s="125"/>
      <c r="CNG45" s="125"/>
      <c r="CNH45" s="14"/>
      <c r="CNI45" s="10"/>
      <c r="CNJ45" s="125"/>
      <c r="CNK45" s="125"/>
      <c r="CNL45" s="14"/>
      <c r="CNM45" s="15"/>
      <c r="CNN45" s="125"/>
      <c r="CNO45" s="125"/>
      <c r="CNP45" s="14"/>
      <c r="CNQ45" s="15"/>
      <c r="CNR45" s="125"/>
      <c r="CNS45" s="125"/>
      <c r="CNT45" s="14"/>
      <c r="CNU45" s="15"/>
      <c r="CNV45" s="125"/>
      <c r="CNW45" s="125"/>
      <c r="CNX45" s="14"/>
      <c r="CNY45" s="10"/>
      <c r="CNZ45" s="125"/>
      <c r="COA45" s="125"/>
      <c r="COB45" s="14"/>
      <c r="COC45" s="15"/>
      <c r="COD45" s="125"/>
      <c r="COE45" s="125"/>
      <c r="COF45" s="14"/>
      <c r="COG45" s="15"/>
      <c r="COH45" s="125"/>
      <c r="COI45" s="125"/>
      <c r="COJ45" s="14"/>
      <c r="COK45" s="15"/>
      <c r="COL45" s="125"/>
      <c r="COM45" s="125"/>
      <c r="CON45" s="14"/>
      <c r="COO45" s="10"/>
      <c r="COP45" s="125"/>
      <c r="COQ45" s="125"/>
      <c r="COR45" s="14"/>
      <c r="COS45" s="15"/>
      <c r="COT45" s="125"/>
      <c r="COU45" s="125"/>
      <c r="COV45" s="14"/>
      <c r="COW45" s="15"/>
      <c r="COX45" s="125"/>
      <c r="COY45" s="125"/>
      <c r="COZ45" s="14"/>
      <c r="CPA45" s="15"/>
      <c r="CPB45" s="125"/>
      <c r="CPC45" s="125"/>
      <c r="CPD45" s="14"/>
      <c r="CPE45" s="10"/>
      <c r="CPF45" s="125"/>
      <c r="CPG45" s="125"/>
      <c r="CPH45" s="14"/>
      <c r="CPI45" s="15"/>
      <c r="CPJ45" s="125"/>
      <c r="CPK45" s="125"/>
      <c r="CPL45" s="14"/>
      <c r="CPM45" s="15"/>
      <c r="CPN45" s="125"/>
      <c r="CPO45" s="125"/>
      <c r="CPP45" s="14"/>
      <c r="CPQ45" s="15"/>
      <c r="CPR45" s="125"/>
      <c r="CPS45" s="125"/>
      <c r="CPT45" s="14"/>
      <c r="CPU45" s="10"/>
      <c r="CPV45" s="125"/>
      <c r="CPW45" s="125"/>
      <c r="CPX45" s="14"/>
      <c r="CPY45" s="15"/>
      <c r="CPZ45" s="125"/>
      <c r="CQA45" s="125"/>
      <c r="CQB45" s="14"/>
      <c r="CQC45" s="15"/>
      <c r="CQD45" s="125"/>
      <c r="CQE45" s="125"/>
      <c r="CQF45" s="14"/>
      <c r="CQG45" s="15"/>
      <c r="CQH45" s="125"/>
      <c r="CQI45" s="125"/>
      <c r="CQJ45" s="14"/>
      <c r="CQK45" s="10"/>
      <c r="CQL45" s="125"/>
      <c r="CQM45" s="125"/>
      <c r="CQN45" s="14"/>
      <c r="CQO45" s="15"/>
      <c r="CQP45" s="125"/>
      <c r="CQQ45" s="125"/>
      <c r="CQR45" s="14"/>
      <c r="CQS45" s="15"/>
      <c r="CQT45" s="125"/>
      <c r="CQU45" s="125"/>
      <c r="CQV45" s="14"/>
      <c r="CQW45" s="15"/>
      <c r="CQX45" s="125"/>
      <c r="CQY45" s="125"/>
      <c r="CQZ45" s="14"/>
      <c r="CRA45" s="10"/>
      <c r="CRB45" s="125"/>
      <c r="CRC45" s="125"/>
      <c r="CRD45" s="14"/>
      <c r="CRE45" s="15"/>
      <c r="CRF45" s="125"/>
      <c r="CRG45" s="125"/>
      <c r="CRH45" s="14"/>
      <c r="CRI45" s="15"/>
      <c r="CRJ45" s="125"/>
      <c r="CRK45" s="125"/>
      <c r="CRL45" s="14"/>
      <c r="CRM45" s="15"/>
      <c r="CRN45" s="125"/>
      <c r="CRO45" s="125"/>
      <c r="CRP45" s="14"/>
      <c r="CRQ45" s="10"/>
      <c r="CRR45" s="125"/>
      <c r="CRS45" s="125"/>
      <c r="CRT45" s="14"/>
      <c r="CRU45" s="15"/>
      <c r="CRV45" s="125"/>
      <c r="CRW45" s="125"/>
      <c r="CRX45" s="14"/>
      <c r="CRY45" s="15"/>
      <c r="CRZ45" s="125"/>
      <c r="CSA45" s="125"/>
      <c r="CSB45" s="14"/>
      <c r="CSC45" s="15"/>
      <c r="CSD45" s="125"/>
      <c r="CSE45" s="125"/>
      <c r="CSF45" s="14"/>
      <c r="CSG45" s="10"/>
      <c r="CSH45" s="125"/>
      <c r="CSI45" s="125"/>
      <c r="CSJ45" s="14"/>
      <c r="CSK45" s="15"/>
      <c r="CSL45" s="125"/>
      <c r="CSM45" s="125"/>
      <c r="CSN45" s="14"/>
      <c r="CSO45" s="15"/>
      <c r="CSP45" s="125"/>
      <c r="CSQ45" s="125"/>
      <c r="CSR45" s="14"/>
      <c r="CSS45" s="15"/>
      <c r="CST45" s="125"/>
      <c r="CSU45" s="125"/>
      <c r="CSV45" s="14"/>
      <c r="CSW45" s="10"/>
      <c r="CSX45" s="125"/>
      <c r="CSY45" s="125"/>
      <c r="CSZ45" s="14"/>
      <c r="CTA45" s="15"/>
      <c r="CTB45" s="125"/>
      <c r="CTC45" s="125"/>
      <c r="CTD45" s="14"/>
      <c r="CTE45" s="15"/>
      <c r="CTF45" s="125"/>
      <c r="CTG45" s="125"/>
      <c r="CTH45" s="14"/>
      <c r="CTI45" s="15"/>
      <c r="CTJ45" s="125"/>
      <c r="CTK45" s="125"/>
      <c r="CTL45" s="14"/>
      <c r="CTM45" s="10"/>
      <c r="CTN45" s="125"/>
      <c r="CTO45" s="125"/>
      <c r="CTP45" s="14"/>
      <c r="CTQ45" s="15"/>
      <c r="CTR45" s="125"/>
      <c r="CTS45" s="125"/>
      <c r="CTT45" s="14"/>
      <c r="CTU45" s="15"/>
      <c r="CTV45" s="125"/>
      <c r="CTW45" s="125"/>
      <c r="CTX45" s="14"/>
      <c r="CTY45" s="15"/>
      <c r="CTZ45" s="125"/>
      <c r="CUA45" s="125"/>
      <c r="CUB45" s="14"/>
      <c r="CUC45" s="10"/>
      <c r="CUD45" s="125"/>
      <c r="CUE45" s="125"/>
      <c r="CUF45" s="14"/>
      <c r="CUG45" s="15"/>
      <c r="CUH45" s="125"/>
      <c r="CUI45" s="125"/>
      <c r="CUJ45" s="14"/>
      <c r="CUK45" s="15"/>
      <c r="CUL45" s="125"/>
      <c r="CUM45" s="125"/>
      <c r="CUN45" s="14"/>
      <c r="CUO45" s="15"/>
      <c r="CUP45" s="125"/>
      <c r="CUQ45" s="125"/>
      <c r="CUR45" s="14"/>
      <c r="CUS45" s="10"/>
      <c r="CUT45" s="125"/>
      <c r="CUU45" s="125"/>
      <c r="CUV45" s="14"/>
      <c r="CUW45" s="15"/>
      <c r="CUX45" s="125"/>
      <c r="CUY45" s="125"/>
      <c r="CUZ45" s="14"/>
      <c r="CVA45" s="15"/>
      <c r="CVB45" s="125"/>
      <c r="CVC45" s="125"/>
      <c r="CVD45" s="14"/>
      <c r="CVE45" s="15"/>
      <c r="CVF45" s="125"/>
      <c r="CVG45" s="125"/>
      <c r="CVH45" s="14"/>
      <c r="CVI45" s="10"/>
      <c r="CVJ45" s="125"/>
      <c r="CVK45" s="125"/>
      <c r="CVL45" s="14"/>
      <c r="CVM45" s="15"/>
      <c r="CVN45" s="125"/>
      <c r="CVO45" s="125"/>
      <c r="CVP45" s="14"/>
      <c r="CVQ45" s="15"/>
      <c r="CVR45" s="125"/>
      <c r="CVS45" s="125"/>
      <c r="CVT45" s="14"/>
      <c r="CVU45" s="15"/>
      <c r="CVV45" s="125"/>
      <c r="CVW45" s="125"/>
      <c r="CVX45" s="14"/>
      <c r="CVY45" s="10"/>
      <c r="CVZ45" s="125"/>
      <c r="CWA45" s="125"/>
      <c r="CWB45" s="14"/>
      <c r="CWC45" s="15"/>
      <c r="CWD45" s="125"/>
      <c r="CWE45" s="125"/>
      <c r="CWF45" s="14"/>
      <c r="CWG45" s="15"/>
      <c r="CWH45" s="125"/>
      <c r="CWI45" s="125"/>
      <c r="CWJ45" s="14"/>
      <c r="CWK45" s="15"/>
      <c r="CWL45" s="125"/>
      <c r="CWM45" s="125"/>
      <c r="CWN45" s="14"/>
      <c r="CWO45" s="10"/>
      <c r="CWP45" s="125"/>
      <c r="CWQ45" s="125"/>
      <c r="CWR45" s="14"/>
      <c r="CWS45" s="15"/>
      <c r="CWT45" s="125"/>
      <c r="CWU45" s="125"/>
      <c r="CWV45" s="14"/>
      <c r="CWW45" s="15"/>
      <c r="CWX45" s="125"/>
      <c r="CWY45" s="125"/>
      <c r="CWZ45" s="14"/>
      <c r="CXA45" s="15"/>
      <c r="CXB45" s="125"/>
      <c r="CXC45" s="125"/>
      <c r="CXD45" s="14"/>
      <c r="CXE45" s="10"/>
      <c r="CXF45" s="125"/>
      <c r="CXG45" s="125"/>
      <c r="CXH45" s="14"/>
      <c r="CXI45" s="15"/>
      <c r="CXJ45" s="125"/>
      <c r="CXK45" s="125"/>
      <c r="CXL45" s="14"/>
      <c r="CXM45" s="15"/>
      <c r="CXN45" s="125"/>
      <c r="CXO45" s="125"/>
      <c r="CXP45" s="14"/>
      <c r="CXQ45" s="15"/>
      <c r="CXR45" s="125"/>
      <c r="CXS45" s="125"/>
      <c r="CXT45" s="14"/>
      <c r="CXU45" s="10"/>
      <c r="CXV45" s="125"/>
      <c r="CXW45" s="125"/>
      <c r="CXX45" s="14"/>
      <c r="CXY45" s="15"/>
      <c r="CXZ45" s="125"/>
      <c r="CYA45" s="125"/>
      <c r="CYB45" s="14"/>
      <c r="CYC45" s="15"/>
      <c r="CYD45" s="125"/>
      <c r="CYE45" s="125"/>
      <c r="CYF45" s="14"/>
      <c r="CYG45" s="15"/>
      <c r="CYH45" s="125"/>
      <c r="CYI45" s="125"/>
      <c r="CYJ45" s="14"/>
      <c r="CYK45" s="10"/>
      <c r="CYL45" s="125"/>
      <c r="CYM45" s="125"/>
      <c r="CYN45" s="14"/>
      <c r="CYO45" s="15"/>
      <c r="CYP45" s="125"/>
      <c r="CYQ45" s="125"/>
      <c r="CYR45" s="14"/>
      <c r="CYS45" s="15"/>
      <c r="CYT45" s="125"/>
      <c r="CYU45" s="125"/>
      <c r="CYV45" s="14"/>
      <c r="CYW45" s="15"/>
      <c r="CYX45" s="125"/>
      <c r="CYY45" s="125"/>
      <c r="CYZ45" s="14"/>
      <c r="CZA45" s="10"/>
      <c r="CZB45" s="125"/>
      <c r="CZC45" s="125"/>
      <c r="CZD45" s="14"/>
      <c r="CZE45" s="15"/>
      <c r="CZF45" s="125"/>
      <c r="CZG45" s="125"/>
      <c r="CZH45" s="14"/>
      <c r="CZI45" s="15"/>
      <c r="CZJ45" s="125"/>
      <c r="CZK45" s="125"/>
      <c r="CZL45" s="14"/>
      <c r="CZM45" s="15"/>
      <c r="CZN45" s="125"/>
      <c r="CZO45" s="125"/>
      <c r="CZP45" s="14"/>
      <c r="CZQ45" s="10"/>
      <c r="CZR45" s="125"/>
      <c r="CZS45" s="125"/>
      <c r="CZT45" s="14"/>
      <c r="CZU45" s="15"/>
      <c r="CZV45" s="125"/>
      <c r="CZW45" s="125"/>
      <c r="CZX45" s="14"/>
      <c r="CZY45" s="15"/>
      <c r="CZZ45" s="125"/>
      <c r="DAA45" s="125"/>
      <c r="DAB45" s="14"/>
      <c r="DAC45" s="15"/>
      <c r="DAD45" s="125"/>
      <c r="DAE45" s="125"/>
      <c r="DAF45" s="14"/>
      <c r="DAG45" s="10"/>
      <c r="DAH45" s="125"/>
      <c r="DAI45" s="125"/>
      <c r="DAJ45" s="14"/>
      <c r="DAK45" s="15"/>
      <c r="DAL45" s="125"/>
      <c r="DAM45" s="125"/>
      <c r="DAN45" s="14"/>
      <c r="DAO45" s="15"/>
      <c r="DAP45" s="125"/>
      <c r="DAQ45" s="125"/>
      <c r="DAR45" s="14"/>
      <c r="DAS45" s="15"/>
      <c r="DAT45" s="125"/>
      <c r="DAU45" s="125"/>
      <c r="DAV45" s="14"/>
      <c r="DAW45" s="10"/>
      <c r="DAX45" s="125"/>
      <c r="DAY45" s="125"/>
      <c r="DAZ45" s="14"/>
      <c r="DBA45" s="15"/>
      <c r="DBB45" s="125"/>
      <c r="DBC45" s="125"/>
      <c r="DBD45" s="14"/>
      <c r="DBE45" s="15"/>
      <c r="DBF45" s="125"/>
      <c r="DBG45" s="125"/>
      <c r="DBH45" s="14"/>
      <c r="DBI45" s="15"/>
      <c r="DBJ45" s="125"/>
      <c r="DBK45" s="125"/>
      <c r="DBL45" s="14"/>
      <c r="DBM45" s="10"/>
      <c r="DBN45" s="125"/>
      <c r="DBO45" s="125"/>
      <c r="DBP45" s="14"/>
      <c r="DBQ45" s="15"/>
      <c r="DBR45" s="125"/>
      <c r="DBS45" s="125"/>
      <c r="DBT45" s="14"/>
      <c r="DBU45" s="15"/>
      <c r="DBV45" s="125"/>
      <c r="DBW45" s="125"/>
      <c r="DBX45" s="14"/>
      <c r="DBY45" s="15"/>
      <c r="DBZ45" s="125"/>
      <c r="DCA45" s="125"/>
      <c r="DCB45" s="14"/>
      <c r="DCC45" s="10"/>
      <c r="DCD45" s="125"/>
      <c r="DCE45" s="125"/>
      <c r="DCF45" s="14"/>
      <c r="DCG45" s="15"/>
      <c r="DCH45" s="125"/>
      <c r="DCI45" s="125"/>
      <c r="DCJ45" s="14"/>
      <c r="DCK45" s="15"/>
      <c r="DCL45" s="125"/>
      <c r="DCM45" s="125"/>
      <c r="DCN45" s="14"/>
      <c r="DCO45" s="15"/>
      <c r="DCP45" s="125"/>
      <c r="DCQ45" s="125"/>
      <c r="DCR45" s="14"/>
      <c r="DCS45" s="10"/>
      <c r="DCT45" s="125"/>
      <c r="DCU45" s="125"/>
      <c r="DCV45" s="14"/>
      <c r="DCW45" s="15"/>
      <c r="DCX45" s="125"/>
      <c r="DCY45" s="125"/>
      <c r="DCZ45" s="14"/>
      <c r="DDA45" s="15"/>
      <c r="DDB45" s="125"/>
      <c r="DDC45" s="125"/>
      <c r="DDD45" s="14"/>
      <c r="DDE45" s="15"/>
      <c r="DDF45" s="125"/>
      <c r="DDG45" s="125"/>
      <c r="DDH45" s="14"/>
      <c r="DDI45" s="10"/>
      <c r="DDJ45" s="125"/>
      <c r="DDK45" s="125"/>
      <c r="DDL45" s="14"/>
      <c r="DDM45" s="15"/>
      <c r="DDN45" s="125"/>
      <c r="DDO45" s="125"/>
      <c r="DDP45" s="14"/>
      <c r="DDQ45" s="15"/>
      <c r="DDR45" s="125"/>
      <c r="DDS45" s="125"/>
      <c r="DDT45" s="14"/>
      <c r="DDU45" s="15"/>
      <c r="DDV45" s="125"/>
      <c r="DDW45" s="125"/>
      <c r="DDX45" s="14"/>
      <c r="DDY45" s="10"/>
      <c r="DDZ45" s="125"/>
      <c r="DEA45" s="125"/>
      <c r="DEB45" s="14"/>
      <c r="DEC45" s="15"/>
      <c r="DED45" s="125"/>
      <c r="DEE45" s="125"/>
      <c r="DEF45" s="14"/>
      <c r="DEG45" s="15"/>
      <c r="DEH45" s="125"/>
      <c r="DEI45" s="125"/>
      <c r="DEJ45" s="14"/>
      <c r="DEK45" s="15"/>
      <c r="DEL45" s="125"/>
      <c r="DEM45" s="125"/>
      <c r="DEN45" s="14"/>
      <c r="DEO45" s="10"/>
      <c r="DEP45" s="125"/>
      <c r="DEQ45" s="125"/>
      <c r="DER45" s="14"/>
      <c r="DES45" s="15"/>
      <c r="DET45" s="125"/>
      <c r="DEU45" s="125"/>
      <c r="DEV45" s="14"/>
      <c r="DEW45" s="15"/>
      <c r="DEX45" s="125"/>
      <c r="DEY45" s="125"/>
      <c r="DEZ45" s="14"/>
      <c r="DFA45" s="15"/>
      <c r="DFB45" s="125"/>
      <c r="DFC45" s="125"/>
      <c r="DFD45" s="14"/>
      <c r="DFE45" s="10"/>
      <c r="DFF45" s="125"/>
      <c r="DFG45" s="125"/>
      <c r="DFH45" s="14"/>
      <c r="DFI45" s="15"/>
      <c r="DFJ45" s="125"/>
      <c r="DFK45" s="125"/>
      <c r="DFL45" s="14"/>
      <c r="DFM45" s="15"/>
      <c r="DFN45" s="125"/>
      <c r="DFO45" s="125"/>
      <c r="DFP45" s="14"/>
      <c r="DFQ45" s="15"/>
      <c r="DFR45" s="125"/>
      <c r="DFS45" s="125"/>
      <c r="DFT45" s="14"/>
      <c r="DFU45" s="10"/>
      <c r="DFV45" s="125"/>
      <c r="DFW45" s="125"/>
      <c r="DFX45" s="14"/>
      <c r="DFY45" s="15"/>
      <c r="DFZ45" s="125"/>
      <c r="DGA45" s="125"/>
      <c r="DGB45" s="14"/>
      <c r="DGC45" s="15"/>
      <c r="DGD45" s="125"/>
      <c r="DGE45" s="125"/>
      <c r="DGF45" s="14"/>
      <c r="DGG45" s="15"/>
      <c r="DGH45" s="125"/>
      <c r="DGI45" s="125"/>
      <c r="DGJ45" s="14"/>
      <c r="DGK45" s="10"/>
      <c r="DGL45" s="125"/>
      <c r="DGM45" s="125"/>
      <c r="DGN45" s="14"/>
      <c r="DGO45" s="15"/>
      <c r="DGP45" s="125"/>
      <c r="DGQ45" s="125"/>
      <c r="DGR45" s="14"/>
      <c r="DGS45" s="15"/>
      <c r="DGT45" s="125"/>
      <c r="DGU45" s="125"/>
      <c r="DGV45" s="14"/>
      <c r="DGW45" s="15"/>
      <c r="DGX45" s="125"/>
      <c r="DGY45" s="125"/>
      <c r="DGZ45" s="14"/>
      <c r="DHA45" s="10"/>
      <c r="DHB45" s="125"/>
      <c r="DHC45" s="125"/>
      <c r="DHD45" s="14"/>
      <c r="DHE45" s="15"/>
      <c r="DHF45" s="125"/>
      <c r="DHG45" s="125"/>
      <c r="DHH45" s="14"/>
      <c r="DHI45" s="15"/>
      <c r="DHJ45" s="125"/>
      <c r="DHK45" s="125"/>
      <c r="DHL45" s="14"/>
      <c r="DHM45" s="15"/>
      <c r="DHN45" s="125"/>
      <c r="DHO45" s="125"/>
      <c r="DHP45" s="14"/>
      <c r="DHQ45" s="10"/>
      <c r="DHR45" s="125"/>
      <c r="DHS45" s="125"/>
      <c r="DHT45" s="14"/>
      <c r="DHU45" s="15"/>
      <c r="DHV45" s="125"/>
      <c r="DHW45" s="125"/>
      <c r="DHX45" s="14"/>
      <c r="DHY45" s="15"/>
      <c r="DHZ45" s="125"/>
      <c r="DIA45" s="125"/>
      <c r="DIB45" s="14"/>
      <c r="DIC45" s="15"/>
      <c r="DID45" s="125"/>
      <c r="DIE45" s="125"/>
      <c r="DIF45" s="14"/>
      <c r="DIG45" s="10"/>
      <c r="DIH45" s="125"/>
      <c r="DII45" s="125"/>
      <c r="DIJ45" s="14"/>
      <c r="DIK45" s="15"/>
      <c r="DIL45" s="125"/>
      <c r="DIM45" s="125"/>
      <c r="DIN45" s="14"/>
      <c r="DIO45" s="15"/>
      <c r="DIP45" s="125"/>
      <c r="DIQ45" s="125"/>
      <c r="DIR45" s="14"/>
      <c r="DIS45" s="15"/>
      <c r="DIT45" s="125"/>
      <c r="DIU45" s="125"/>
      <c r="DIV45" s="14"/>
      <c r="DIW45" s="10"/>
      <c r="DIX45" s="125"/>
      <c r="DIY45" s="125"/>
      <c r="DIZ45" s="14"/>
      <c r="DJA45" s="15"/>
      <c r="DJB45" s="125"/>
      <c r="DJC45" s="125"/>
      <c r="DJD45" s="14"/>
      <c r="DJE45" s="15"/>
      <c r="DJF45" s="125"/>
      <c r="DJG45" s="125"/>
      <c r="DJH45" s="14"/>
      <c r="DJI45" s="15"/>
      <c r="DJJ45" s="125"/>
      <c r="DJK45" s="125"/>
      <c r="DJL45" s="14"/>
      <c r="DJM45" s="10"/>
      <c r="DJN45" s="125"/>
      <c r="DJO45" s="125"/>
      <c r="DJP45" s="14"/>
      <c r="DJQ45" s="15"/>
      <c r="DJR45" s="125"/>
      <c r="DJS45" s="125"/>
      <c r="DJT45" s="14"/>
      <c r="DJU45" s="15"/>
      <c r="DJV45" s="125"/>
      <c r="DJW45" s="125"/>
      <c r="DJX45" s="14"/>
      <c r="DJY45" s="15"/>
      <c r="DJZ45" s="125"/>
      <c r="DKA45" s="125"/>
      <c r="DKB45" s="14"/>
      <c r="DKC45" s="10"/>
      <c r="DKD45" s="125"/>
      <c r="DKE45" s="125"/>
      <c r="DKF45" s="14"/>
      <c r="DKG45" s="15"/>
      <c r="DKH45" s="125"/>
      <c r="DKI45" s="125"/>
      <c r="DKJ45" s="14"/>
      <c r="DKK45" s="15"/>
      <c r="DKL45" s="125"/>
      <c r="DKM45" s="125"/>
      <c r="DKN45" s="14"/>
      <c r="DKO45" s="15"/>
      <c r="DKP45" s="125"/>
      <c r="DKQ45" s="125"/>
      <c r="DKR45" s="14"/>
      <c r="DKS45" s="10"/>
      <c r="DKT45" s="125"/>
      <c r="DKU45" s="125"/>
      <c r="DKV45" s="14"/>
      <c r="DKW45" s="15"/>
      <c r="DKX45" s="125"/>
      <c r="DKY45" s="125"/>
      <c r="DKZ45" s="14"/>
      <c r="DLA45" s="15"/>
      <c r="DLB45" s="125"/>
      <c r="DLC45" s="125"/>
      <c r="DLD45" s="14"/>
      <c r="DLE45" s="15"/>
      <c r="DLF45" s="125"/>
      <c r="DLG45" s="125"/>
      <c r="DLH45" s="14"/>
      <c r="DLI45" s="10"/>
      <c r="DLJ45" s="125"/>
      <c r="DLK45" s="125"/>
      <c r="DLL45" s="14"/>
      <c r="DLM45" s="15"/>
      <c r="DLN45" s="125"/>
      <c r="DLO45" s="125"/>
      <c r="DLP45" s="14"/>
      <c r="DLQ45" s="15"/>
      <c r="DLR45" s="125"/>
      <c r="DLS45" s="125"/>
      <c r="DLT45" s="14"/>
      <c r="DLU45" s="15"/>
      <c r="DLV45" s="125"/>
      <c r="DLW45" s="125"/>
      <c r="DLX45" s="14"/>
      <c r="DLY45" s="10"/>
      <c r="DLZ45" s="125"/>
      <c r="DMA45" s="125"/>
      <c r="DMB45" s="14"/>
      <c r="DMC45" s="15"/>
      <c r="DMD45" s="125"/>
      <c r="DME45" s="125"/>
      <c r="DMF45" s="14"/>
      <c r="DMG45" s="15"/>
      <c r="DMH45" s="125"/>
      <c r="DMI45" s="125"/>
      <c r="DMJ45" s="14"/>
      <c r="DMK45" s="15"/>
      <c r="DML45" s="125"/>
      <c r="DMM45" s="125"/>
      <c r="DMN45" s="14"/>
      <c r="DMO45" s="10"/>
      <c r="DMP45" s="125"/>
      <c r="DMQ45" s="125"/>
      <c r="DMR45" s="14"/>
      <c r="DMS45" s="15"/>
      <c r="DMT45" s="125"/>
      <c r="DMU45" s="125"/>
      <c r="DMV45" s="14"/>
      <c r="DMW45" s="15"/>
      <c r="DMX45" s="125"/>
      <c r="DMY45" s="125"/>
      <c r="DMZ45" s="14"/>
      <c r="DNA45" s="15"/>
      <c r="DNB45" s="125"/>
      <c r="DNC45" s="125"/>
      <c r="DND45" s="14"/>
      <c r="DNE45" s="10"/>
      <c r="DNF45" s="125"/>
      <c r="DNG45" s="125"/>
      <c r="DNH45" s="14"/>
      <c r="DNI45" s="15"/>
      <c r="DNJ45" s="125"/>
      <c r="DNK45" s="125"/>
      <c r="DNL45" s="14"/>
      <c r="DNM45" s="15"/>
      <c r="DNN45" s="125"/>
      <c r="DNO45" s="125"/>
      <c r="DNP45" s="14"/>
      <c r="DNQ45" s="15"/>
      <c r="DNR45" s="125"/>
      <c r="DNS45" s="125"/>
      <c r="DNT45" s="14"/>
      <c r="DNU45" s="10"/>
      <c r="DNV45" s="125"/>
      <c r="DNW45" s="125"/>
      <c r="DNX45" s="14"/>
      <c r="DNY45" s="15"/>
      <c r="DNZ45" s="125"/>
      <c r="DOA45" s="125"/>
      <c r="DOB45" s="14"/>
      <c r="DOC45" s="15"/>
      <c r="DOD45" s="125"/>
      <c r="DOE45" s="125"/>
      <c r="DOF45" s="14"/>
      <c r="DOG45" s="15"/>
      <c r="DOH45" s="125"/>
      <c r="DOI45" s="125"/>
      <c r="DOJ45" s="14"/>
      <c r="DOK45" s="10"/>
      <c r="DOL45" s="125"/>
      <c r="DOM45" s="125"/>
      <c r="DON45" s="14"/>
      <c r="DOO45" s="15"/>
      <c r="DOP45" s="125"/>
      <c r="DOQ45" s="125"/>
      <c r="DOR45" s="14"/>
      <c r="DOS45" s="15"/>
      <c r="DOT45" s="125"/>
      <c r="DOU45" s="125"/>
      <c r="DOV45" s="14"/>
      <c r="DOW45" s="15"/>
      <c r="DOX45" s="125"/>
      <c r="DOY45" s="125"/>
      <c r="DOZ45" s="14"/>
      <c r="DPA45" s="10"/>
      <c r="DPB45" s="125"/>
      <c r="DPC45" s="125"/>
      <c r="DPD45" s="14"/>
      <c r="DPE45" s="15"/>
      <c r="DPF45" s="125"/>
      <c r="DPG45" s="125"/>
      <c r="DPH45" s="14"/>
      <c r="DPI45" s="15"/>
      <c r="DPJ45" s="125"/>
      <c r="DPK45" s="125"/>
      <c r="DPL45" s="14"/>
      <c r="DPM45" s="15"/>
      <c r="DPN45" s="125"/>
      <c r="DPO45" s="125"/>
      <c r="DPP45" s="14"/>
      <c r="DPQ45" s="10"/>
      <c r="DPR45" s="125"/>
      <c r="DPS45" s="125"/>
      <c r="DPT45" s="14"/>
      <c r="DPU45" s="15"/>
      <c r="DPV45" s="125"/>
      <c r="DPW45" s="125"/>
      <c r="DPX45" s="14"/>
      <c r="DPY45" s="15"/>
      <c r="DPZ45" s="125"/>
      <c r="DQA45" s="125"/>
      <c r="DQB45" s="14"/>
      <c r="DQC45" s="15"/>
      <c r="DQD45" s="125"/>
      <c r="DQE45" s="125"/>
      <c r="DQF45" s="14"/>
      <c r="DQG45" s="10"/>
      <c r="DQH45" s="125"/>
      <c r="DQI45" s="125"/>
      <c r="DQJ45" s="14"/>
      <c r="DQK45" s="15"/>
      <c r="DQL45" s="125"/>
      <c r="DQM45" s="125"/>
      <c r="DQN45" s="14"/>
      <c r="DQO45" s="15"/>
      <c r="DQP45" s="125"/>
      <c r="DQQ45" s="125"/>
      <c r="DQR45" s="14"/>
      <c r="DQS45" s="15"/>
      <c r="DQT45" s="125"/>
      <c r="DQU45" s="125"/>
      <c r="DQV45" s="14"/>
      <c r="DQW45" s="10"/>
      <c r="DQX45" s="125"/>
      <c r="DQY45" s="125"/>
      <c r="DQZ45" s="14"/>
      <c r="DRA45" s="15"/>
      <c r="DRB45" s="125"/>
      <c r="DRC45" s="125"/>
      <c r="DRD45" s="14"/>
      <c r="DRE45" s="15"/>
      <c r="DRF45" s="125"/>
      <c r="DRG45" s="125"/>
      <c r="DRH45" s="14"/>
      <c r="DRI45" s="15"/>
      <c r="DRJ45" s="125"/>
      <c r="DRK45" s="125"/>
      <c r="DRL45" s="14"/>
      <c r="DRM45" s="10"/>
      <c r="DRN45" s="125"/>
      <c r="DRO45" s="125"/>
      <c r="DRP45" s="14"/>
      <c r="DRQ45" s="15"/>
      <c r="DRR45" s="125"/>
      <c r="DRS45" s="125"/>
      <c r="DRT45" s="14"/>
      <c r="DRU45" s="15"/>
      <c r="DRV45" s="125"/>
      <c r="DRW45" s="125"/>
      <c r="DRX45" s="14"/>
      <c r="DRY45" s="15"/>
      <c r="DRZ45" s="125"/>
      <c r="DSA45" s="125"/>
      <c r="DSB45" s="14"/>
      <c r="DSC45" s="10"/>
      <c r="DSD45" s="125"/>
      <c r="DSE45" s="125"/>
      <c r="DSF45" s="14"/>
      <c r="DSG45" s="15"/>
      <c r="DSH45" s="125"/>
      <c r="DSI45" s="125"/>
      <c r="DSJ45" s="14"/>
      <c r="DSK45" s="15"/>
      <c r="DSL45" s="125"/>
      <c r="DSM45" s="125"/>
      <c r="DSN45" s="14"/>
      <c r="DSO45" s="15"/>
      <c r="DSP45" s="125"/>
      <c r="DSQ45" s="125"/>
      <c r="DSR45" s="14"/>
      <c r="DSS45" s="10"/>
      <c r="DST45" s="125"/>
      <c r="DSU45" s="125"/>
      <c r="DSV45" s="14"/>
      <c r="DSW45" s="15"/>
      <c r="DSX45" s="125"/>
      <c r="DSY45" s="125"/>
      <c r="DSZ45" s="14"/>
      <c r="DTA45" s="15"/>
      <c r="DTB45" s="125"/>
      <c r="DTC45" s="125"/>
      <c r="DTD45" s="14"/>
      <c r="DTE45" s="15"/>
      <c r="DTF45" s="125"/>
      <c r="DTG45" s="125"/>
      <c r="DTH45" s="14"/>
      <c r="DTI45" s="10"/>
      <c r="DTJ45" s="125"/>
      <c r="DTK45" s="125"/>
      <c r="DTL45" s="14"/>
      <c r="DTM45" s="15"/>
      <c r="DTN45" s="125"/>
      <c r="DTO45" s="125"/>
      <c r="DTP45" s="14"/>
      <c r="DTQ45" s="15"/>
      <c r="DTR45" s="125"/>
      <c r="DTS45" s="125"/>
      <c r="DTT45" s="14"/>
      <c r="DTU45" s="15"/>
      <c r="DTV45" s="125"/>
      <c r="DTW45" s="125"/>
      <c r="DTX45" s="14"/>
      <c r="DTY45" s="10"/>
      <c r="DTZ45" s="125"/>
      <c r="DUA45" s="125"/>
      <c r="DUB45" s="14"/>
      <c r="DUC45" s="15"/>
      <c r="DUD45" s="125"/>
      <c r="DUE45" s="125"/>
      <c r="DUF45" s="14"/>
      <c r="DUG45" s="15"/>
      <c r="DUH45" s="125"/>
      <c r="DUI45" s="125"/>
      <c r="DUJ45" s="14"/>
      <c r="DUK45" s="15"/>
      <c r="DUL45" s="125"/>
      <c r="DUM45" s="125"/>
      <c r="DUN45" s="14"/>
      <c r="DUO45" s="10"/>
      <c r="DUP45" s="125"/>
      <c r="DUQ45" s="125"/>
      <c r="DUR45" s="14"/>
      <c r="DUS45" s="15"/>
      <c r="DUT45" s="125"/>
      <c r="DUU45" s="125"/>
      <c r="DUV45" s="14"/>
      <c r="DUW45" s="15"/>
      <c r="DUX45" s="125"/>
      <c r="DUY45" s="125"/>
      <c r="DUZ45" s="14"/>
      <c r="DVA45" s="15"/>
      <c r="DVB45" s="125"/>
      <c r="DVC45" s="125"/>
      <c r="DVD45" s="14"/>
      <c r="DVE45" s="10"/>
      <c r="DVF45" s="125"/>
      <c r="DVG45" s="125"/>
      <c r="DVH45" s="14"/>
      <c r="DVI45" s="15"/>
      <c r="DVJ45" s="125"/>
      <c r="DVK45" s="125"/>
      <c r="DVL45" s="14"/>
      <c r="DVM45" s="15"/>
      <c r="DVN45" s="125"/>
      <c r="DVO45" s="125"/>
      <c r="DVP45" s="14"/>
      <c r="DVQ45" s="15"/>
      <c r="DVR45" s="125"/>
      <c r="DVS45" s="125"/>
      <c r="DVT45" s="14"/>
      <c r="DVU45" s="10"/>
      <c r="DVV45" s="125"/>
      <c r="DVW45" s="125"/>
      <c r="DVX45" s="14"/>
      <c r="DVY45" s="15"/>
      <c r="DVZ45" s="125"/>
      <c r="DWA45" s="125"/>
      <c r="DWB45" s="14"/>
      <c r="DWC45" s="15"/>
      <c r="DWD45" s="125"/>
      <c r="DWE45" s="125"/>
      <c r="DWF45" s="14"/>
      <c r="DWG45" s="15"/>
      <c r="DWH45" s="125"/>
      <c r="DWI45" s="125"/>
      <c r="DWJ45" s="14"/>
      <c r="DWK45" s="10"/>
      <c r="DWL45" s="125"/>
      <c r="DWM45" s="125"/>
      <c r="DWN45" s="14"/>
      <c r="DWO45" s="15"/>
      <c r="DWP45" s="125"/>
      <c r="DWQ45" s="125"/>
      <c r="DWR45" s="14"/>
      <c r="DWS45" s="15"/>
      <c r="DWT45" s="125"/>
      <c r="DWU45" s="125"/>
      <c r="DWV45" s="14"/>
      <c r="DWW45" s="15"/>
      <c r="DWX45" s="125"/>
      <c r="DWY45" s="125"/>
      <c r="DWZ45" s="14"/>
      <c r="DXA45" s="10"/>
      <c r="DXB45" s="125"/>
      <c r="DXC45" s="125"/>
      <c r="DXD45" s="14"/>
      <c r="DXE45" s="15"/>
      <c r="DXF45" s="125"/>
      <c r="DXG45" s="125"/>
      <c r="DXH45" s="14"/>
      <c r="DXI45" s="15"/>
      <c r="DXJ45" s="125"/>
      <c r="DXK45" s="125"/>
      <c r="DXL45" s="14"/>
      <c r="DXM45" s="15"/>
      <c r="DXN45" s="125"/>
      <c r="DXO45" s="125"/>
      <c r="DXP45" s="14"/>
      <c r="DXQ45" s="10"/>
      <c r="DXR45" s="125"/>
      <c r="DXS45" s="125"/>
      <c r="DXT45" s="14"/>
      <c r="DXU45" s="15"/>
      <c r="DXV45" s="125"/>
      <c r="DXW45" s="125"/>
      <c r="DXX45" s="14"/>
      <c r="DXY45" s="15"/>
      <c r="DXZ45" s="125"/>
      <c r="DYA45" s="125"/>
      <c r="DYB45" s="14"/>
      <c r="DYC45" s="15"/>
      <c r="DYD45" s="125"/>
      <c r="DYE45" s="125"/>
      <c r="DYF45" s="14"/>
      <c r="DYG45" s="10"/>
      <c r="DYH45" s="125"/>
      <c r="DYI45" s="125"/>
      <c r="DYJ45" s="14"/>
      <c r="DYK45" s="15"/>
      <c r="DYL45" s="125"/>
      <c r="DYM45" s="125"/>
      <c r="DYN45" s="14"/>
      <c r="DYO45" s="15"/>
      <c r="DYP45" s="125"/>
      <c r="DYQ45" s="125"/>
      <c r="DYR45" s="14"/>
      <c r="DYS45" s="15"/>
      <c r="DYT45" s="125"/>
      <c r="DYU45" s="125"/>
      <c r="DYV45" s="14"/>
      <c r="DYW45" s="10"/>
      <c r="DYX45" s="125"/>
      <c r="DYY45" s="125"/>
      <c r="DYZ45" s="14"/>
      <c r="DZA45" s="15"/>
      <c r="DZB45" s="125"/>
      <c r="DZC45" s="125"/>
      <c r="DZD45" s="14"/>
      <c r="DZE45" s="15"/>
      <c r="DZF45" s="125"/>
      <c r="DZG45" s="125"/>
      <c r="DZH45" s="14"/>
      <c r="DZI45" s="15"/>
      <c r="DZJ45" s="125"/>
      <c r="DZK45" s="125"/>
      <c r="DZL45" s="14"/>
      <c r="DZM45" s="10"/>
      <c r="DZN45" s="125"/>
      <c r="DZO45" s="125"/>
      <c r="DZP45" s="14"/>
      <c r="DZQ45" s="15"/>
      <c r="DZR45" s="125"/>
      <c r="DZS45" s="125"/>
      <c r="DZT45" s="14"/>
      <c r="DZU45" s="15"/>
      <c r="DZV45" s="125"/>
      <c r="DZW45" s="125"/>
      <c r="DZX45" s="14"/>
      <c r="DZY45" s="15"/>
      <c r="DZZ45" s="125"/>
      <c r="EAA45" s="125"/>
      <c r="EAB45" s="14"/>
      <c r="EAC45" s="10"/>
      <c r="EAD45" s="125"/>
      <c r="EAE45" s="125"/>
      <c r="EAF45" s="14"/>
      <c r="EAG45" s="15"/>
      <c r="EAH45" s="125"/>
      <c r="EAI45" s="125"/>
      <c r="EAJ45" s="14"/>
      <c r="EAK45" s="15"/>
      <c r="EAL45" s="125"/>
      <c r="EAM45" s="125"/>
      <c r="EAN45" s="14"/>
      <c r="EAO45" s="15"/>
      <c r="EAP45" s="125"/>
      <c r="EAQ45" s="125"/>
      <c r="EAR45" s="14"/>
      <c r="EAS45" s="10"/>
      <c r="EAT45" s="125"/>
      <c r="EAU45" s="125"/>
      <c r="EAV45" s="14"/>
      <c r="EAW45" s="15"/>
      <c r="EAX45" s="125"/>
      <c r="EAY45" s="125"/>
      <c r="EAZ45" s="14"/>
      <c r="EBA45" s="15"/>
      <c r="EBB45" s="125"/>
      <c r="EBC45" s="125"/>
      <c r="EBD45" s="14"/>
      <c r="EBE45" s="15"/>
      <c r="EBF45" s="125"/>
      <c r="EBG45" s="125"/>
      <c r="EBH45" s="14"/>
      <c r="EBI45" s="10"/>
      <c r="EBJ45" s="125"/>
      <c r="EBK45" s="125"/>
      <c r="EBL45" s="14"/>
      <c r="EBM45" s="15"/>
      <c r="EBN45" s="125"/>
      <c r="EBO45" s="125"/>
      <c r="EBP45" s="14"/>
      <c r="EBQ45" s="15"/>
      <c r="EBR45" s="125"/>
      <c r="EBS45" s="125"/>
      <c r="EBT45" s="14"/>
      <c r="EBU45" s="15"/>
      <c r="EBV45" s="125"/>
      <c r="EBW45" s="125"/>
      <c r="EBX45" s="14"/>
      <c r="EBY45" s="10"/>
      <c r="EBZ45" s="125"/>
      <c r="ECA45" s="125"/>
      <c r="ECB45" s="14"/>
      <c r="ECC45" s="15"/>
      <c r="ECD45" s="125"/>
      <c r="ECE45" s="125"/>
      <c r="ECF45" s="14"/>
      <c r="ECG45" s="15"/>
      <c r="ECH45" s="125"/>
      <c r="ECI45" s="125"/>
      <c r="ECJ45" s="14"/>
      <c r="ECK45" s="15"/>
      <c r="ECL45" s="125"/>
      <c r="ECM45" s="125"/>
      <c r="ECN45" s="14"/>
      <c r="ECO45" s="10"/>
      <c r="ECP45" s="125"/>
      <c r="ECQ45" s="125"/>
      <c r="ECR45" s="14"/>
      <c r="ECS45" s="15"/>
      <c r="ECT45" s="125"/>
      <c r="ECU45" s="125"/>
      <c r="ECV45" s="14"/>
      <c r="ECW45" s="15"/>
      <c r="ECX45" s="125"/>
      <c r="ECY45" s="125"/>
      <c r="ECZ45" s="14"/>
      <c r="EDA45" s="15"/>
      <c r="EDB45" s="125"/>
      <c r="EDC45" s="125"/>
      <c r="EDD45" s="14"/>
      <c r="EDE45" s="10"/>
      <c r="EDF45" s="125"/>
      <c r="EDG45" s="125"/>
      <c r="EDH45" s="14"/>
      <c r="EDI45" s="15"/>
      <c r="EDJ45" s="125"/>
      <c r="EDK45" s="125"/>
      <c r="EDL45" s="14"/>
      <c r="EDM45" s="15"/>
      <c r="EDN45" s="125"/>
      <c r="EDO45" s="125"/>
      <c r="EDP45" s="14"/>
      <c r="EDQ45" s="15"/>
      <c r="EDR45" s="125"/>
      <c r="EDS45" s="125"/>
      <c r="EDT45" s="14"/>
      <c r="EDU45" s="10"/>
      <c r="EDV45" s="125"/>
      <c r="EDW45" s="125"/>
      <c r="EDX45" s="14"/>
      <c r="EDY45" s="15"/>
      <c r="EDZ45" s="125"/>
      <c r="EEA45" s="125"/>
      <c r="EEB45" s="14"/>
      <c r="EEC45" s="15"/>
      <c r="EED45" s="125"/>
      <c r="EEE45" s="125"/>
      <c r="EEF45" s="14"/>
      <c r="EEG45" s="15"/>
      <c r="EEH45" s="125"/>
      <c r="EEI45" s="125"/>
      <c r="EEJ45" s="14"/>
      <c r="EEK45" s="10"/>
      <c r="EEL45" s="125"/>
      <c r="EEM45" s="125"/>
      <c r="EEN45" s="14"/>
      <c r="EEO45" s="15"/>
      <c r="EEP45" s="125"/>
      <c r="EEQ45" s="125"/>
      <c r="EER45" s="14"/>
      <c r="EES45" s="15"/>
      <c r="EET45" s="125"/>
      <c r="EEU45" s="125"/>
      <c r="EEV45" s="14"/>
      <c r="EEW45" s="15"/>
      <c r="EEX45" s="125"/>
      <c r="EEY45" s="125"/>
      <c r="EEZ45" s="14"/>
      <c r="EFA45" s="10"/>
      <c r="EFB45" s="125"/>
      <c r="EFC45" s="125"/>
      <c r="EFD45" s="14"/>
      <c r="EFE45" s="15"/>
      <c r="EFF45" s="125"/>
      <c r="EFG45" s="125"/>
      <c r="EFH45" s="14"/>
      <c r="EFI45" s="15"/>
      <c r="EFJ45" s="125"/>
      <c r="EFK45" s="125"/>
      <c r="EFL45" s="14"/>
      <c r="EFM45" s="15"/>
      <c r="EFN45" s="125"/>
      <c r="EFO45" s="125"/>
      <c r="EFP45" s="14"/>
      <c r="EFQ45" s="10"/>
      <c r="EFR45" s="125"/>
      <c r="EFS45" s="125"/>
      <c r="EFT45" s="14"/>
      <c r="EFU45" s="15"/>
      <c r="EFV45" s="125"/>
      <c r="EFW45" s="125"/>
      <c r="EFX45" s="14"/>
      <c r="EFY45" s="15"/>
      <c r="EFZ45" s="125"/>
      <c r="EGA45" s="125"/>
      <c r="EGB45" s="14"/>
      <c r="EGC45" s="15"/>
      <c r="EGD45" s="125"/>
      <c r="EGE45" s="125"/>
      <c r="EGF45" s="14"/>
      <c r="EGG45" s="10"/>
      <c r="EGH45" s="125"/>
      <c r="EGI45" s="125"/>
      <c r="EGJ45" s="14"/>
      <c r="EGK45" s="15"/>
      <c r="EGL45" s="125"/>
      <c r="EGM45" s="125"/>
      <c r="EGN45" s="14"/>
      <c r="EGO45" s="15"/>
      <c r="EGP45" s="125"/>
      <c r="EGQ45" s="125"/>
      <c r="EGR45" s="14"/>
      <c r="EGS45" s="15"/>
      <c r="EGT45" s="125"/>
      <c r="EGU45" s="125"/>
      <c r="EGV45" s="14"/>
      <c r="EGW45" s="10"/>
      <c r="EGX45" s="125"/>
      <c r="EGY45" s="125"/>
      <c r="EGZ45" s="14"/>
      <c r="EHA45" s="15"/>
      <c r="EHB45" s="125"/>
      <c r="EHC45" s="125"/>
      <c r="EHD45" s="14"/>
      <c r="EHE45" s="15"/>
      <c r="EHF45" s="125"/>
      <c r="EHG45" s="125"/>
      <c r="EHH45" s="14"/>
      <c r="EHI45" s="15"/>
      <c r="EHJ45" s="125"/>
      <c r="EHK45" s="125"/>
      <c r="EHL45" s="14"/>
      <c r="EHM45" s="10"/>
      <c r="EHN45" s="125"/>
      <c r="EHO45" s="125"/>
      <c r="EHP45" s="14"/>
      <c r="EHQ45" s="15"/>
      <c r="EHR45" s="125"/>
      <c r="EHS45" s="125"/>
      <c r="EHT45" s="14"/>
      <c r="EHU45" s="15"/>
      <c r="EHV45" s="125"/>
      <c r="EHW45" s="125"/>
      <c r="EHX45" s="14"/>
      <c r="EHY45" s="15"/>
      <c r="EHZ45" s="125"/>
      <c r="EIA45" s="125"/>
      <c r="EIB45" s="14"/>
      <c r="EIC45" s="10"/>
      <c r="EID45" s="125"/>
      <c r="EIE45" s="125"/>
      <c r="EIF45" s="14"/>
      <c r="EIG45" s="15"/>
      <c r="EIH45" s="125"/>
      <c r="EII45" s="125"/>
      <c r="EIJ45" s="14"/>
      <c r="EIK45" s="15"/>
      <c r="EIL45" s="125"/>
      <c r="EIM45" s="125"/>
      <c r="EIN45" s="14"/>
      <c r="EIO45" s="15"/>
      <c r="EIP45" s="125"/>
      <c r="EIQ45" s="125"/>
      <c r="EIR45" s="14"/>
      <c r="EIS45" s="10"/>
      <c r="EIT45" s="125"/>
      <c r="EIU45" s="125"/>
      <c r="EIV45" s="14"/>
      <c r="EIW45" s="15"/>
      <c r="EIX45" s="125"/>
      <c r="EIY45" s="125"/>
      <c r="EIZ45" s="14"/>
      <c r="EJA45" s="15"/>
      <c r="EJB45" s="125"/>
      <c r="EJC45" s="125"/>
      <c r="EJD45" s="14"/>
      <c r="EJE45" s="15"/>
      <c r="EJF45" s="125"/>
      <c r="EJG45" s="125"/>
      <c r="EJH45" s="14"/>
      <c r="EJI45" s="10"/>
      <c r="EJJ45" s="125"/>
      <c r="EJK45" s="125"/>
      <c r="EJL45" s="14"/>
      <c r="EJM45" s="15"/>
      <c r="EJN45" s="125"/>
      <c r="EJO45" s="125"/>
      <c r="EJP45" s="14"/>
      <c r="EJQ45" s="15"/>
      <c r="EJR45" s="125"/>
      <c r="EJS45" s="125"/>
      <c r="EJT45" s="14"/>
      <c r="EJU45" s="15"/>
      <c r="EJV45" s="125"/>
      <c r="EJW45" s="125"/>
      <c r="EJX45" s="14"/>
      <c r="EJY45" s="10"/>
      <c r="EJZ45" s="125"/>
      <c r="EKA45" s="125"/>
      <c r="EKB45" s="14"/>
      <c r="EKC45" s="15"/>
      <c r="EKD45" s="125"/>
      <c r="EKE45" s="125"/>
      <c r="EKF45" s="14"/>
      <c r="EKG45" s="15"/>
      <c r="EKH45" s="125"/>
      <c r="EKI45" s="125"/>
      <c r="EKJ45" s="14"/>
      <c r="EKK45" s="15"/>
      <c r="EKL45" s="125"/>
      <c r="EKM45" s="125"/>
      <c r="EKN45" s="14"/>
      <c r="EKO45" s="10"/>
      <c r="EKP45" s="125"/>
      <c r="EKQ45" s="125"/>
      <c r="EKR45" s="14"/>
      <c r="EKS45" s="15"/>
      <c r="EKT45" s="125"/>
      <c r="EKU45" s="125"/>
      <c r="EKV45" s="14"/>
      <c r="EKW45" s="15"/>
      <c r="EKX45" s="125"/>
      <c r="EKY45" s="125"/>
      <c r="EKZ45" s="14"/>
      <c r="ELA45" s="15"/>
      <c r="ELB45" s="125"/>
      <c r="ELC45" s="125"/>
      <c r="ELD45" s="14"/>
      <c r="ELE45" s="10"/>
      <c r="ELF45" s="125"/>
      <c r="ELG45" s="125"/>
      <c r="ELH45" s="14"/>
      <c r="ELI45" s="15"/>
      <c r="ELJ45" s="125"/>
      <c r="ELK45" s="125"/>
      <c r="ELL45" s="14"/>
      <c r="ELM45" s="15"/>
      <c r="ELN45" s="125"/>
      <c r="ELO45" s="125"/>
      <c r="ELP45" s="14"/>
      <c r="ELQ45" s="15"/>
      <c r="ELR45" s="125"/>
      <c r="ELS45" s="125"/>
      <c r="ELT45" s="14"/>
      <c r="ELU45" s="10"/>
      <c r="ELV45" s="125"/>
      <c r="ELW45" s="125"/>
      <c r="ELX45" s="14"/>
      <c r="ELY45" s="15"/>
      <c r="ELZ45" s="125"/>
      <c r="EMA45" s="125"/>
      <c r="EMB45" s="14"/>
      <c r="EMC45" s="15"/>
      <c r="EMD45" s="125"/>
      <c r="EME45" s="125"/>
      <c r="EMF45" s="14"/>
      <c r="EMG45" s="15"/>
      <c r="EMH45" s="125"/>
      <c r="EMI45" s="125"/>
      <c r="EMJ45" s="14"/>
      <c r="EMK45" s="10"/>
      <c r="EML45" s="125"/>
      <c r="EMM45" s="125"/>
      <c r="EMN45" s="14"/>
      <c r="EMO45" s="15"/>
      <c r="EMP45" s="125"/>
      <c r="EMQ45" s="125"/>
      <c r="EMR45" s="14"/>
      <c r="EMS45" s="15"/>
      <c r="EMT45" s="125"/>
      <c r="EMU45" s="125"/>
      <c r="EMV45" s="14"/>
      <c r="EMW45" s="15"/>
      <c r="EMX45" s="125"/>
      <c r="EMY45" s="125"/>
      <c r="EMZ45" s="14"/>
      <c r="ENA45" s="10"/>
      <c r="ENB45" s="125"/>
      <c r="ENC45" s="125"/>
      <c r="END45" s="14"/>
      <c r="ENE45" s="15"/>
      <c r="ENF45" s="125"/>
      <c r="ENG45" s="125"/>
      <c r="ENH45" s="14"/>
      <c r="ENI45" s="15"/>
      <c r="ENJ45" s="125"/>
      <c r="ENK45" s="125"/>
      <c r="ENL45" s="14"/>
      <c r="ENM45" s="15"/>
      <c r="ENN45" s="125"/>
      <c r="ENO45" s="125"/>
      <c r="ENP45" s="14"/>
      <c r="ENQ45" s="10"/>
      <c r="ENR45" s="125"/>
      <c r="ENS45" s="125"/>
      <c r="ENT45" s="14"/>
      <c r="ENU45" s="15"/>
      <c r="ENV45" s="125"/>
      <c r="ENW45" s="125"/>
      <c r="ENX45" s="14"/>
      <c r="ENY45" s="15"/>
      <c r="ENZ45" s="125"/>
      <c r="EOA45" s="125"/>
      <c r="EOB45" s="14"/>
      <c r="EOC45" s="15"/>
      <c r="EOD45" s="125"/>
      <c r="EOE45" s="125"/>
      <c r="EOF45" s="14"/>
      <c r="EOG45" s="10"/>
      <c r="EOH45" s="125"/>
      <c r="EOI45" s="125"/>
      <c r="EOJ45" s="14"/>
      <c r="EOK45" s="15"/>
      <c r="EOL45" s="125"/>
      <c r="EOM45" s="125"/>
      <c r="EON45" s="14"/>
      <c r="EOO45" s="15"/>
      <c r="EOP45" s="125"/>
      <c r="EOQ45" s="125"/>
      <c r="EOR45" s="14"/>
      <c r="EOS45" s="15"/>
      <c r="EOT45" s="125"/>
      <c r="EOU45" s="125"/>
      <c r="EOV45" s="14"/>
      <c r="EOW45" s="10"/>
      <c r="EOX45" s="125"/>
      <c r="EOY45" s="125"/>
      <c r="EOZ45" s="14"/>
      <c r="EPA45" s="15"/>
      <c r="EPB45" s="125"/>
      <c r="EPC45" s="125"/>
      <c r="EPD45" s="14"/>
      <c r="EPE45" s="15"/>
      <c r="EPF45" s="125"/>
      <c r="EPG45" s="125"/>
      <c r="EPH45" s="14"/>
      <c r="EPI45" s="15"/>
      <c r="EPJ45" s="125"/>
      <c r="EPK45" s="125"/>
      <c r="EPL45" s="14"/>
      <c r="EPM45" s="10"/>
      <c r="EPN45" s="125"/>
      <c r="EPO45" s="125"/>
      <c r="EPP45" s="14"/>
      <c r="EPQ45" s="15"/>
      <c r="EPR45" s="125"/>
      <c r="EPS45" s="125"/>
      <c r="EPT45" s="14"/>
      <c r="EPU45" s="15"/>
      <c r="EPV45" s="125"/>
      <c r="EPW45" s="125"/>
      <c r="EPX45" s="14"/>
      <c r="EPY45" s="15"/>
      <c r="EPZ45" s="125"/>
      <c r="EQA45" s="125"/>
      <c r="EQB45" s="14"/>
      <c r="EQC45" s="10"/>
      <c r="EQD45" s="125"/>
      <c r="EQE45" s="125"/>
      <c r="EQF45" s="14"/>
      <c r="EQG45" s="15"/>
      <c r="EQH45" s="125"/>
      <c r="EQI45" s="125"/>
      <c r="EQJ45" s="14"/>
      <c r="EQK45" s="15"/>
      <c r="EQL45" s="125"/>
      <c r="EQM45" s="125"/>
      <c r="EQN45" s="14"/>
      <c r="EQO45" s="15"/>
      <c r="EQP45" s="125"/>
      <c r="EQQ45" s="125"/>
      <c r="EQR45" s="14"/>
      <c r="EQS45" s="10"/>
      <c r="EQT45" s="125"/>
      <c r="EQU45" s="125"/>
      <c r="EQV45" s="14"/>
      <c r="EQW45" s="15"/>
      <c r="EQX45" s="125"/>
      <c r="EQY45" s="125"/>
      <c r="EQZ45" s="14"/>
      <c r="ERA45" s="15"/>
      <c r="ERB45" s="125"/>
      <c r="ERC45" s="125"/>
      <c r="ERD45" s="14"/>
      <c r="ERE45" s="15"/>
      <c r="ERF45" s="125"/>
      <c r="ERG45" s="125"/>
      <c r="ERH45" s="14"/>
      <c r="ERI45" s="10"/>
      <c r="ERJ45" s="125"/>
      <c r="ERK45" s="125"/>
      <c r="ERL45" s="14"/>
      <c r="ERM45" s="15"/>
      <c r="ERN45" s="125"/>
      <c r="ERO45" s="125"/>
      <c r="ERP45" s="14"/>
      <c r="ERQ45" s="15"/>
      <c r="ERR45" s="125"/>
      <c r="ERS45" s="125"/>
      <c r="ERT45" s="14"/>
      <c r="ERU45" s="15"/>
      <c r="ERV45" s="125"/>
      <c r="ERW45" s="125"/>
      <c r="ERX45" s="14"/>
      <c r="ERY45" s="10"/>
      <c r="ERZ45" s="125"/>
      <c r="ESA45" s="125"/>
      <c r="ESB45" s="14"/>
      <c r="ESC45" s="15"/>
      <c r="ESD45" s="125"/>
      <c r="ESE45" s="125"/>
      <c r="ESF45" s="14"/>
      <c r="ESG45" s="15"/>
      <c r="ESH45" s="125"/>
      <c r="ESI45" s="125"/>
      <c r="ESJ45" s="14"/>
      <c r="ESK45" s="15"/>
      <c r="ESL45" s="125"/>
      <c r="ESM45" s="125"/>
      <c r="ESN45" s="14"/>
      <c r="ESO45" s="10"/>
      <c r="ESP45" s="125"/>
      <c r="ESQ45" s="125"/>
      <c r="ESR45" s="14"/>
      <c r="ESS45" s="15"/>
      <c r="EST45" s="125"/>
      <c r="ESU45" s="125"/>
      <c r="ESV45" s="14"/>
      <c r="ESW45" s="15"/>
      <c r="ESX45" s="125"/>
      <c r="ESY45" s="125"/>
      <c r="ESZ45" s="14"/>
      <c r="ETA45" s="15"/>
      <c r="ETB45" s="125"/>
      <c r="ETC45" s="125"/>
      <c r="ETD45" s="14"/>
      <c r="ETE45" s="10"/>
      <c r="ETF45" s="125"/>
      <c r="ETG45" s="125"/>
      <c r="ETH45" s="14"/>
      <c r="ETI45" s="15"/>
      <c r="ETJ45" s="125"/>
      <c r="ETK45" s="125"/>
      <c r="ETL45" s="14"/>
      <c r="ETM45" s="15"/>
      <c r="ETN45" s="125"/>
      <c r="ETO45" s="125"/>
      <c r="ETP45" s="14"/>
      <c r="ETQ45" s="15"/>
      <c r="ETR45" s="125"/>
      <c r="ETS45" s="125"/>
      <c r="ETT45" s="14"/>
      <c r="ETU45" s="10"/>
      <c r="ETV45" s="125"/>
      <c r="ETW45" s="125"/>
      <c r="ETX45" s="14"/>
      <c r="ETY45" s="15"/>
      <c r="ETZ45" s="125"/>
      <c r="EUA45" s="125"/>
      <c r="EUB45" s="14"/>
      <c r="EUC45" s="15"/>
      <c r="EUD45" s="125"/>
      <c r="EUE45" s="125"/>
      <c r="EUF45" s="14"/>
      <c r="EUG45" s="15"/>
      <c r="EUH45" s="125"/>
      <c r="EUI45" s="125"/>
      <c r="EUJ45" s="14"/>
      <c r="EUK45" s="10"/>
      <c r="EUL45" s="125"/>
      <c r="EUM45" s="125"/>
      <c r="EUN45" s="14"/>
      <c r="EUO45" s="15"/>
      <c r="EUP45" s="125"/>
      <c r="EUQ45" s="125"/>
      <c r="EUR45" s="14"/>
      <c r="EUS45" s="15"/>
      <c r="EUT45" s="125"/>
      <c r="EUU45" s="125"/>
      <c r="EUV45" s="14"/>
      <c r="EUW45" s="15"/>
      <c r="EUX45" s="125"/>
      <c r="EUY45" s="125"/>
      <c r="EUZ45" s="14"/>
      <c r="EVA45" s="10"/>
      <c r="EVB45" s="125"/>
      <c r="EVC45" s="125"/>
      <c r="EVD45" s="14"/>
      <c r="EVE45" s="15"/>
      <c r="EVF45" s="125"/>
      <c r="EVG45" s="125"/>
      <c r="EVH45" s="14"/>
      <c r="EVI45" s="15"/>
      <c r="EVJ45" s="125"/>
      <c r="EVK45" s="125"/>
      <c r="EVL45" s="14"/>
      <c r="EVM45" s="15"/>
      <c r="EVN45" s="125"/>
      <c r="EVO45" s="125"/>
      <c r="EVP45" s="14"/>
      <c r="EVQ45" s="10"/>
      <c r="EVR45" s="125"/>
      <c r="EVS45" s="125"/>
      <c r="EVT45" s="14"/>
      <c r="EVU45" s="15"/>
      <c r="EVV45" s="125"/>
      <c r="EVW45" s="125"/>
      <c r="EVX45" s="14"/>
      <c r="EVY45" s="15"/>
      <c r="EVZ45" s="125"/>
      <c r="EWA45" s="125"/>
      <c r="EWB45" s="14"/>
      <c r="EWC45" s="15"/>
      <c r="EWD45" s="125"/>
      <c r="EWE45" s="125"/>
      <c r="EWF45" s="14"/>
      <c r="EWG45" s="10"/>
      <c r="EWH45" s="125"/>
      <c r="EWI45" s="125"/>
      <c r="EWJ45" s="14"/>
      <c r="EWK45" s="15"/>
      <c r="EWL45" s="125"/>
      <c r="EWM45" s="125"/>
      <c r="EWN45" s="14"/>
      <c r="EWO45" s="15"/>
      <c r="EWP45" s="125"/>
      <c r="EWQ45" s="125"/>
      <c r="EWR45" s="14"/>
      <c r="EWS45" s="15"/>
      <c r="EWT45" s="125"/>
      <c r="EWU45" s="125"/>
      <c r="EWV45" s="14"/>
      <c r="EWW45" s="10"/>
      <c r="EWX45" s="125"/>
      <c r="EWY45" s="125"/>
      <c r="EWZ45" s="14"/>
      <c r="EXA45" s="15"/>
      <c r="EXB45" s="125"/>
      <c r="EXC45" s="125"/>
      <c r="EXD45" s="14"/>
      <c r="EXE45" s="15"/>
      <c r="EXF45" s="125"/>
      <c r="EXG45" s="125"/>
      <c r="EXH45" s="14"/>
      <c r="EXI45" s="15"/>
      <c r="EXJ45" s="125"/>
      <c r="EXK45" s="125"/>
      <c r="EXL45" s="14"/>
      <c r="EXM45" s="10"/>
      <c r="EXN45" s="125"/>
      <c r="EXO45" s="125"/>
      <c r="EXP45" s="14"/>
      <c r="EXQ45" s="15"/>
      <c r="EXR45" s="125"/>
      <c r="EXS45" s="125"/>
      <c r="EXT45" s="14"/>
      <c r="EXU45" s="15"/>
      <c r="EXV45" s="125"/>
      <c r="EXW45" s="125"/>
      <c r="EXX45" s="14"/>
      <c r="EXY45" s="15"/>
      <c r="EXZ45" s="125"/>
      <c r="EYA45" s="125"/>
      <c r="EYB45" s="14"/>
      <c r="EYC45" s="10"/>
      <c r="EYD45" s="125"/>
      <c r="EYE45" s="125"/>
      <c r="EYF45" s="14"/>
      <c r="EYG45" s="15"/>
      <c r="EYH45" s="125"/>
      <c r="EYI45" s="125"/>
      <c r="EYJ45" s="14"/>
      <c r="EYK45" s="15"/>
      <c r="EYL45" s="125"/>
      <c r="EYM45" s="125"/>
      <c r="EYN45" s="14"/>
      <c r="EYO45" s="15"/>
      <c r="EYP45" s="125"/>
      <c r="EYQ45" s="125"/>
      <c r="EYR45" s="14"/>
      <c r="EYS45" s="10"/>
      <c r="EYT45" s="125"/>
      <c r="EYU45" s="125"/>
      <c r="EYV45" s="14"/>
      <c r="EYW45" s="15"/>
      <c r="EYX45" s="125"/>
      <c r="EYY45" s="125"/>
      <c r="EYZ45" s="14"/>
      <c r="EZA45" s="15"/>
      <c r="EZB45" s="125"/>
      <c r="EZC45" s="125"/>
      <c r="EZD45" s="14"/>
      <c r="EZE45" s="15"/>
      <c r="EZF45" s="125"/>
      <c r="EZG45" s="125"/>
      <c r="EZH45" s="14"/>
      <c r="EZI45" s="10"/>
      <c r="EZJ45" s="125"/>
      <c r="EZK45" s="125"/>
      <c r="EZL45" s="14"/>
      <c r="EZM45" s="15"/>
      <c r="EZN45" s="125"/>
      <c r="EZO45" s="125"/>
      <c r="EZP45" s="14"/>
      <c r="EZQ45" s="15"/>
      <c r="EZR45" s="125"/>
      <c r="EZS45" s="125"/>
      <c r="EZT45" s="14"/>
      <c r="EZU45" s="15"/>
      <c r="EZV45" s="125"/>
      <c r="EZW45" s="125"/>
      <c r="EZX45" s="14"/>
      <c r="EZY45" s="10"/>
      <c r="EZZ45" s="125"/>
      <c r="FAA45" s="125"/>
      <c r="FAB45" s="14"/>
      <c r="FAC45" s="15"/>
      <c r="FAD45" s="125"/>
      <c r="FAE45" s="125"/>
      <c r="FAF45" s="14"/>
      <c r="FAG45" s="15"/>
      <c r="FAH45" s="125"/>
      <c r="FAI45" s="125"/>
      <c r="FAJ45" s="14"/>
      <c r="FAK45" s="15"/>
      <c r="FAL45" s="125"/>
      <c r="FAM45" s="125"/>
      <c r="FAN45" s="14"/>
      <c r="FAO45" s="10"/>
      <c r="FAP45" s="125"/>
      <c r="FAQ45" s="125"/>
      <c r="FAR45" s="14"/>
      <c r="FAS45" s="15"/>
      <c r="FAT45" s="125"/>
      <c r="FAU45" s="125"/>
      <c r="FAV45" s="14"/>
      <c r="FAW45" s="15"/>
      <c r="FAX45" s="125"/>
      <c r="FAY45" s="125"/>
      <c r="FAZ45" s="14"/>
      <c r="FBA45" s="15"/>
      <c r="FBB45" s="125"/>
      <c r="FBC45" s="125"/>
      <c r="FBD45" s="14"/>
      <c r="FBE45" s="10"/>
      <c r="FBF45" s="125"/>
      <c r="FBG45" s="125"/>
      <c r="FBH45" s="14"/>
      <c r="FBI45" s="15"/>
      <c r="FBJ45" s="125"/>
      <c r="FBK45" s="125"/>
      <c r="FBL45" s="14"/>
      <c r="FBM45" s="15"/>
      <c r="FBN45" s="125"/>
      <c r="FBO45" s="125"/>
      <c r="FBP45" s="14"/>
      <c r="FBQ45" s="15"/>
      <c r="FBR45" s="125"/>
      <c r="FBS45" s="125"/>
      <c r="FBT45" s="14"/>
      <c r="FBU45" s="10"/>
      <c r="FBV45" s="125"/>
      <c r="FBW45" s="125"/>
      <c r="FBX45" s="14"/>
      <c r="FBY45" s="15"/>
      <c r="FBZ45" s="125"/>
      <c r="FCA45" s="125"/>
      <c r="FCB45" s="14"/>
      <c r="FCC45" s="15"/>
      <c r="FCD45" s="125"/>
      <c r="FCE45" s="125"/>
      <c r="FCF45" s="14"/>
      <c r="FCG45" s="15"/>
      <c r="FCH45" s="125"/>
      <c r="FCI45" s="125"/>
      <c r="FCJ45" s="14"/>
      <c r="FCK45" s="10"/>
      <c r="FCL45" s="125"/>
      <c r="FCM45" s="125"/>
      <c r="FCN45" s="14"/>
      <c r="FCO45" s="15"/>
      <c r="FCP45" s="125"/>
      <c r="FCQ45" s="125"/>
      <c r="FCR45" s="14"/>
      <c r="FCS45" s="15"/>
      <c r="FCT45" s="125"/>
      <c r="FCU45" s="125"/>
      <c r="FCV45" s="14"/>
      <c r="FCW45" s="15"/>
      <c r="FCX45" s="125"/>
      <c r="FCY45" s="125"/>
      <c r="FCZ45" s="14"/>
      <c r="FDA45" s="10"/>
      <c r="FDB45" s="125"/>
      <c r="FDC45" s="125"/>
      <c r="FDD45" s="14"/>
      <c r="FDE45" s="15"/>
      <c r="FDF45" s="125"/>
      <c r="FDG45" s="125"/>
      <c r="FDH45" s="14"/>
      <c r="FDI45" s="15"/>
      <c r="FDJ45" s="125"/>
      <c r="FDK45" s="125"/>
      <c r="FDL45" s="14"/>
      <c r="FDM45" s="15"/>
      <c r="FDN45" s="125"/>
      <c r="FDO45" s="125"/>
      <c r="FDP45" s="14"/>
      <c r="FDQ45" s="10"/>
      <c r="FDR45" s="125"/>
      <c r="FDS45" s="125"/>
      <c r="FDT45" s="14"/>
      <c r="FDU45" s="15"/>
      <c r="FDV45" s="125"/>
      <c r="FDW45" s="125"/>
      <c r="FDX45" s="14"/>
      <c r="FDY45" s="15"/>
      <c r="FDZ45" s="125"/>
      <c r="FEA45" s="125"/>
      <c r="FEB45" s="14"/>
      <c r="FEC45" s="15"/>
      <c r="FED45" s="125"/>
      <c r="FEE45" s="125"/>
      <c r="FEF45" s="14"/>
      <c r="FEG45" s="10"/>
      <c r="FEH45" s="125"/>
      <c r="FEI45" s="125"/>
      <c r="FEJ45" s="14"/>
      <c r="FEK45" s="15"/>
      <c r="FEL45" s="125"/>
      <c r="FEM45" s="125"/>
      <c r="FEN45" s="14"/>
      <c r="FEO45" s="15"/>
      <c r="FEP45" s="125"/>
      <c r="FEQ45" s="125"/>
      <c r="FER45" s="14"/>
      <c r="FES45" s="15"/>
      <c r="FET45" s="125"/>
      <c r="FEU45" s="125"/>
      <c r="FEV45" s="14"/>
      <c r="FEW45" s="10"/>
      <c r="FEX45" s="125"/>
      <c r="FEY45" s="125"/>
      <c r="FEZ45" s="14"/>
      <c r="FFA45" s="15"/>
      <c r="FFB45" s="125"/>
      <c r="FFC45" s="125"/>
      <c r="FFD45" s="14"/>
      <c r="FFE45" s="15"/>
      <c r="FFF45" s="125"/>
      <c r="FFG45" s="125"/>
      <c r="FFH45" s="14"/>
      <c r="FFI45" s="15"/>
      <c r="FFJ45" s="125"/>
      <c r="FFK45" s="125"/>
      <c r="FFL45" s="14"/>
      <c r="FFM45" s="10"/>
      <c r="FFN45" s="125"/>
      <c r="FFO45" s="125"/>
      <c r="FFP45" s="14"/>
      <c r="FFQ45" s="15"/>
      <c r="FFR45" s="125"/>
      <c r="FFS45" s="125"/>
      <c r="FFT45" s="14"/>
      <c r="FFU45" s="15"/>
      <c r="FFV45" s="125"/>
      <c r="FFW45" s="125"/>
      <c r="FFX45" s="14"/>
      <c r="FFY45" s="15"/>
      <c r="FFZ45" s="125"/>
      <c r="FGA45" s="125"/>
      <c r="FGB45" s="14"/>
      <c r="FGC45" s="10"/>
      <c r="FGD45" s="125"/>
      <c r="FGE45" s="125"/>
      <c r="FGF45" s="14"/>
      <c r="FGG45" s="15"/>
      <c r="FGH45" s="125"/>
      <c r="FGI45" s="125"/>
      <c r="FGJ45" s="14"/>
      <c r="FGK45" s="15"/>
      <c r="FGL45" s="125"/>
      <c r="FGM45" s="125"/>
      <c r="FGN45" s="14"/>
      <c r="FGO45" s="15"/>
      <c r="FGP45" s="125"/>
      <c r="FGQ45" s="125"/>
      <c r="FGR45" s="14"/>
      <c r="FGS45" s="10"/>
      <c r="FGT45" s="125"/>
      <c r="FGU45" s="125"/>
      <c r="FGV45" s="14"/>
      <c r="FGW45" s="15"/>
      <c r="FGX45" s="125"/>
      <c r="FGY45" s="125"/>
      <c r="FGZ45" s="14"/>
      <c r="FHA45" s="15"/>
      <c r="FHB45" s="125"/>
      <c r="FHC45" s="125"/>
      <c r="FHD45" s="14"/>
      <c r="FHE45" s="15"/>
      <c r="FHF45" s="125"/>
      <c r="FHG45" s="125"/>
      <c r="FHH45" s="14"/>
      <c r="FHI45" s="10"/>
      <c r="FHJ45" s="125"/>
      <c r="FHK45" s="125"/>
      <c r="FHL45" s="14"/>
      <c r="FHM45" s="15"/>
      <c r="FHN45" s="125"/>
      <c r="FHO45" s="125"/>
      <c r="FHP45" s="14"/>
      <c r="FHQ45" s="15"/>
      <c r="FHR45" s="125"/>
      <c r="FHS45" s="125"/>
      <c r="FHT45" s="14"/>
      <c r="FHU45" s="15"/>
      <c r="FHV45" s="125"/>
      <c r="FHW45" s="125"/>
      <c r="FHX45" s="14"/>
      <c r="FHY45" s="10"/>
      <c r="FHZ45" s="125"/>
      <c r="FIA45" s="125"/>
      <c r="FIB45" s="14"/>
      <c r="FIC45" s="15"/>
      <c r="FID45" s="125"/>
      <c r="FIE45" s="125"/>
      <c r="FIF45" s="14"/>
      <c r="FIG45" s="15"/>
      <c r="FIH45" s="125"/>
      <c r="FII45" s="125"/>
      <c r="FIJ45" s="14"/>
      <c r="FIK45" s="15"/>
      <c r="FIL45" s="125"/>
      <c r="FIM45" s="125"/>
      <c r="FIN45" s="14"/>
      <c r="FIO45" s="10"/>
      <c r="FIP45" s="125"/>
      <c r="FIQ45" s="125"/>
      <c r="FIR45" s="14"/>
      <c r="FIS45" s="15"/>
      <c r="FIT45" s="125"/>
      <c r="FIU45" s="125"/>
      <c r="FIV45" s="14"/>
      <c r="FIW45" s="15"/>
      <c r="FIX45" s="125"/>
      <c r="FIY45" s="125"/>
      <c r="FIZ45" s="14"/>
      <c r="FJA45" s="15"/>
      <c r="FJB45" s="125"/>
      <c r="FJC45" s="125"/>
      <c r="FJD45" s="14"/>
      <c r="FJE45" s="10"/>
      <c r="FJF45" s="125"/>
      <c r="FJG45" s="125"/>
      <c r="FJH45" s="14"/>
      <c r="FJI45" s="15"/>
      <c r="FJJ45" s="125"/>
      <c r="FJK45" s="125"/>
      <c r="FJL45" s="14"/>
      <c r="FJM45" s="15"/>
      <c r="FJN45" s="125"/>
      <c r="FJO45" s="125"/>
      <c r="FJP45" s="14"/>
      <c r="FJQ45" s="15"/>
      <c r="FJR45" s="125"/>
      <c r="FJS45" s="125"/>
      <c r="FJT45" s="14"/>
      <c r="FJU45" s="10"/>
      <c r="FJV45" s="125"/>
      <c r="FJW45" s="125"/>
      <c r="FJX45" s="14"/>
      <c r="FJY45" s="15"/>
      <c r="FJZ45" s="125"/>
      <c r="FKA45" s="125"/>
      <c r="FKB45" s="14"/>
      <c r="FKC45" s="15"/>
      <c r="FKD45" s="125"/>
      <c r="FKE45" s="125"/>
      <c r="FKF45" s="14"/>
      <c r="FKG45" s="15"/>
      <c r="FKH45" s="125"/>
      <c r="FKI45" s="125"/>
      <c r="FKJ45" s="14"/>
      <c r="FKK45" s="10"/>
      <c r="FKL45" s="125"/>
      <c r="FKM45" s="125"/>
      <c r="FKN45" s="14"/>
      <c r="FKO45" s="15"/>
      <c r="FKP45" s="125"/>
      <c r="FKQ45" s="125"/>
      <c r="FKR45" s="14"/>
      <c r="FKS45" s="15"/>
      <c r="FKT45" s="125"/>
      <c r="FKU45" s="125"/>
      <c r="FKV45" s="14"/>
      <c r="FKW45" s="15"/>
      <c r="FKX45" s="125"/>
      <c r="FKY45" s="125"/>
      <c r="FKZ45" s="14"/>
      <c r="FLA45" s="10"/>
      <c r="FLB45" s="125"/>
      <c r="FLC45" s="125"/>
      <c r="FLD45" s="14"/>
      <c r="FLE45" s="15"/>
      <c r="FLF45" s="125"/>
      <c r="FLG45" s="125"/>
      <c r="FLH45" s="14"/>
      <c r="FLI45" s="15"/>
      <c r="FLJ45" s="125"/>
      <c r="FLK45" s="125"/>
      <c r="FLL45" s="14"/>
      <c r="FLM45" s="15"/>
      <c r="FLN45" s="125"/>
      <c r="FLO45" s="125"/>
      <c r="FLP45" s="14"/>
      <c r="FLQ45" s="10"/>
      <c r="FLR45" s="125"/>
      <c r="FLS45" s="125"/>
      <c r="FLT45" s="14"/>
      <c r="FLU45" s="15"/>
      <c r="FLV45" s="125"/>
      <c r="FLW45" s="125"/>
      <c r="FLX45" s="14"/>
      <c r="FLY45" s="15"/>
      <c r="FLZ45" s="125"/>
      <c r="FMA45" s="125"/>
      <c r="FMB45" s="14"/>
      <c r="FMC45" s="15"/>
      <c r="FMD45" s="125"/>
      <c r="FME45" s="125"/>
      <c r="FMF45" s="14"/>
      <c r="FMG45" s="10"/>
      <c r="FMH45" s="125"/>
      <c r="FMI45" s="125"/>
      <c r="FMJ45" s="14"/>
      <c r="FMK45" s="15"/>
      <c r="FML45" s="125"/>
      <c r="FMM45" s="125"/>
      <c r="FMN45" s="14"/>
      <c r="FMO45" s="15"/>
      <c r="FMP45" s="125"/>
      <c r="FMQ45" s="125"/>
      <c r="FMR45" s="14"/>
      <c r="FMS45" s="15"/>
      <c r="FMT45" s="125"/>
      <c r="FMU45" s="125"/>
      <c r="FMV45" s="14"/>
      <c r="FMW45" s="10"/>
      <c r="FMX45" s="125"/>
      <c r="FMY45" s="125"/>
      <c r="FMZ45" s="14"/>
      <c r="FNA45" s="15"/>
      <c r="FNB45" s="125"/>
      <c r="FNC45" s="125"/>
      <c r="FND45" s="14"/>
      <c r="FNE45" s="15"/>
      <c r="FNF45" s="125"/>
      <c r="FNG45" s="125"/>
      <c r="FNH45" s="14"/>
      <c r="FNI45" s="15"/>
      <c r="FNJ45" s="125"/>
      <c r="FNK45" s="125"/>
      <c r="FNL45" s="14"/>
      <c r="FNM45" s="10"/>
      <c r="FNN45" s="125"/>
      <c r="FNO45" s="125"/>
      <c r="FNP45" s="14"/>
      <c r="FNQ45" s="15"/>
      <c r="FNR45" s="125"/>
      <c r="FNS45" s="125"/>
      <c r="FNT45" s="14"/>
      <c r="FNU45" s="15"/>
      <c r="FNV45" s="125"/>
      <c r="FNW45" s="125"/>
      <c r="FNX45" s="14"/>
      <c r="FNY45" s="15"/>
      <c r="FNZ45" s="125"/>
      <c r="FOA45" s="125"/>
      <c r="FOB45" s="14"/>
      <c r="FOC45" s="10"/>
      <c r="FOD45" s="125"/>
      <c r="FOE45" s="125"/>
      <c r="FOF45" s="14"/>
      <c r="FOG45" s="15"/>
      <c r="FOH45" s="125"/>
      <c r="FOI45" s="125"/>
      <c r="FOJ45" s="14"/>
      <c r="FOK45" s="15"/>
      <c r="FOL45" s="125"/>
      <c r="FOM45" s="125"/>
      <c r="FON45" s="14"/>
      <c r="FOO45" s="15"/>
      <c r="FOP45" s="125"/>
      <c r="FOQ45" s="125"/>
      <c r="FOR45" s="14"/>
      <c r="FOS45" s="10"/>
      <c r="FOT45" s="125"/>
      <c r="FOU45" s="125"/>
      <c r="FOV45" s="14"/>
      <c r="FOW45" s="15"/>
      <c r="FOX45" s="125"/>
      <c r="FOY45" s="125"/>
      <c r="FOZ45" s="14"/>
      <c r="FPA45" s="15"/>
      <c r="FPB45" s="125"/>
      <c r="FPC45" s="125"/>
      <c r="FPD45" s="14"/>
      <c r="FPE45" s="15"/>
      <c r="FPF45" s="125"/>
      <c r="FPG45" s="125"/>
      <c r="FPH45" s="14"/>
      <c r="FPI45" s="10"/>
      <c r="FPJ45" s="125"/>
      <c r="FPK45" s="125"/>
      <c r="FPL45" s="14"/>
      <c r="FPM45" s="15"/>
      <c r="FPN45" s="125"/>
      <c r="FPO45" s="125"/>
      <c r="FPP45" s="14"/>
      <c r="FPQ45" s="15"/>
      <c r="FPR45" s="125"/>
      <c r="FPS45" s="125"/>
      <c r="FPT45" s="14"/>
      <c r="FPU45" s="15"/>
      <c r="FPV45" s="125"/>
      <c r="FPW45" s="125"/>
      <c r="FPX45" s="14"/>
      <c r="FPY45" s="10"/>
      <c r="FPZ45" s="125"/>
      <c r="FQA45" s="125"/>
      <c r="FQB45" s="14"/>
      <c r="FQC45" s="15"/>
      <c r="FQD45" s="125"/>
      <c r="FQE45" s="125"/>
      <c r="FQF45" s="14"/>
      <c r="FQG45" s="15"/>
      <c r="FQH45" s="125"/>
      <c r="FQI45" s="125"/>
      <c r="FQJ45" s="14"/>
      <c r="FQK45" s="15"/>
      <c r="FQL45" s="125"/>
      <c r="FQM45" s="125"/>
      <c r="FQN45" s="14"/>
      <c r="FQO45" s="10"/>
      <c r="FQP45" s="125"/>
      <c r="FQQ45" s="125"/>
      <c r="FQR45" s="14"/>
      <c r="FQS45" s="15"/>
      <c r="FQT45" s="125"/>
      <c r="FQU45" s="125"/>
      <c r="FQV45" s="14"/>
      <c r="FQW45" s="15"/>
      <c r="FQX45" s="125"/>
      <c r="FQY45" s="125"/>
      <c r="FQZ45" s="14"/>
      <c r="FRA45" s="15"/>
      <c r="FRB45" s="125"/>
      <c r="FRC45" s="125"/>
      <c r="FRD45" s="14"/>
      <c r="FRE45" s="10"/>
      <c r="FRF45" s="125"/>
      <c r="FRG45" s="125"/>
      <c r="FRH45" s="14"/>
      <c r="FRI45" s="15"/>
      <c r="FRJ45" s="125"/>
      <c r="FRK45" s="125"/>
      <c r="FRL45" s="14"/>
      <c r="FRM45" s="15"/>
      <c r="FRN45" s="125"/>
      <c r="FRO45" s="125"/>
      <c r="FRP45" s="14"/>
      <c r="FRQ45" s="15"/>
      <c r="FRR45" s="125"/>
      <c r="FRS45" s="125"/>
      <c r="FRT45" s="14"/>
      <c r="FRU45" s="10"/>
      <c r="FRV45" s="125"/>
      <c r="FRW45" s="125"/>
      <c r="FRX45" s="14"/>
      <c r="FRY45" s="15"/>
      <c r="FRZ45" s="125"/>
      <c r="FSA45" s="125"/>
      <c r="FSB45" s="14"/>
      <c r="FSC45" s="15"/>
      <c r="FSD45" s="125"/>
      <c r="FSE45" s="125"/>
      <c r="FSF45" s="14"/>
      <c r="FSG45" s="15"/>
      <c r="FSH45" s="125"/>
      <c r="FSI45" s="125"/>
      <c r="FSJ45" s="14"/>
      <c r="FSK45" s="10"/>
      <c r="FSL45" s="125"/>
      <c r="FSM45" s="125"/>
      <c r="FSN45" s="14"/>
      <c r="FSO45" s="15"/>
      <c r="FSP45" s="125"/>
      <c r="FSQ45" s="125"/>
      <c r="FSR45" s="14"/>
      <c r="FSS45" s="15"/>
      <c r="FST45" s="125"/>
      <c r="FSU45" s="125"/>
      <c r="FSV45" s="14"/>
      <c r="FSW45" s="15"/>
      <c r="FSX45" s="125"/>
      <c r="FSY45" s="125"/>
      <c r="FSZ45" s="14"/>
      <c r="FTA45" s="10"/>
      <c r="FTB45" s="125"/>
      <c r="FTC45" s="125"/>
      <c r="FTD45" s="14"/>
      <c r="FTE45" s="15"/>
      <c r="FTF45" s="125"/>
      <c r="FTG45" s="125"/>
      <c r="FTH45" s="14"/>
      <c r="FTI45" s="15"/>
      <c r="FTJ45" s="125"/>
      <c r="FTK45" s="125"/>
      <c r="FTL45" s="14"/>
      <c r="FTM45" s="15"/>
      <c r="FTN45" s="125"/>
      <c r="FTO45" s="125"/>
      <c r="FTP45" s="14"/>
      <c r="FTQ45" s="10"/>
      <c r="FTR45" s="125"/>
      <c r="FTS45" s="125"/>
      <c r="FTT45" s="14"/>
      <c r="FTU45" s="15"/>
      <c r="FTV45" s="125"/>
      <c r="FTW45" s="125"/>
      <c r="FTX45" s="14"/>
      <c r="FTY45" s="15"/>
      <c r="FTZ45" s="125"/>
      <c r="FUA45" s="125"/>
      <c r="FUB45" s="14"/>
      <c r="FUC45" s="15"/>
      <c r="FUD45" s="125"/>
      <c r="FUE45" s="125"/>
      <c r="FUF45" s="14"/>
      <c r="FUG45" s="10"/>
      <c r="FUH45" s="125"/>
      <c r="FUI45" s="125"/>
      <c r="FUJ45" s="14"/>
      <c r="FUK45" s="15"/>
      <c r="FUL45" s="125"/>
      <c r="FUM45" s="125"/>
      <c r="FUN45" s="14"/>
      <c r="FUO45" s="15"/>
      <c r="FUP45" s="125"/>
      <c r="FUQ45" s="125"/>
      <c r="FUR45" s="14"/>
      <c r="FUS45" s="15"/>
      <c r="FUT45" s="125"/>
      <c r="FUU45" s="125"/>
      <c r="FUV45" s="14"/>
      <c r="FUW45" s="10"/>
      <c r="FUX45" s="125"/>
      <c r="FUY45" s="125"/>
      <c r="FUZ45" s="14"/>
      <c r="FVA45" s="15"/>
      <c r="FVB45" s="125"/>
      <c r="FVC45" s="125"/>
      <c r="FVD45" s="14"/>
      <c r="FVE45" s="15"/>
      <c r="FVF45" s="125"/>
      <c r="FVG45" s="125"/>
      <c r="FVH45" s="14"/>
      <c r="FVI45" s="15"/>
      <c r="FVJ45" s="125"/>
      <c r="FVK45" s="125"/>
      <c r="FVL45" s="14"/>
      <c r="FVM45" s="10"/>
      <c r="FVN45" s="125"/>
      <c r="FVO45" s="125"/>
      <c r="FVP45" s="14"/>
      <c r="FVQ45" s="15"/>
      <c r="FVR45" s="125"/>
      <c r="FVS45" s="125"/>
      <c r="FVT45" s="14"/>
      <c r="FVU45" s="15"/>
      <c r="FVV45" s="125"/>
      <c r="FVW45" s="125"/>
      <c r="FVX45" s="14"/>
      <c r="FVY45" s="15"/>
      <c r="FVZ45" s="125"/>
      <c r="FWA45" s="125"/>
      <c r="FWB45" s="14"/>
      <c r="FWC45" s="10"/>
      <c r="FWD45" s="125"/>
      <c r="FWE45" s="125"/>
      <c r="FWF45" s="14"/>
      <c r="FWG45" s="15"/>
      <c r="FWH45" s="125"/>
      <c r="FWI45" s="125"/>
      <c r="FWJ45" s="14"/>
      <c r="FWK45" s="15"/>
      <c r="FWL45" s="125"/>
      <c r="FWM45" s="125"/>
      <c r="FWN45" s="14"/>
      <c r="FWO45" s="15"/>
      <c r="FWP45" s="125"/>
      <c r="FWQ45" s="125"/>
      <c r="FWR45" s="14"/>
      <c r="FWS45" s="10"/>
      <c r="FWT45" s="125"/>
      <c r="FWU45" s="125"/>
      <c r="FWV45" s="14"/>
      <c r="FWW45" s="15"/>
      <c r="FWX45" s="125"/>
      <c r="FWY45" s="125"/>
      <c r="FWZ45" s="14"/>
      <c r="FXA45" s="15"/>
      <c r="FXB45" s="125"/>
      <c r="FXC45" s="125"/>
      <c r="FXD45" s="14"/>
      <c r="FXE45" s="15"/>
      <c r="FXF45" s="125"/>
      <c r="FXG45" s="125"/>
      <c r="FXH45" s="14"/>
      <c r="FXI45" s="10"/>
      <c r="FXJ45" s="125"/>
      <c r="FXK45" s="125"/>
      <c r="FXL45" s="14"/>
      <c r="FXM45" s="15"/>
      <c r="FXN45" s="125"/>
      <c r="FXO45" s="125"/>
      <c r="FXP45" s="14"/>
      <c r="FXQ45" s="15"/>
      <c r="FXR45" s="125"/>
      <c r="FXS45" s="125"/>
      <c r="FXT45" s="14"/>
      <c r="FXU45" s="15"/>
      <c r="FXV45" s="125"/>
      <c r="FXW45" s="125"/>
      <c r="FXX45" s="14"/>
      <c r="FXY45" s="10"/>
      <c r="FXZ45" s="125"/>
      <c r="FYA45" s="125"/>
      <c r="FYB45" s="14"/>
      <c r="FYC45" s="15"/>
      <c r="FYD45" s="125"/>
      <c r="FYE45" s="125"/>
      <c r="FYF45" s="14"/>
      <c r="FYG45" s="15"/>
      <c r="FYH45" s="125"/>
      <c r="FYI45" s="125"/>
      <c r="FYJ45" s="14"/>
      <c r="FYK45" s="15"/>
      <c r="FYL45" s="125"/>
      <c r="FYM45" s="125"/>
      <c r="FYN45" s="14"/>
      <c r="FYO45" s="10"/>
      <c r="FYP45" s="125"/>
      <c r="FYQ45" s="125"/>
      <c r="FYR45" s="14"/>
      <c r="FYS45" s="15"/>
      <c r="FYT45" s="125"/>
      <c r="FYU45" s="125"/>
      <c r="FYV45" s="14"/>
      <c r="FYW45" s="15"/>
      <c r="FYX45" s="125"/>
      <c r="FYY45" s="125"/>
      <c r="FYZ45" s="14"/>
      <c r="FZA45" s="15"/>
      <c r="FZB45" s="125"/>
      <c r="FZC45" s="125"/>
      <c r="FZD45" s="14"/>
      <c r="FZE45" s="10"/>
      <c r="FZF45" s="125"/>
      <c r="FZG45" s="125"/>
      <c r="FZH45" s="14"/>
      <c r="FZI45" s="15"/>
      <c r="FZJ45" s="125"/>
      <c r="FZK45" s="125"/>
      <c r="FZL45" s="14"/>
      <c r="FZM45" s="15"/>
      <c r="FZN45" s="125"/>
      <c r="FZO45" s="125"/>
      <c r="FZP45" s="14"/>
      <c r="FZQ45" s="15"/>
      <c r="FZR45" s="125"/>
      <c r="FZS45" s="125"/>
      <c r="FZT45" s="14"/>
      <c r="FZU45" s="10"/>
      <c r="FZV45" s="125"/>
      <c r="FZW45" s="125"/>
      <c r="FZX45" s="14"/>
      <c r="FZY45" s="15"/>
      <c r="FZZ45" s="125"/>
      <c r="GAA45" s="125"/>
      <c r="GAB45" s="14"/>
      <c r="GAC45" s="15"/>
      <c r="GAD45" s="125"/>
      <c r="GAE45" s="125"/>
      <c r="GAF45" s="14"/>
      <c r="GAG45" s="15"/>
      <c r="GAH45" s="125"/>
      <c r="GAI45" s="125"/>
      <c r="GAJ45" s="14"/>
      <c r="GAK45" s="10"/>
      <c r="GAL45" s="125"/>
      <c r="GAM45" s="125"/>
      <c r="GAN45" s="14"/>
      <c r="GAO45" s="15"/>
      <c r="GAP45" s="125"/>
      <c r="GAQ45" s="125"/>
      <c r="GAR45" s="14"/>
      <c r="GAS45" s="15"/>
      <c r="GAT45" s="125"/>
      <c r="GAU45" s="125"/>
      <c r="GAV45" s="14"/>
      <c r="GAW45" s="15"/>
      <c r="GAX45" s="125"/>
      <c r="GAY45" s="125"/>
      <c r="GAZ45" s="14"/>
      <c r="GBA45" s="10"/>
      <c r="GBB45" s="125"/>
      <c r="GBC45" s="125"/>
      <c r="GBD45" s="14"/>
      <c r="GBE45" s="15"/>
      <c r="GBF45" s="125"/>
      <c r="GBG45" s="125"/>
      <c r="GBH45" s="14"/>
      <c r="GBI45" s="15"/>
      <c r="GBJ45" s="125"/>
      <c r="GBK45" s="125"/>
      <c r="GBL45" s="14"/>
      <c r="GBM45" s="15"/>
      <c r="GBN45" s="125"/>
      <c r="GBO45" s="125"/>
      <c r="GBP45" s="14"/>
      <c r="GBQ45" s="10"/>
      <c r="GBR45" s="125"/>
      <c r="GBS45" s="125"/>
      <c r="GBT45" s="14"/>
      <c r="GBU45" s="15"/>
      <c r="GBV45" s="125"/>
      <c r="GBW45" s="125"/>
      <c r="GBX45" s="14"/>
      <c r="GBY45" s="15"/>
      <c r="GBZ45" s="125"/>
      <c r="GCA45" s="125"/>
      <c r="GCB45" s="14"/>
      <c r="GCC45" s="15"/>
      <c r="GCD45" s="125"/>
      <c r="GCE45" s="125"/>
      <c r="GCF45" s="14"/>
      <c r="GCG45" s="10"/>
      <c r="GCH45" s="125"/>
      <c r="GCI45" s="125"/>
      <c r="GCJ45" s="14"/>
      <c r="GCK45" s="15"/>
      <c r="GCL45" s="125"/>
      <c r="GCM45" s="125"/>
      <c r="GCN45" s="14"/>
      <c r="GCO45" s="15"/>
      <c r="GCP45" s="125"/>
      <c r="GCQ45" s="125"/>
      <c r="GCR45" s="14"/>
      <c r="GCS45" s="15"/>
      <c r="GCT45" s="125"/>
      <c r="GCU45" s="125"/>
      <c r="GCV45" s="14"/>
      <c r="GCW45" s="10"/>
      <c r="GCX45" s="125"/>
      <c r="GCY45" s="125"/>
      <c r="GCZ45" s="14"/>
      <c r="GDA45" s="15"/>
      <c r="GDB45" s="125"/>
      <c r="GDC45" s="125"/>
      <c r="GDD45" s="14"/>
      <c r="GDE45" s="15"/>
      <c r="GDF45" s="125"/>
      <c r="GDG45" s="125"/>
      <c r="GDH45" s="14"/>
      <c r="GDI45" s="15"/>
      <c r="GDJ45" s="125"/>
      <c r="GDK45" s="125"/>
      <c r="GDL45" s="14"/>
      <c r="GDM45" s="10"/>
      <c r="GDN45" s="125"/>
      <c r="GDO45" s="125"/>
      <c r="GDP45" s="14"/>
      <c r="GDQ45" s="15"/>
      <c r="GDR45" s="125"/>
      <c r="GDS45" s="125"/>
      <c r="GDT45" s="14"/>
      <c r="GDU45" s="15"/>
      <c r="GDV45" s="125"/>
      <c r="GDW45" s="125"/>
      <c r="GDX45" s="14"/>
      <c r="GDY45" s="15"/>
      <c r="GDZ45" s="125"/>
      <c r="GEA45" s="125"/>
      <c r="GEB45" s="14"/>
      <c r="GEC45" s="10"/>
      <c r="GED45" s="125"/>
      <c r="GEE45" s="125"/>
      <c r="GEF45" s="14"/>
      <c r="GEG45" s="15"/>
      <c r="GEH45" s="125"/>
      <c r="GEI45" s="125"/>
      <c r="GEJ45" s="14"/>
      <c r="GEK45" s="15"/>
      <c r="GEL45" s="125"/>
      <c r="GEM45" s="125"/>
      <c r="GEN45" s="14"/>
      <c r="GEO45" s="15"/>
      <c r="GEP45" s="125"/>
      <c r="GEQ45" s="125"/>
      <c r="GER45" s="14"/>
      <c r="GES45" s="10"/>
      <c r="GET45" s="125"/>
      <c r="GEU45" s="125"/>
      <c r="GEV45" s="14"/>
      <c r="GEW45" s="15"/>
      <c r="GEX45" s="125"/>
      <c r="GEY45" s="125"/>
      <c r="GEZ45" s="14"/>
      <c r="GFA45" s="15"/>
      <c r="GFB45" s="125"/>
      <c r="GFC45" s="125"/>
      <c r="GFD45" s="14"/>
      <c r="GFE45" s="15"/>
      <c r="GFF45" s="125"/>
      <c r="GFG45" s="125"/>
      <c r="GFH45" s="14"/>
      <c r="GFI45" s="10"/>
      <c r="GFJ45" s="125"/>
      <c r="GFK45" s="125"/>
      <c r="GFL45" s="14"/>
      <c r="GFM45" s="15"/>
      <c r="GFN45" s="125"/>
      <c r="GFO45" s="125"/>
      <c r="GFP45" s="14"/>
      <c r="GFQ45" s="15"/>
      <c r="GFR45" s="125"/>
      <c r="GFS45" s="125"/>
      <c r="GFT45" s="14"/>
      <c r="GFU45" s="15"/>
      <c r="GFV45" s="125"/>
      <c r="GFW45" s="125"/>
      <c r="GFX45" s="14"/>
      <c r="GFY45" s="10"/>
      <c r="GFZ45" s="125"/>
      <c r="GGA45" s="125"/>
      <c r="GGB45" s="14"/>
      <c r="GGC45" s="15"/>
      <c r="GGD45" s="125"/>
      <c r="GGE45" s="125"/>
      <c r="GGF45" s="14"/>
      <c r="GGG45" s="15"/>
      <c r="GGH45" s="125"/>
      <c r="GGI45" s="125"/>
      <c r="GGJ45" s="14"/>
      <c r="GGK45" s="15"/>
      <c r="GGL45" s="125"/>
      <c r="GGM45" s="125"/>
      <c r="GGN45" s="14"/>
      <c r="GGO45" s="10"/>
      <c r="GGP45" s="125"/>
      <c r="GGQ45" s="125"/>
      <c r="GGR45" s="14"/>
      <c r="GGS45" s="15"/>
      <c r="GGT45" s="125"/>
      <c r="GGU45" s="125"/>
      <c r="GGV45" s="14"/>
      <c r="GGW45" s="15"/>
      <c r="GGX45" s="125"/>
      <c r="GGY45" s="125"/>
      <c r="GGZ45" s="14"/>
      <c r="GHA45" s="15"/>
      <c r="GHB45" s="125"/>
      <c r="GHC45" s="125"/>
      <c r="GHD45" s="14"/>
      <c r="GHE45" s="10"/>
      <c r="GHF45" s="125"/>
      <c r="GHG45" s="125"/>
      <c r="GHH45" s="14"/>
      <c r="GHI45" s="15"/>
      <c r="GHJ45" s="125"/>
      <c r="GHK45" s="125"/>
      <c r="GHL45" s="14"/>
      <c r="GHM45" s="15"/>
      <c r="GHN45" s="125"/>
      <c r="GHO45" s="125"/>
      <c r="GHP45" s="14"/>
      <c r="GHQ45" s="15"/>
      <c r="GHR45" s="125"/>
      <c r="GHS45" s="125"/>
      <c r="GHT45" s="14"/>
      <c r="GHU45" s="10"/>
      <c r="GHV45" s="125"/>
      <c r="GHW45" s="125"/>
      <c r="GHX45" s="14"/>
      <c r="GHY45" s="15"/>
      <c r="GHZ45" s="125"/>
      <c r="GIA45" s="125"/>
      <c r="GIB45" s="14"/>
      <c r="GIC45" s="15"/>
      <c r="GID45" s="125"/>
      <c r="GIE45" s="125"/>
      <c r="GIF45" s="14"/>
      <c r="GIG45" s="15"/>
      <c r="GIH45" s="125"/>
      <c r="GII45" s="125"/>
      <c r="GIJ45" s="14"/>
      <c r="GIK45" s="10"/>
      <c r="GIL45" s="125"/>
      <c r="GIM45" s="125"/>
      <c r="GIN45" s="14"/>
      <c r="GIO45" s="15"/>
      <c r="GIP45" s="125"/>
      <c r="GIQ45" s="125"/>
      <c r="GIR45" s="14"/>
      <c r="GIS45" s="15"/>
      <c r="GIT45" s="125"/>
      <c r="GIU45" s="125"/>
      <c r="GIV45" s="14"/>
      <c r="GIW45" s="15"/>
      <c r="GIX45" s="125"/>
      <c r="GIY45" s="125"/>
      <c r="GIZ45" s="14"/>
      <c r="GJA45" s="10"/>
      <c r="GJB45" s="125"/>
      <c r="GJC45" s="125"/>
      <c r="GJD45" s="14"/>
      <c r="GJE45" s="15"/>
      <c r="GJF45" s="125"/>
      <c r="GJG45" s="125"/>
      <c r="GJH45" s="14"/>
      <c r="GJI45" s="15"/>
      <c r="GJJ45" s="125"/>
      <c r="GJK45" s="125"/>
      <c r="GJL45" s="14"/>
      <c r="GJM45" s="15"/>
      <c r="GJN45" s="125"/>
      <c r="GJO45" s="125"/>
      <c r="GJP45" s="14"/>
      <c r="GJQ45" s="10"/>
      <c r="GJR45" s="125"/>
      <c r="GJS45" s="125"/>
      <c r="GJT45" s="14"/>
      <c r="GJU45" s="15"/>
      <c r="GJV45" s="125"/>
      <c r="GJW45" s="125"/>
      <c r="GJX45" s="14"/>
      <c r="GJY45" s="15"/>
      <c r="GJZ45" s="125"/>
      <c r="GKA45" s="125"/>
      <c r="GKB45" s="14"/>
      <c r="GKC45" s="15"/>
      <c r="GKD45" s="125"/>
      <c r="GKE45" s="125"/>
      <c r="GKF45" s="14"/>
      <c r="GKG45" s="10"/>
      <c r="GKH45" s="125"/>
      <c r="GKI45" s="125"/>
      <c r="GKJ45" s="14"/>
      <c r="GKK45" s="15"/>
      <c r="GKL45" s="125"/>
      <c r="GKM45" s="125"/>
      <c r="GKN45" s="14"/>
      <c r="GKO45" s="15"/>
      <c r="GKP45" s="125"/>
      <c r="GKQ45" s="125"/>
      <c r="GKR45" s="14"/>
      <c r="GKS45" s="15"/>
      <c r="GKT45" s="125"/>
      <c r="GKU45" s="125"/>
      <c r="GKV45" s="14"/>
      <c r="GKW45" s="10"/>
      <c r="GKX45" s="125"/>
      <c r="GKY45" s="125"/>
      <c r="GKZ45" s="14"/>
      <c r="GLA45" s="15"/>
      <c r="GLB45" s="125"/>
      <c r="GLC45" s="125"/>
      <c r="GLD45" s="14"/>
      <c r="GLE45" s="15"/>
      <c r="GLF45" s="125"/>
      <c r="GLG45" s="125"/>
      <c r="GLH45" s="14"/>
      <c r="GLI45" s="15"/>
      <c r="GLJ45" s="125"/>
      <c r="GLK45" s="125"/>
      <c r="GLL45" s="14"/>
      <c r="GLM45" s="10"/>
      <c r="GLN45" s="125"/>
      <c r="GLO45" s="125"/>
      <c r="GLP45" s="14"/>
      <c r="GLQ45" s="15"/>
      <c r="GLR45" s="125"/>
      <c r="GLS45" s="125"/>
      <c r="GLT45" s="14"/>
      <c r="GLU45" s="15"/>
      <c r="GLV45" s="125"/>
      <c r="GLW45" s="125"/>
      <c r="GLX45" s="14"/>
      <c r="GLY45" s="15"/>
      <c r="GLZ45" s="125"/>
      <c r="GMA45" s="125"/>
      <c r="GMB45" s="14"/>
      <c r="GMC45" s="10"/>
      <c r="GMD45" s="125"/>
      <c r="GME45" s="125"/>
      <c r="GMF45" s="14"/>
      <c r="GMG45" s="15"/>
      <c r="GMH45" s="125"/>
      <c r="GMI45" s="125"/>
      <c r="GMJ45" s="14"/>
      <c r="GMK45" s="15"/>
      <c r="GML45" s="125"/>
      <c r="GMM45" s="125"/>
      <c r="GMN45" s="14"/>
      <c r="GMO45" s="15"/>
      <c r="GMP45" s="125"/>
      <c r="GMQ45" s="125"/>
      <c r="GMR45" s="14"/>
      <c r="GMS45" s="10"/>
      <c r="GMT45" s="125"/>
      <c r="GMU45" s="125"/>
      <c r="GMV45" s="14"/>
      <c r="GMW45" s="15"/>
      <c r="GMX45" s="125"/>
      <c r="GMY45" s="125"/>
      <c r="GMZ45" s="14"/>
      <c r="GNA45" s="15"/>
      <c r="GNB45" s="125"/>
      <c r="GNC45" s="125"/>
      <c r="GND45" s="14"/>
      <c r="GNE45" s="15"/>
      <c r="GNF45" s="125"/>
      <c r="GNG45" s="125"/>
      <c r="GNH45" s="14"/>
      <c r="GNI45" s="10"/>
      <c r="GNJ45" s="125"/>
      <c r="GNK45" s="125"/>
      <c r="GNL45" s="14"/>
      <c r="GNM45" s="15"/>
      <c r="GNN45" s="125"/>
      <c r="GNO45" s="125"/>
      <c r="GNP45" s="14"/>
      <c r="GNQ45" s="15"/>
      <c r="GNR45" s="125"/>
      <c r="GNS45" s="125"/>
      <c r="GNT45" s="14"/>
      <c r="GNU45" s="15"/>
      <c r="GNV45" s="125"/>
      <c r="GNW45" s="125"/>
      <c r="GNX45" s="14"/>
      <c r="GNY45" s="10"/>
      <c r="GNZ45" s="125"/>
      <c r="GOA45" s="125"/>
      <c r="GOB45" s="14"/>
      <c r="GOC45" s="15"/>
      <c r="GOD45" s="125"/>
      <c r="GOE45" s="125"/>
      <c r="GOF45" s="14"/>
      <c r="GOG45" s="15"/>
      <c r="GOH45" s="125"/>
      <c r="GOI45" s="125"/>
      <c r="GOJ45" s="14"/>
      <c r="GOK45" s="15"/>
      <c r="GOL45" s="125"/>
      <c r="GOM45" s="125"/>
      <c r="GON45" s="14"/>
      <c r="GOO45" s="10"/>
      <c r="GOP45" s="125"/>
      <c r="GOQ45" s="125"/>
      <c r="GOR45" s="14"/>
      <c r="GOS45" s="15"/>
      <c r="GOT45" s="125"/>
      <c r="GOU45" s="125"/>
      <c r="GOV45" s="14"/>
      <c r="GOW45" s="15"/>
      <c r="GOX45" s="125"/>
      <c r="GOY45" s="125"/>
      <c r="GOZ45" s="14"/>
      <c r="GPA45" s="15"/>
      <c r="GPB45" s="125"/>
      <c r="GPC45" s="125"/>
      <c r="GPD45" s="14"/>
      <c r="GPE45" s="10"/>
      <c r="GPF45" s="125"/>
      <c r="GPG45" s="125"/>
      <c r="GPH45" s="14"/>
      <c r="GPI45" s="15"/>
      <c r="GPJ45" s="125"/>
      <c r="GPK45" s="125"/>
      <c r="GPL45" s="14"/>
      <c r="GPM45" s="15"/>
      <c r="GPN45" s="125"/>
      <c r="GPO45" s="125"/>
      <c r="GPP45" s="14"/>
      <c r="GPQ45" s="15"/>
      <c r="GPR45" s="125"/>
      <c r="GPS45" s="125"/>
      <c r="GPT45" s="14"/>
      <c r="GPU45" s="10"/>
      <c r="GPV45" s="125"/>
      <c r="GPW45" s="125"/>
      <c r="GPX45" s="14"/>
      <c r="GPY45" s="15"/>
      <c r="GPZ45" s="125"/>
      <c r="GQA45" s="125"/>
      <c r="GQB45" s="14"/>
      <c r="GQC45" s="15"/>
      <c r="GQD45" s="125"/>
      <c r="GQE45" s="125"/>
      <c r="GQF45" s="14"/>
      <c r="GQG45" s="15"/>
      <c r="GQH45" s="125"/>
      <c r="GQI45" s="125"/>
      <c r="GQJ45" s="14"/>
      <c r="GQK45" s="10"/>
      <c r="GQL45" s="125"/>
      <c r="GQM45" s="125"/>
      <c r="GQN45" s="14"/>
      <c r="GQO45" s="15"/>
      <c r="GQP45" s="125"/>
      <c r="GQQ45" s="125"/>
      <c r="GQR45" s="14"/>
      <c r="GQS45" s="15"/>
      <c r="GQT45" s="125"/>
      <c r="GQU45" s="125"/>
      <c r="GQV45" s="14"/>
      <c r="GQW45" s="15"/>
      <c r="GQX45" s="125"/>
      <c r="GQY45" s="125"/>
      <c r="GQZ45" s="14"/>
      <c r="GRA45" s="10"/>
      <c r="GRB45" s="125"/>
      <c r="GRC45" s="125"/>
      <c r="GRD45" s="14"/>
      <c r="GRE45" s="15"/>
      <c r="GRF45" s="125"/>
      <c r="GRG45" s="125"/>
      <c r="GRH45" s="14"/>
      <c r="GRI45" s="15"/>
      <c r="GRJ45" s="125"/>
      <c r="GRK45" s="125"/>
      <c r="GRL45" s="14"/>
      <c r="GRM45" s="15"/>
      <c r="GRN45" s="125"/>
      <c r="GRO45" s="125"/>
      <c r="GRP45" s="14"/>
      <c r="GRQ45" s="10"/>
      <c r="GRR45" s="125"/>
      <c r="GRS45" s="125"/>
      <c r="GRT45" s="14"/>
      <c r="GRU45" s="15"/>
      <c r="GRV45" s="125"/>
      <c r="GRW45" s="125"/>
      <c r="GRX45" s="14"/>
      <c r="GRY45" s="15"/>
      <c r="GRZ45" s="125"/>
      <c r="GSA45" s="125"/>
      <c r="GSB45" s="14"/>
      <c r="GSC45" s="15"/>
      <c r="GSD45" s="125"/>
      <c r="GSE45" s="125"/>
      <c r="GSF45" s="14"/>
      <c r="GSG45" s="10"/>
      <c r="GSH45" s="125"/>
      <c r="GSI45" s="125"/>
      <c r="GSJ45" s="14"/>
      <c r="GSK45" s="15"/>
      <c r="GSL45" s="125"/>
      <c r="GSM45" s="125"/>
      <c r="GSN45" s="14"/>
      <c r="GSO45" s="15"/>
      <c r="GSP45" s="125"/>
      <c r="GSQ45" s="125"/>
      <c r="GSR45" s="14"/>
      <c r="GSS45" s="15"/>
      <c r="GST45" s="125"/>
      <c r="GSU45" s="125"/>
      <c r="GSV45" s="14"/>
      <c r="GSW45" s="10"/>
      <c r="GSX45" s="125"/>
      <c r="GSY45" s="125"/>
      <c r="GSZ45" s="14"/>
      <c r="GTA45" s="15"/>
      <c r="GTB45" s="125"/>
      <c r="GTC45" s="125"/>
      <c r="GTD45" s="14"/>
      <c r="GTE45" s="15"/>
      <c r="GTF45" s="125"/>
      <c r="GTG45" s="125"/>
      <c r="GTH45" s="14"/>
      <c r="GTI45" s="15"/>
      <c r="GTJ45" s="125"/>
      <c r="GTK45" s="125"/>
      <c r="GTL45" s="14"/>
      <c r="GTM45" s="10"/>
      <c r="GTN45" s="125"/>
      <c r="GTO45" s="125"/>
      <c r="GTP45" s="14"/>
      <c r="GTQ45" s="15"/>
      <c r="GTR45" s="125"/>
      <c r="GTS45" s="125"/>
      <c r="GTT45" s="14"/>
      <c r="GTU45" s="15"/>
      <c r="GTV45" s="125"/>
      <c r="GTW45" s="125"/>
      <c r="GTX45" s="14"/>
      <c r="GTY45" s="15"/>
      <c r="GTZ45" s="125"/>
      <c r="GUA45" s="125"/>
      <c r="GUB45" s="14"/>
      <c r="GUC45" s="10"/>
      <c r="GUD45" s="125"/>
      <c r="GUE45" s="125"/>
      <c r="GUF45" s="14"/>
      <c r="GUG45" s="15"/>
      <c r="GUH45" s="125"/>
      <c r="GUI45" s="125"/>
      <c r="GUJ45" s="14"/>
      <c r="GUK45" s="15"/>
      <c r="GUL45" s="125"/>
      <c r="GUM45" s="125"/>
      <c r="GUN45" s="14"/>
      <c r="GUO45" s="15"/>
      <c r="GUP45" s="125"/>
      <c r="GUQ45" s="125"/>
      <c r="GUR45" s="14"/>
      <c r="GUS45" s="10"/>
      <c r="GUT45" s="125"/>
      <c r="GUU45" s="125"/>
      <c r="GUV45" s="14"/>
      <c r="GUW45" s="15"/>
      <c r="GUX45" s="125"/>
      <c r="GUY45" s="125"/>
      <c r="GUZ45" s="14"/>
      <c r="GVA45" s="15"/>
      <c r="GVB45" s="125"/>
      <c r="GVC45" s="125"/>
      <c r="GVD45" s="14"/>
      <c r="GVE45" s="15"/>
      <c r="GVF45" s="125"/>
      <c r="GVG45" s="125"/>
      <c r="GVH45" s="14"/>
      <c r="GVI45" s="10"/>
      <c r="GVJ45" s="125"/>
      <c r="GVK45" s="125"/>
      <c r="GVL45" s="14"/>
      <c r="GVM45" s="15"/>
      <c r="GVN45" s="125"/>
      <c r="GVO45" s="125"/>
      <c r="GVP45" s="14"/>
      <c r="GVQ45" s="15"/>
      <c r="GVR45" s="125"/>
      <c r="GVS45" s="125"/>
      <c r="GVT45" s="14"/>
      <c r="GVU45" s="15"/>
      <c r="GVV45" s="125"/>
      <c r="GVW45" s="125"/>
      <c r="GVX45" s="14"/>
      <c r="GVY45" s="10"/>
      <c r="GVZ45" s="125"/>
      <c r="GWA45" s="125"/>
      <c r="GWB45" s="14"/>
      <c r="GWC45" s="15"/>
      <c r="GWD45" s="125"/>
      <c r="GWE45" s="125"/>
      <c r="GWF45" s="14"/>
      <c r="GWG45" s="15"/>
      <c r="GWH45" s="125"/>
      <c r="GWI45" s="125"/>
      <c r="GWJ45" s="14"/>
      <c r="GWK45" s="15"/>
      <c r="GWL45" s="125"/>
      <c r="GWM45" s="125"/>
      <c r="GWN45" s="14"/>
      <c r="GWO45" s="10"/>
      <c r="GWP45" s="125"/>
      <c r="GWQ45" s="125"/>
      <c r="GWR45" s="14"/>
      <c r="GWS45" s="15"/>
      <c r="GWT45" s="125"/>
      <c r="GWU45" s="125"/>
      <c r="GWV45" s="14"/>
      <c r="GWW45" s="15"/>
      <c r="GWX45" s="125"/>
      <c r="GWY45" s="125"/>
      <c r="GWZ45" s="14"/>
      <c r="GXA45" s="15"/>
      <c r="GXB45" s="125"/>
      <c r="GXC45" s="125"/>
      <c r="GXD45" s="14"/>
      <c r="GXE45" s="10"/>
      <c r="GXF45" s="125"/>
      <c r="GXG45" s="125"/>
      <c r="GXH45" s="14"/>
      <c r="GXI45" s="15"/>
      <c r="GXJ45" s="125"/>
      <c r="GXK45" s="125"/>
      <c r="GXL45" s="14"/>
      <c r="GXM45" s="15"/>
      <c r="GXN45" s="125"/>
      <c r="GXO45" s="125"/>
      <c r="GXP45" s="14"/>
      <c r="GXQ45" s="15"/>
      <c r="GXR45" s="125"/>
      <c r="GXS45" s="125"/>
      <c r="GXT45" s="14"/>
      <c r="GXU45" s="10"/>
      <c r="GXV45" s="125"/>
      <c r="GXW45" s="125"/>
      <c r="GXX45" s="14"/>
      <c r="GXY45" s="15"/>
      <c r="GXZ45" s="125"/>
      <c r="GYA45" s="125"/>
      <c r="GYB45" s="14"/>
      <c r="GYC45" s="15"/>
      <c r="GYD45" s="125"/>
      <c r="GYE45" s="125"/>
      <c r="GYF45" s="14"/>
      <c r="GYG45" s="15"/>
      <c r="GYH45" s="125"/>
      <c r="GYI45" s="125"/>
      <c r="GYJ45" s="14"/>
      <c r="GYK45" s="10"/>
      <c r="GYL45" s="125"/>
      <c r="GYM45" s="125"/>
      <c r="GYN45" s="14"/>
      <c r="GYO45" s="15"/>
      <c r="GYP45" s="125"/>
      <c r="GYQ45" s="125"/>
      <c r="GYR45" s="14"/>
      <c r="GYS45" s="15"/>
      <c r="GYT45" s="125"/>
      <c r="GYU45" s="125"/>
      <c r="GYV45" s="14"/>
      <c r="GYW45" s="15"/>
      <c r="GYX45" s="125"/>
      <c r="GYY45" s="125"/>
      <c r="GYZ45" s="14"/>
      <c r="GZA45" s="10"/>
      <c r="GZB45" s="125"/>
      <c r="GZC45" s="125"/>
      <c r="GZD45" s="14"/>
      <c r="GZE45" s="15"/>
      <c r="GZF45" s="125"/>
      <c r="GZG45" s="125"/>
      <c r="GZH45" s="14"/>
      <c r="GZI45" s="15"/>
      <c r="GZJ45" s="125"/>
      <c r="GZK45" s="125"/>
      <c r="GZL45" s="14"/>
      <c r="GZM45" s="15"/>
      <c r="GZN45" s="125"/>
      <c r="GZO45" s="125"/>
      <c r="GZP45" s="14"/>
      <c r="GZQ45" s="10"/>
      <c r="GZR45" s="125"/>
      <c r="GZS45" s="125"/>
      <c r="GZT45" s="14"/>
      <c r="GZU45" s="15"/>
      <c r="GZV45" s="125"/>
      <c r="GZW45" s="125"/>
      <c r="GZX45" s="14"/>
      <c r="GZY45" s="15"/>
      <c r="GZZ45" s="125"/>
      <c r="HAA45" s="125"/>
      <c r="HAB45" s="14"/>
      <c r="HAC45" s="15"/>
      <c r="HAD45" s="125"/>
      <c r="HAE45" s="125"/>
      <c r="HAF45" s="14"/>
      <c r="HAG45" s="10"/>
      <c r="HAH45" s="125"/>
      <c r="HAI45" s="125"/>
      <c r="HAJ45" s="14"/>
      <c r="HAK45" s="15"/>
      <c r="HAL45" s="125"/>
      <c r="HAM45" s="125"/>
      <c r="HAN45" s="14"/>
      <c r="HAO45" s="15"/>
      <c r="HAP45" s="125"/>
      <c r="HAQ45" s="125"/>
      <c r="HAR45" s="14"/>
      <c r="HAS45" s="15"/>
      <c r="HAT45" s="125"/>
      <c r="HAU45" s="125"/>
      <c r="HAV45" s="14"/>
      <c r="HAW45" s="10"/>
      <c r="HAX45" s="125"/>
      <c r="HAY45" s="125"/>
      <c r="HAZ45" s="14"/>
      <c r="HBA45" s="15"/>
      <c r="HBB45" s="125"/>
      <c r="HBC45" s="125"/>
      <c r="HBD45" s="14"/>
      <c r="HBE45" s="15"/>
      <c r="HBF45" s="125"/>
      <c r="HBG45" s="125"/>
      <c r="HBH45" s="14"/>
      <c r="HBI45" s="15"/>
      <c r="HBJ45" s="125"/>
      <c r="HBK45" s="125"/>
      <c r="HBL45" s="14"/>
      <c r="HBM45" s="10"/>
      <c r="HBN45" s="125"/>
      <c r="HBO45" s="125"/>
      <c r="HBP45" s="14"/>
      <c r="HBQ45" s="15"/>
      <c r="HBR45" s="125"/>
      <c r="HBS45" s="125"/>
      <c r="HBT45" s="14"/>
      <c r="HBU45" s="15"/>
      <c r="HBV45" s="125"/>
      <c r="HBW45" s="125"/>
      <c r="HBX45" s="14"/>
      <c r="HBY45" s="15"/>
      <c r="HBZ45" s="125"/>
      <c r="HCA45" s="125"/>
      <c r="HCB45" s="14"/>
      <c r="HCC45" s="10"/>
      <c r="HCD45" s="125"/>
      <c r="HCE45" s="125"/>
      <c r="HCF45" s="14"/>
      <c r="HCG45" s="15"/>
      <c r="HCH45" s="125"/>
      <c r="HCI45" s="125"/>
      <c r="HCJ45" s="14"/>
      <c r="HCK45" s="15"/>
      <c r="HCL45" s="125"/>
      <c r="HCM45" s="125"/>
      <c r="HCN45" s="14"/>
      <c r="HCO45" s="15"/>
      <c r="HCP45" s="125"/>
      <c r="HCQ45" s="125"/>
      <c r="HCR45" s="14"/>
      <c r="HCS45" s="10"/>
      <c r="HCT45" s="125"/>
      <c r="HCU45" s="125"/>
      <c r="HCV45" s="14"/>
      <c r="HCW45" s="15"/>
      <c r="HCX45" s="125"/>
      <c r="HCY45" s="125"/>
      <c r="HCZ45" s="14"/>
      <c r="HDA45" s="15"/>
      <c r="HDB45" s="125"/>
      <c r="HDC45" s="125"/>
      <c r="HDD45" s="14"/>
      <c r="HDE45" s="15"/>
      <c r="HDF45" s="125"/>
      <c r="HDG45" s="125"/>
      <c r="HDH45" s="14"/>
      <c r="HDI45" s="10"/>
      <c r="HDJ45" s="125"/>
      <c r="HDK45" s="125"/>
      <c r="HDL45" s="14"/>
      <c r="HDM45" s="15"/>
      <c r="HDN45" s="125"/>
      <c r="HDO45" s="125"/>
      <c r="HDP45" s="14"/>
      <c r="HDQ45" s="15"/>
      <c r="HDR45" s="125"/>
      <c r="HDS45" s="125"/>
      <c r="HDT45" s="14"/>
      <c r="HDU45" s="15"/>
      <c r="HDV45" s="125"/>
      <c r="HDW45" s="125"/>
      <c r="HDX45" s="14"/>
      <c r="HDY45" s="10"/>
      <c r="HDZ45" s="125"/>
      <c r="HEA45" s="125"/>
      <c r="HEB45" s="14"/>
      <c r="HEC45" s="15"/>
      <c r="HED45" s="125"/>
      <c r="HEE45" s="125"/>
      <c r="HEF45" s="14"/>
      <c r="HEG45" s="15"/>
      <c r="HEH45" s="125"/>
      <c r="HEI45" s="125"/>
      <c r="HEJ45" s="14"/>
      <c r="HEK45" s="15"/>
      <c r="HEL45" s="125"/>
      <c r="HEM45" s="125"/>
      <c r="HEN45" s="14"/>
      <c r="HEO45" s="10"/>
      <c r="HEP45" s="125"/>
      <c r="HEQ45" s="125"/>
      <c r="HER45" s="14"/>
      <c r="HES45" s="15"/>
      <c r="HET45" s="125"/>
      <c r="HEU45" s="125"/>
      <c r="HEV45" s="14"/>
      <c r="HEW45" s="15"/>
      <c r="HEX45" s="125"/>
      <c r="HEY45" s="125"/>
      <c r="HEZ45" s="14"/>
      <c r="HFA45" s="15"/>
      <c r="HFB45" s="125"/>
      <c r="HFC45" s="125"/>
      <c r="HFD45" s="14"/>
      <c r="HFE45" s="10"/>
      <c r="HFF45" s="125"/>
      <c r="HFG45" s="125"/>
      <c r="HFH45" s="14"/>
      <c r="HFI45" s="15"/>
      <c r="HFJ45" s="125"/>
      <c r="HFK45" s="125"/>
      <c r="HFL45" s="14"/>
      <c r="HFM45" s="15"/>
      <c r="HFN45" s="125"/>
      <c r="HFO45" s="125"/>
      <c r="HFP45" s="14"/>
      <c r="HFQ45" s="15"/>
      <c r="HFR45" s="125"/>
      <c r="HFS45" s="125"/>
      <c r="HFT45" s="14"/>
      <c r="HFU45" s="10"/>
      <c r="HFV45" s="125"/>
      <c r="HFW45" s="125"/>
      <c r="HFX45" s="14"/>
      <c r="HFY45" s="15"/>
      <c r="HFZ45" s="125"/>
      <c r="HGA45" s="125"/>
      <c r="HGB45" s="14"/>
      <c r="HGC45" s="15"/>
      <c r="HGD45" s="125"/>
      <c r="HGE45" s="125"/>
      <c r="HGF45" s="14"/>
      <c r="HGG45" s="15"/>
      <c r="HGH45" s="125"/>
      <c r="HGI45" s="125"/>
      <c r="HGJ45" s="14"/>
      <c r="HGK45" s="10"/>
      <c r="HGL45" s="125"/>
      <c r="HGM45" s="125"/>
      <c r="HGN45" s="14"/>
      <c r="HGO45" s="15"/>
      <c r="HGP45" s="125"/>
      <c r="HGQ45" s="125"/>
      <c r="HGR45" s="14"/>
      <c r="HGS45" s="15"/>
      <c r="HGT45" s="125"/>
      <c r="HGU45" s="125"/>
      <c r="HGV45" s="14"/>
      <c r="HGW45" s="15"/>
      <c r="HGX45" s="125"/>
      <c r="HGY45" s="125"/>
      <c r="HGZ45" s="14"/>
      <c r="HHA45" s="10"/>
      <c r="HHB45" s="125"/>
      <c r="HHC45" s="125"/>
      <c r="HHD45" s="14"/>
      <c r="HHE45" s="15"/>
      <c r="HHF45" s="125"/>
      <c r="HHG45" s="125"/>
      <c r="HHH45" s="14"/>
      <c r="HHI45" s="15"/>
      <c r="HHJ45" s="125"/>
      <c r="HHK45" s="125"/>
      <c r="HHL45" s="14"/>
      <c r="HHM45" s="15"/>
      <c r="HHN45" s="125"/>
      <c r="HHO45" s="125"/>
      <c r="HHP45" s="14"/>
      <c r="HHQ45" s="10"/>
      <c r="HHR45" s="125"/>
      <c r="HHS45" s="125"/>
      <c r="HHT45" s="14"/>
      <c r="HHU45" s="15"/>
      <c r="HHV45" s="125"/>
      <c r="HHW45" s="125"/>
      <c r="HHX45" s="14"/>
      <c r="HHY45" s="15"/>
      <c r="HHZ45" s="125"/>
      <c r="HIA45" s="125"/>
      <c r="HIB45" s="14"/>
      <c r="HIC45" s="15"/>
      <c r="HID45" s="125"/>
      <c r="HIE45" s="125"/>
      <c r="HIF45" s="14"/>
      <c r="HIG45" s="10"/>
      <c r="HIH45" s="125"/>
      <c r="HII45" s="125"/>
      <c r="HIJ45" s="14"/>
      <c r="HIK45" s="15"/>
      <c r="HIL45" s="125"/>
      <c r="HIM45" s="125"/>
      <c r="HIN45" s="14"/>
      <c r="HIO45" s="15"/>
      <c r="HIP45" s="125"/>
      <c r="HIQ45" s="125"/>
      <c r="HIR45" s="14"/>
      <c r="HIS45" s="15"/>
      <c r="HIT45" s="125"/>
      <c r="HIU45" s="125"/>
      <c r="HIV45" s="14"/>
      <c r="HIW45" s="10"/>
      <c r="HIX45" s="125"/>
      <c r="HIY45" s="125"/>
      <c r="HIZ45" s="14"/>
      <c r="HJA45" s="15"/>
      <c r="HJB45" s="125"/>
      <c r="HJC45" s="125"/>
      <c r="HJD45" s="14"/>
      <c r="HJE45" s="15"/>
      <c r="HJF45" s="125"/>
      <c r="HJG45" s="125"/>
      <c r="HJH45" s="14"/>
      <c r="HJI45" s="15"/>
      <c r="HJJ45" s="125"/>
      <c r="HJK45" s="125"/>
      <c r="HJL45" s="14"/>
      <c r="HJM45" s="10"/>
      <c r="HJN45" s="125"/>
      <c r="HJO45" s="125"/>
      <c r="HJP45" s="14"/>
      <c r="HJQ45" s="15"/>
      <c r="HJR45" s="125"/>
      <c r="HJS45" s="125"/>
      <c r="HJT45" s="14"/>
      <c r="HJU45" s="15"/>
      <c r="HJV45" s="125"/>
      <c r="HJW45" s="125"/>
      <c r="HJX45" s="14"/>
      <c r="HJY45" s="15"/>
      <c r="HJZ45" s="125"/>
      <c r="HKA45" s="125"/>
      <c r="HKB45" s="14"/>
      <c r="HKC45" s="10"/>
      <c r="HKD45" s="125"/>
      <c r="HKE45" s="125"/>
      <c r="HKF45" s="14"/>
      <c r="HKG45" s="15"/>
      <c r="HKH45" s="125"/>
      <c r="HKI45" s="125"/>
      <c r="HKJ45" s="14"/>
      <c r="HKK45" s="15"/>
      <c r="HKL45" s="125"/>
      <c r="HKM45" s="125"/>
      <c r="HKN45" s="14"/>
      <c r="HKO45" s="15"/>
      <c r="HKP45" s="125"/>
      <c r="HKQ45" s="125"/>
      <c r="HKR45" s="14"/>
      <c r="HKS45" s="10"/>
      <c r="HKT45" s="125"/>
      <c r="HKU45" s="125"/>
      <c r="HKV45" s="14"/>
      <c r="HKW45" s="15"/>
      <c r="HKX45" s="125"/>
      <c r="HKY45" s="125"/>
      <c r="HKZ45" s="14"/>
      <c r="HLA45" s="15"/>
      <c r="HLB45" s="125"/>
      <c r="HLC45" s="125"/>
      <c r="HLD45" s="14"/>
      <c r="HLE45" s="15"/>
      <c r="HLF45" s="125"/>
      <c r="HLG45" s="125"/>
      <c r="HLH45" s="14"/>
      <c r="HLI45" s="10"/>
      <c r="HLJ45" s="125"/>
      <c r="HLK45" s="125"/>
      <c r="HLL45" s="14"/>
      <c r="HLM45" s="15"/>
      <c r="HLN45" s="125"/>
      <c r="HLO45" s="125"/>
      <c r="HLP45" s="14"/>
      <c r="HLQ45" s="15"/>
      <c r="HLR45" s="125"/>
      <c r="HLS45" s="125"/>
      <c r="HLT45" s="14"/>
      <c r="HLU45" s="15"/>
      <c r="HLV45" s="125"/>
      <c r="HLW45" s="125"/>
      <c r="HLX45" s="14"/>
      <c r="HLY45" s="10"/>
      <c r="HLZ45" s="125"/>
      <c r="HMA45" s="125"/>
      <c r="HMB45" s="14"/>
      <c r="HMC45" s="15"/>
      <c r="HMD45" s="125"/>
      <c r="HME45" s="125"/>
      <c r="HMF45" s="14"/>
      <c r="HMG45" s="15"/>
      <c r="HMH45" s="125"/>
      <c r="HMI45" s="125"/>
      <c r="HMJ45" s="14"/>
      <c r="HMK45" s="15"/>
      <c r="HML45" s="125"/>
      <c r="HMM45" s="125"/>
      <c r="HMN45" s="14"/>
      <c r="HMO45" s="10"/>
      <c r="HMP45" s="125"/>
      <c r="HMQ45" s="125"/>
      <c r="HMR45" s="14"/>
      <c r="HMS45" s="15"/>
      <c r="HMT45" s="125"/>
      <c r="HMU45" s="125"/>
      <c r="HMV45" s="14"/>
      <c r="HMW45" s="15"/>
      <c r="HMX45" s="125"/>
      <c r="HMY45" s="125"/>
      <c r="HMZ45" s="14"/>
      <c r="HNA45" s="15"/>
      <c r="HNB45" s="125"/>
      <c r="HNC45" s="125"/>
      <c r="HND45" s="14"/>
      <c r="HNE45" s="10"/>
      <c r="HNF45" s="125"/>
      <c r="HNG45" s="125"/>
      <c r="HNH45" s="14"/>
      <c r="HNI45" s="15"/>
      <c r="HNJ45" s="125"/>
      <c r="HNK45" s="125"/>
      <c r="HNL45" s="14"/>
      <c r="HNM45" s="15"/>
      <c r="HNN45" s="125"/>
      <c r="HNO45" s="125"/>
      <c r="HNP45" s="14"/>
      <c r="HNQ45" s="15"/>
      <c r="HNR45" s="125"/>
      <c r="HNS45" s="125"/>
      <c r="HNT45" s="14"/>
      <c r="HNU45" s="10"/>
      <c r="HNV45" s="125"/>
      <c r="HNW45" s="125"/>
      <c r="HNX45" s="14"/>
      <c r="HNY45" s="15"/>
      <c r="HNZ45" s="125"/>
      <c r="HOA45" s="125"/>
      <c r="HOB45" s="14"/>
      <c r="HOC45" s="15"/>
      <c r="HOD45" s="125"/>
      <c r="HOE45" s="125"/>
      <c r="HOF45" s="14"/>
      <c r="HOG45" s="15"/>
      <c r="HOH45" s="125"/>
      <c r="HOI45" s="125"/>
      <c r="HOJ45" s="14"/>
      <c r="HOK45" s="10"/>
      <c r="HOL45" s="125"/>
      <c r="HOM45" s="125"/>
      <c r="HON45" s="14"/>
      <c r="HOO45" s="15"/>
      <c r="HOP45" s="125"/>
      <c r="HOQ45" s="125"/>
      <c r="HOR45" s="14"/>
      <c r="HOS45" s="15"/>
      <c r="HOT45" s="125"/>
      <c r="HOU45" s="125"/>
      <c r="HOV45" s="14"/>
      <c r="HOW45" s="15"/>
      <c r="HOX45" s="125"/>
      <c r="HOY45" s="125"/>
      <c r="HOZ45" s="14"/>
      <c r="HPA45" s="10"/>
      <c r="HPB45" s="125"/>
      <c r="HPC45" s="125"/>
      <c r="HPD45" s="14"/>
      <c r="HPE45" s="15"/>
      <c r="HPF45" s="125"/>
      <c r="HPG45" s="125"/>
      <c r="HPH45" s="14"/>
      <c r="HPI45" s="15"/>
      <c r="HPJ45" s="125"/>
      <c r="HPK45" s="125"/>
      <c r="HPL45" s="14"/>
      <c r="HPM45" s="15"/>
      <c r="HPN45" s="125"/>
      <c r="HPO45" s="125"/>
      <c r="HPP45" s="14"/>
      <c r="HPQ45" s="10"/>
      <c r="HPR45" s="125"/>
      <c r="HPS45" s="125"/>
      <c r="HPT45" s="14"/>
      <c r="HPU45" s="15"/>
      <c r="HPV45" s="125"/>
      <c r="HPW45" s="125"/>
      <c r="HPX45" s="14"/>
      <c r="HPY45" s="15"/>
      <c r="HPZ45" s="125"/>
      <c r="HQA45" s="125"/>
      <c r="HQB45" s="14"/>
      <c r="HQC45" s="15"/>
      <c r="HQD45" s="125"/>
      <c r="HQE45" s="125"/>
      <c r="HQF45" s="14"/>
      <c r="HQG45" s="10"/>
      <c r="HQH45" s="125"/>
      <c r="HQI45" s="125"/>
      <c r="HQJ45" s="14"/>
      <c r="HQK45" s="15"/>
      <c r="HQL45" s="125"/>
      <c r="HQM45" s="125"/>
      <c r="HQN45" s="14"/>
      <c r="HQO45" s="15"/>
      <c r="HQP45" s="125"/>
      <c r="HQQ45" s="125"/>
      <c r="HQR45" s="14"/>
      <c r="HQS45" s="15"/>
      <c r="HQT45" s="125"/>
      <c r="HQU45" s="125"/>
      <c r="HQV45" s="14"/>
      <c r="HQW45" s="10"/>
      <c r="HQX45" s="125"/>
      <c r="HQY45" s="125"/>
      <c r="HQZ45" s="14"/>
      <c r="HRA45" s="15"/>
      <c r="HRB45" s="125"/>
      <c r="HRC45" s="125"/>
      <c r="HRD45" s="14"/>
      <c r="HRE45" s="15"/>
      <c r="HRF45" s="125"/>
      <c r="HRG45" s="125"/>
      <c r="HRH45" s="14"/>
      <c r="HRI45" s="15"/>
      <c r="HRJ45" s="125"/>
      <c r="HRK45" s="125"/>
      <c r="HRL45" s="14"/>
      <c r="HRM45" s="10"/>
      <c r="HRN45" s="125"/>
      <c r="HRO45" s="125"/>
      <c r="HRP45" s="14"/>
      <c r="HRQ45" s="15"/>
      <c r="HRR45" s="125"/>
      <c r="HRS45" s="125"/>
      <c r="HRT45" s="14"/>
      <c r="HRU45" s="15"/>
      <c r="HRV45" s="125"/>
      <c r="HRW45" s="125"/>
      <c r="HRX45" s="14"/>
      <c r="HRY45" s="15"/>
      <c r="HRZ45" s="125"/>
      <c r="HSA45" s="125"/>
      <c r="HSB45" s="14"/>
      <c r="HSC45" s="10"/>
      <c r="HSD45" s="125"/>
      <c r="HSE45" s="125"/>
      <c r="HSF45" s="14"/>
      <c r="HSG45" s="15"/>
      <c r="HSH45" s="125"/>
      <c r="HSI45" s="125"/>
      <c r="HSJ45" s="14"/>
      <c r="HSK45" s="15"/>
      <c r="HSL45" s="125"/>
      <c r="HSM45" s="125"/>
      <c r="HSN45" s="14"/>
      <c r="HSO45" s="15"/>
      <c r="HSP45" s="125"/>
      <c r="HSQ45" s="125"/>
      <c r="HSR45" s="14"/>
      <c r="HSS45" s="10"/>
      <c r="HST45" s="125"/>
      <c r="HSU45" s="125"/>
      <c r="HSV45" s="14"/>
      <c r="HSW45" s="15"/>
      <c r="HSX45" s="125"/>
      <c r="HSY45" s="125"/>
      <c r="HSZ45" s="14"/>
      <c r="HTA45" s="15"/>
      <c r="HTB45" s="125"/>
      <c r="HTC45" s="125"/>
      <c r="HTD45" s="14"/>
      <c r="HTE45" s="15"/>
      <c r="HTF45" s="125"/>
      <c r="HTG45" s="125"/>
      <c r="HTH45" s="14"/>
      <c r="HTI45" s="10"/>
      <c r="HTJ45" s="125"/>
      <c r="HTK45" s="125"/>
      <c r="HTL45" s="14"/>
      <c r="HTM45" s="15"/>
      <c r="HTN45" s="125"/>
      <c r="HTO45" s="125"/>
      <c r="HTP45" s="14"/>
      <c r="HTQ45" s="15"/>
      <c r="HTR45" s="125"/>
      <c r="HTS45" s="125"/>
      <c r="HTT45" s="14"/>
      <c r="HTU45" s="15"/>
      <c r="HTV45" s="125"/>
      <c r="HTW45" s="125"/>
      <c r="HTX45" s="14"/>
      <c r="HTY45" s="10"/>
      <c r="HTZ45" s="125"/>
      <c r="HUA45" s="125"/>
      <c r="HUB45" s="14"/>
      <c r="HUC45" s="15"/>
      <c r="HUD45" s="125"/>
      <c r="HUE45" s="125"/>
      <c r="HUF45" s="14"/>
      <c r="HUG45" s="15"/>
      <c r="HUH45" s="125"/>
      <c r="HUI45" s="125"/>
      <c r="HUJ45" s="14"/>
      <c r="HUK45" s="15"/>
      <c r="HUL45" s="125"/>
      <c r="HUM45" s="125"/>
      <c r="HUN45" s="14"/>
      <c r="HUO45" s="10"/>
      <c r="HUP45" s="125"/>
      <c r="HUQ45" s="125"/>
      <c r="HUR45" s="14"/>
      <c r="HUS45" s="15"/>
      <c r="HUT45" s="125"/>
      <c r="HUU45" s="125"/>
      <c r="HUV45" s="14"/>
      <c r="HUW45" s="15"/>
      <c r="HUX45" s="125"/>
      <c r="HUY45" s="125"/>
      <c r="HUZ45" s="14"/>
      <c r="HVA45" s="15"/>
      <c r="HVB45" s="125"/>
      <c r="HVC45" s="125"/>
      <c r="HVD45" s="14"/>
      <c r="HVE45" s="10"/>
      <c r="HVF45" s="125"/>
      <c r="HVG45" s="125"/>
      <c r="HVH45" s="14"/>
      <c r="HVI45" s="15"/>
      <c r="HVJ45" s="125"/>
      <c r="HVK45" s="125"/>
      <c r="HVL45" s="14"/>
      <c r="HVM45" s="15"/>
      <c r="HVN45" s="125"/>
      <c r="HVO45" s="125"/>
      <c r="HVP45" s="14"/>
      <c r="HVQ45" s="15"/>
      <c r="HVR45" s="125"/>
      <c r="HVS45" s="125"/>
      <c r="HVT45" s="14"/>
      <c r="HVU45" s="10"/>
      <c r="HVV45" s="125"/>
      <c r="HVW45" s="125"/>
      <c r="HVX45" s="14"/>
      <c r="HVY45" s="15"/>
      <c r="HVZ45" s="125"/>
      <c r="HWA45" s="125"/>
      <c r="HWB45" s="14"/>
      <c r="HWC45" s="15"/>
      <c r="HWD45" s="125"/>
      <c r="HWE45" s="125"/>
      <c r="HWF45" s="14"/>
      <c r="HWG45" s="15"/>
      <c r="HWH45" s="125"/>
      <c r="HWI45" s="125"/>
      <c r="HWJ45" s="14"/>
      <c r="HWK45" s="10"/>
      <c r="HWL45" s="125"/>
      <c r="HWM45" s="125"/>
      <c r="HWN45" s="14"/>
      <c r="HWO45" s="15"/>
      <c r="HWP45" s="125"/>
      <c r="HWQ45" s="125"/>
      <c r="HWR45" s="14"/>
      <c r="HWS45" s="15"/>
      <c r="HWT45" s="125"/>
      <c r="HWU45" s="125"/>
      <c r="HWV45" s="14"/>
      <c r="HWW45" s="15"/>
      <c r="HWX45" s="125"/>
      <c r="HWY45" s="125"/>
      <c r="HWZ45" s="14"/>
      <c r="HXA45" s="10"/>
      <c r="HXB45" s="125"/>
      <c r="HXC45" s="125"/>
      <c r="HXD45" s="14"/>
      <c r="HXE45" s="15"/>
      <c r="HXF45" s="125"/>
      <c r="HXG45" s="125"/>
      <c r="HXH45" s="14"/>
      <c r="HXI45" s="15"/>
      <c r="HXJ45" s="125"/>
      <c r="HXK45" s="125"/>
      <c r="HXL45" s="14"/>
      <c r="HXM45" s="15"/>
      <c r="HXN45" s="125"/>
      <c r="HXO45" s="125"/>
      <c r="HXP45" s="14"/>
      <c r="HXQ45" s="10"/>
      <c r="HXR45" s="125"/>
      <c r="HXS45" s="125"/>
      <c r="HXT45" s="14"/>
      <c r="HXU45" s="15"/>
      <c r="HXV45" s="125"/>
      <c r="HXW45" s="125"/>
      <c r="HXX45" s="14"/>
      <c r="HXY45" s="15"/>
      <c r="HXZ45" s="125"/>
      <c r="HYA45" s="125"/>
      <c r="HYB45" s="14"/>
      <c r="HYC45" s="15"/>
      <c r="HYD45" s="125"/>
      <c r="HYE45" s="125"/>
      <c r="HYF45" s="14"/>
      <c r="HYG45" s="10"/>
      <c r="HYH45" s="125"/>
      <c r="HYI45" s="125"/>
      <c r="HYJ45" s="14"/>
      <c r="HYK45" s="15"/>
      <c r="HYL45" s="125"/>
      <c r="HYM45" s="125"/>
      <c r="HYN45" s="14"/>
      <c r="HYO45" s="15"/>
      <c r="HYP45" s="125"/>
      <c r="HYQ45" s="125"/>
      <c r="HYR45" s="14"/>
      <c r="HYS45" s="15"/>
      <c r="HYT45" s="125"/>
      <c r="HYU45" s="125"/>
      <c r="HYV45" s="14"/>
      <c r="HYW45" s="10"/>
      <c r="HYX45" s="125"/>
      <c r="HYY45" s="125"/>
      <c r="HYZ45" s="14"/>
      <c r="HZA45" s="15"/>
      <c r="HZB45" s="125"/>
      <c r="HZC45" s="125"/>
      <c r="HZD45" s="14"/>
      <c r="HZE45" s="15"/>
      <c r="HZF45" s="125"/>
      <c r="HZG45" s="125"/>
      <c r="HZH45" s="14"/>
      <c r="HZI45" s="15"/>
      <c r="HZJ45" s="125"/>
      <c r="HZK45" s="125"/>
      <c r="HZL45" s="14"/>
      <c r="HZM45" s="10"/>
      <c r="HZN45" s="125"/>
      <c r="HZO45" s="125"/>
      <c r="HZP45" s="14"/>
      <c r="HZQ45" s="15"/>
      <c r="HZR45" s="125"/>
      <c r="HZS45" s="125"/>
      <c r="HZT45" s="14"/>
      <c r="HZU45" s="15"/>
      <c r="HZV45" s="125"/>
      <c r="HZW45" s="125"/>
      <c r="HZX45" s="14"/>
      <c r="HZY45" s="15"/>
      <c r="HZZ45" s="125"/>
      <c r="IAA45" s="125"/>
      <c r="IAB45" s="14"/>
      <c r="IAC45" s="10"/>
      <c r="IAD45" s="125"/>
      <c r="IAE45" s="125"/>
      <c r="IAF45" s="14"/>
      <c r="IAG45" s="15"/>
      <c r="IAH45" s="125"/>
      <c r="IAI45" s="125"/>
      <c r="IAJ45" s="14"/>
      <c r="IAK45" s="15"/>
      <c r="IAL45" s="125"/>
      <c r="IAM45" s="125"/>
      <c r="IAN45" s="14"/>
      <c r="IAO45" s="15"/>
      <c r="IAP45" s="125"/>
      <c r="IAQ45" s="125"/>
      <c r="IAR45" s="14"/>
      <c r="IAS45" s="10"/>
      <c r="IAT45" s="125"/>
      <c r="IAU45" s="125"/>
      <c r="IAV45" s="14"/>
      <c r="IAW45" s="15"/>
      <c r="IAX45" s="125"/>
      <c r="IAY45" s="125"/>
      <c r="IAZ45" s="14"/>
      <c r="IBA45" s="15"/>
      <c r="IBB45" s="125"/>
      <c r="IBC45" s="125"/>
      <c r="IBD45" s="14"/>
      <c r="IBE45" s="15"/>
      <c r="IBF45" s="125"/>
      <c r="IBG45" s="125"/>
      <c r="IBH45" s="14"/>
      <c r="IBI45" s="10"/>
      <c r="IBJ45" s="125"/>
      <c r="IBK45" s="125"/>
      <c r="IBL45" s="14"/>
      <c r="IBM45" s="15"/>
      <c r="IBN45" s="125"/>
      <c r="IBO45" s="125"/>
      <c r="IBP45" s="14"/>
      <c r="IBQ45" s="15"/>
      <c r="IBR45" s="125"/>
      <c r="IBS45" s="125"/>
      <c r="IBT45" s="14"/>
      <c r="IBU45" s="15"/>
      <c r="IBV45" s="125"/>
      <c r="IBW45" s="125"/>
      <c r="IBX45" s="14"/>
      <c r="IBY45" s="10"/>
      <c r="IBZ45" s="125"/>
      <c r="ICA45" s="125"/>
      <c r="ICB45" s="14"/>
      <c r="ICC45" s="15"/>
      <c r="ICD45" s="125"/>
      <c r="ICE45" s="125"/>
      <c r="ICF45" s="14"/>
      <c r="ICG45" s="15"/>
      <c r="ICH45" s="125"/>
      <c r="ICI45" s="125"/>
      <c r="ICJ45" s="14"/>
      <c r="ICK45" s="15"/>
      <c r="ICL45" s="125"/>
      <c r="ICM45" s="125"/>
      <c r="ICN45" s="14"/>
      <c r="ICO45" s="10"/>
      <c r="ICP45" s="125"/>
      <c r="ICQ45" s="125"/>
      <c r="ICR45" s="14"/>
      <c r="ICS45" s="15"/>
      <c r="ICT45" s="125"/>
      <c r="ICU45" s="125"/>
      <c r="ICV45" s="14"/>
      <c r="ICW45" s="15"/>
      <c r="ICX45" s="125"/>
      <c r="ICY45" s="125"/>
      <c r="ICZ45" s="14"/>
      <c r="IDA45" s="15"/>
      <c r="IDB45" s="125"/>
      <c r="IDC45" s="125"/>
      <c r="IDD45" s="14"/>
      <c r="IDE45" s="10"/>
      <c r="IDF45" s="125"/>
      <c r="IDG45" s="125"/>
      <c r="IDH45" s="14"/>
      <c r="IDI45" s="15"/>
      <c r="IDJ45" s="125"/>
      <c r="IDK45" s="125"/>
      <c r="IDL45" s="14"/>
      <c r="IDM45" s="15"/>
      <c r="IDN45" s="125"/>
      <c r="IDO45" s="125"/>
      <c r="IDP45" s="14"/>
      <c r="IDQ45" s="15"/>
      <c r="IDR45" s="125"/>
      <c r="IDS45" s="125"/>
      <c r="IDT45" s="14"/>
      <c r="IDU45" s="10"/>
      <c r="IDV45" s="125"/>
      <c r="IDW45" s="125"/>
      <c r="IDX45" s="14"/>
      <c r="IDY45" s="15"/>
      <c r="IDZ45" s="125"/>
      <c r="IEA45" s="125"/>
      <c r="IEB45" s="14"/>
      <c r="IEC45" s="15"/>
      <c r="IED45" s="125"/>
      <c r="IEE45" s="125"/>
      <c r="IEF45" s="14"/>
      <c r="IEG45" s="15"/>
      <c r="IEH45" s="125"/>
      <c r="IEI45" s="125"/>
      <c r="IEJ45" s="14"/>
      <c r="IEK45" s="10"/>
      <c r="IEL45" s="125"/>
      <c r="IEM45" s="125"/>
      <c r="IEN45" s="14"/>
      <c r="IEO45" s="15"/>
      <c r="IEP45" s="125"/>
      <c r="IEQ45" s="125"/>
      <c r="IER45" s="14"/>
      <c r="IES45" s="15"/>
      <c r="IET45" s="125"/>
      <c r="IEU45" s="125"/>
      <c r="IEV45" s="14"/>
      <c r="IEW45" s="15"/>
      <c r="IEX45" s="125"/>
      <c r="IEY45" s="125"/>
      <c r="IEZ45" s="14"/>
      <c r="IFA45" s="10"/>
      <c r="IFB45" s="125"/>
      <c r="IFC45" s="125"/>
      <c r="IFD45" s="14"/>
      <c r="IFE45" s="15"/>
      <c r="IFF45" s="125"/>
      <c r="IFG45" s="125"/>
      <c r="IFH45" s="14"/>
      <c r="IFI45" s="15"/>
      <c r="IFJ45" s="125"/>
      <c r="IFK45" s="125"/>
      <c r="IFL45" s="14"/>
      <c r="IFM45" s="15"/>
      <c r="IFN45" s="125"/>
      <c r="IFO45" s="125"/>
      <c r="IFP45" s="14"/>
      <c r="IFQ45" s="10"/>
      <c r="IFR45" s="125"/>
      <c r="IFS45" s="125"/>
      <c r="IFT45" s="14"/>
      <c r="IFU45" s="15"/>
      <c r="IFV45" s="125"/>
      <c r="IFW45" s="125"/>
      <c r="IFX45" s="14"/>
      <c r="IFY45" s="15"/>
      <c r="IFZ45" s="125"/>
      <c r="IGA45" s="125"/>
      <c r="IGB45" s="14"/>
      <c r="IGC45" s="15"/>
      <c r="IGD45" s="125"/>
      <c r="IGE45" s="125"/>
      <c r="IGF45" s="14"/>
      <c r="IGG45" s="10"/>
      <c r="IGH45" s="125"/>
      <c r="IGI45" s="125"/>
      <c r="IGJ45" s="14"/>
      <c r="IGK45" s="15"/>
      <c r="IGL45" s="125"/>
      <c r="IGM45" s="125"/>
      <c r="IGN45" s="14"/>
      <c r="IGO45" s="15"/>
      <c r="IGP45" s="125"/>
      <c r="IGQ45" s="125"/>
      <c r="IGR45" s="14"/>
      <c r="IGS45" s="15"/>
      <c r="IGT45" s="125"/>
      <c r="IGU45" s="125"/>
      <c r="IGV45" s="14"/>
      <c r="IGW45" s="10"/>
      <c r="IGX45" s="125"/>
      <c r="IGY45" s="125"/>
      <c r="IGZ45" s="14"/>
      <c r="IHA45" s="15"/>
      <c r="IHB45" s="125"/>
      <c r="IHC45" s="125"/>
      <c r="IHD45" s="14"/>
      <c r="IHE45" s="15"/>
      <c r="IHF45" s="125"/>
      <c r="IHG45" s="125"/>
      <c r="IHH45" s="14"/>
      <c r="IHI45" s="15"/>
      <c r="IHJ45" s="125"/>
      <c r="IHK45" s="125"/>
      <c r="IHL45" s="14"/>
      <c r="IHM45" s="10"/>
      <c r="IHN45" s="125"/>
      <c r="IHO45" s="125"/>
      <c r="IHP45" s="14"/>
      <c r="IHQ45" s="15"/>
      <c r="IHR45" s="125"/>
      <c r="IHS45" s="125"/>
      <c r="IHT45" s="14"/>
      <c r="IHU45" s="15"/>
      <c r="IHV45" s="125"/>
      <c r="IHW45" s="125"/>
      <c r="IHX45" s="14"/>
      <c r="IHY45" s="15"/>
      <c r="IHZ45" s="125"/>
      <c r="IIA45" s="125"/>
      <c r="IIB45" s="14"/>
      <c r="IIC45" s="10"/>
      <c r="IID45" s="125"/>
      <c r="IIE45" s="125"/>
      <c r="IIF45" s="14"/>
      <c r="IIG45" s="15"/>
      <c r="IIH45" s="125"/>
      <c r="III45" s="125"/>
      <c r="IIJ45" s="14"/>
      <c r="IIK45" s="15"/>
      <c r="IIL45" s="125"/>
      <c r="IIM45" s="125"/>
      <c r="IIN45" s="14"/>
      <c r="IIO45" s="15"/>
      <c r="IIP45" s="125"/>
      <c r="IIQ45" s="125"/>
      <c r="IIR45" s="14"/>
      <c r="IIS45" s="10"/>
      <c r="IIT45" s="125"/>
      <c r="IIU45" s="125"/>
      <c r="IIV45" s="14"/>
      <c r="IIW45" s="15"/>
      <c r="IIX45" s="125"/>
      <c r="IIY45" s="125"/>
      <c r="IIZ45" s="14"/>
      <c r="IJA45" s="15"/>
      <c r="IJB45" s="125"/>
      <c r="IJC45" s="125"/>
      <c r="IJD45" s="14"/>
      <c r="IJE45" s="15"/>
      <c r="IJF45" s="125"/>
      <c r="IJG45" s="125"/>
      <c r="IJH45" s="14"/>
      <c r="IJI45" s="10"/>
      <c r="IJJ45" s="125"/>
      <c r="IJK45" s="125"/>
      <c r="IJL45" s="14"/>
      <c r="IJM45" s="15"/>
      <c r="IJN45" s="125"/>
      <c r="IJO45" s="125"/>
      <c r="IJP45" s="14"/>
      <c r="IJQ45" s="15"/>
      <c r="IJR45" s="125"/>
      <c r="IJS45" s="125"/>
      <c r="IJT45" s="14"/>
      <c r="IJU45" s="15"/>
      <c r="IJV45" s="125"/>
      <c r="IJW45" s="125"/>
      <c r="IJX45" s="14"/>
      <c r="IJY45" s="10"/>
      <c r="IJZ45" s="125"/>
      <c r="IKA45" s="125"/>
      <c r="IKB45" s="14"/>
      <c r="IKC45" s="15"/>
      <c r="IKD45" s="125"/>
      <c r="IKE45" s="125"/>
      <c r="IKF45" s="14"/>
      <c r="IKG45" s="15"/>
      <c r="IKH45" s="125"/>
      <c r="IKI45" s="125"/>
      <c r="IKJ45" s="14"/>
      <c r="IKK45" s="15"/>
      <c r="IKL45" s="125"/>
      <c r="IKM45" s="125"/>
      <c r="IKN45" s="14"/>
      <c r="IKO45" s="10"/>
      <c r="IKP45" s="125"/>
      <c r="IKQ45" s="125"/>
      <c r="IKR45" s="14"/>
      <c r="IKS45" s="15"/>
      <c r="IKT45" s="125"/>
      <c r="IKU45" s="125"/>
      <c r="IKV45" s="14"/>
      <c r="IKW45" s="15"/>
      <c r="IKX45" s="125"/>
      <c r="IKY45" s="125"/>
      <c r="IKZ45" s="14"/>
      <c r="ILA45" s="15"/>
      <c r="ILB45" s="125"/>
      <c r="ILC45" s="125"/>
      <c r="ILD45" s="14"/>
      <c r="ILE45" s="10"/>
      <c r="ILF45" s="125"/>
      <c r="ILG45" s="125"/>
      <c r="ILH45" s="14"/>
      <c r="ILI45" s="15"/>
      <c r="ILJ45" s="125"/>
      <c r="ILK45" s="125"/>
      <c r="ILL45" s="14"/>
      <c r="ILM45" s="15"/>
      <c r="ILN45" s="125"/>
      <c r="ILO45" s="125"/>
      <c r="ILP45" s="14"/>
      <c r="ILQ45" s="15"/>
      <c r="ILR45" s="125"/>
      <c r="ILS45" s="125"/>
      <c r="ILT45" s="14"/>
      <c r="ILU45" s="10"/>
      <c r="ILV45" s="125"/>
      <c r="ILW45" s="125"/>
      <c r="ILX45" s="14"/>
      <c r="ILY45" s="15"/>
      <c r="ILZ45" s="125"/>
      <c r="IMA45" s="125"/>
      <c r="IMB45" s="14"/>
      <c r="IMC45" s="15"/>
      <c r="IMD45" s="125"/>
      <c r="IME45" s="125"/>
      <c r="IMF45" s="14"/>
      <c r="IMG45" s="15"/>
      <c r="IMH45" s="125"/>
      <c r="IMI45" s="125"/>
      <c r="IMJ45" s="14"/>
      <c r="IMK45" s="10"/>
      <c r="IML45" s="125"/>
      <c r="IMM45" s="125"/>
      <c r="IMN45" s="14"/>
      <c r="IMO45" s="15"/>
      <c r="IMP45" s="125"/>
      <c r="IMQ45" s="125"/>
      <c r="IMR45" s="14"/>
      <c r="IMS45" s="15"/>
      <c r="IMT45" s="125"/>
      <c r="IMU45" s="125"/>
      <c r="IMV45" s="14"/>
      <c r="IMW45" s="15"/>
      <c r="IMX45" s="125"/>
      <c r="IMY45" s="125"/>
      <c r="IMZ45" s="14"/>
      <c r="INA45" s="10"/>
      <c r="INB45" s="125"/>
      <c r="INC45" s="125"/>
      <c r="IND45" s="14"/>
      <c r="INE45" s="15"/>
      <c r="INF45" s="125"/>
      <c r="ING45" s="125"/>
      <c r="INH45" s="14"/>
      <c r="INI45" s="15"/>
      <c r="INJ45" s="125"/>
      <c r="INK45" s="125"/>
      <c r="INL45" s="14"/>
      <c r="INM45" s="15"/>
      <c r="INN45" s="125"/>
      <c r="INO45" s="125"/>
      <c r="INP45" s="14"/>
      <c r="INQ45" s="10"/>
      <c r="INR45" s="125"/>
      <c r="INS45" s="125"/>
      <c r="INT45" s="14"/>
      <c r="INU45" s="15"/>
      <c r="INV45" s="125"/>
      <c r="INW45" s="125"/>
      <c r="INX45" s="14"/>
      <c r="INY45" s="15"/>
      <c r="INZ45" s="125"/>
      <c r="IOA45" s="125"/>
      <c r="IOB45" s="14"/>
      <c r="IOC45" s="15"/>
      <c r="IOD45" s="125"/>
      <c r="IOE45" s="125"/>
      <c r="IOF45" s="14"/>
      <c r="IOG45" s="10"/>
      <c r="IOH45" s="125"/>
      <c r="IOI45" s="125"/>
      <c r="IOJ45" s="14"/>
      <c r="IOK45" s="15"/>
      <c r="IOL45" s="125"/>
      <c r="IOM45" s="125"/>
      <c r="ION45" s="14"/>
      <c r="IOO45" s="15"/>
      <c r="IOP45" s="125"/>
      <c r="IOQ45" s="125"/>
      <c r="IOR45" s="14"/>
      <c r="IOS45" s="15"/>
      <c r="IOT45" s="125"/>
      <c r="IOU45" s="125"/>
      <c r="IOV45" s="14"/>
      <c r="IOW45" s="10"/>
      <c r="IOX45" s="125"/>
      <c r="IOY45" s="125"/>
      <c r="IOZ45" s="14"/>
      <c r="IPA45" s="15"/>
      <c r="IPB45" s="125"/>
      <c r="IPC45" s="125"/>
      <c r="IPD45" s="14"/>
      <c r="IPE45" s="15"/>
      <c r="IPF45" s="125"/>
      <c r="IPG45" s="125"/>
      <c r="IPH45" s="14"/>
      <c r="IPI45" s="15"/>
      <c r="IPJ45" s="125"/>
      <c r="IPK45" s="125"/>
      <c r="IPL45" s="14"/>
      <c r="IPM45" s="10"/>
      <c r="IPN45" s="125"/>
      <c r="IPO45" s="125"/>
      <c r="IPP45" s="14"/>
      <c r="IPQ45" s="15"/>
      <c r="IPR45" s="125"/>
      <c r="IPS45" s="125"/>
      <c r="IPT45" s="14"/>
      <c r="IPU45" s="15"/>
      <c r="IPV45" s="125"/>
      <c r="IPW45" s="125"/>
      <c r="IPX45" s="14"/>
      <c r="IPY45" s="15"/>
      <c r="IPZ45" s="125"/>
      <c r="IQA45" s="125"/>
      <c r="IQB45" s="14"/>
      <c r="IQC45" s="10"/>
      <c r="IQD45" s="125"/>
      <c r="IQE45" s="125"/>
      <c r="IQF45" s="14"/>
      <c r="IQG45" s="15"/>
      <c r="IQH45" s="125"/>
      <c r="IQI45" s="125"/>
      <c r="IQJ45" s="14"/>
      <c r="IQK45" s="15"/>
      <c r="IQL45" s="125"/>
      <c r="IQM45" s="125"/>
      <c r="IQN45" s="14"/>
      <c r="IQO45" s="15"/>
      <c r="IQP45" s="125"/>
      <c r="IQQ45" s="125"/>
      <c r="IQR45" s="14"/>
      <c r="IQS45" s="10"/>
      <c r="IQT45" s="125"/>
      <c r="IQU45" s="125"/>
      <c r="IQV45" s="14"/>
      <c r="IQW45" s="15"/>
      <c r="IQX45" s="125"/>
      <c r="IQY45" s="125"/>
      <c r="IQZ45" s="14"/>
      <c r="IRA45" s="15"/>
      <c r="IRB45" s="125"/>
      <c r="IRC45" s="125"/>
      <c r="IRD45" s="14"/>
      <c r="IRE45" s="15"/>
      <c r="IRF45" s="125"/>
      <c r="IRG45" s="125"/>
      <c r="IRH45" s="14"/>
      <c r="IRI45" s="10"/>
      <c r="IRJ45" s="125"/>
      <c r="IRK45" s="125"/>
      <c r="IRL45" s="14"/>
      <c r="IRM45" s="15"/>
      <c r="IRN45" s="125"/>
      <c r="IRO45" s="125"/>
      <c r="IRP45" s="14"/>
      <c r="IRQ45" s="15"/>
      <c r="IRR45" s="125"/>
      <c r="IRS45" s="125"/>
      <c r="IRT45" s="14"/>
      <c r="IRU45" s="15"/>
      <c r="IRV45" s="125"/>
      <c r="IRW45" s="125"/>
      <c r="IRX45" s="14"/>
      <c r="IRY45" s="10"/>
      <c r="IRZ45" s="125"/>
      <c r="ISA45" s="125"/>
      <c r="ISB45" s="14"/>
      <c r="ISC45" s="15"/>
      <c r="ISD45" s="125"/>
      <c r="ISE45" s="125"/>
      <c r="ISF45" s="14"/>
      <c r="ISG45" s="15"/>
      <c r="ISH45" s="125"/>
      <c r="ISI45" s="125"/>
      <c r="ISJ45" s="14"/>
      <c r="ISK45" s="15"/>
      <c r="ISL45" s="125"/>
      <c r="ISM45" s="125"/>
      <c r="ISN45" s="14"/>
      <c r="ISO45" s="10"/>
      <c r="ISP45" s="125"/>
      <c r="ISQ45" s="125"/>
      <c r="ISR45" s="14"/>
      <c r="ISS45" s="15"/>
      <c r="IST45" s="125"/>
      <c r="ISU45" s="125"/>
      <c r="ISV45" s="14"/>
      <c r="ISW45" s="15"/>
      <c r="ISX45" s="125"/>
      <c r="ISY45" s="125"/>
      <c r="ISZ45" s="14"/>
      <c r="ITA45" s="15"/>
      <c r="ITB45" s="125"/>
      <c r="ITC45" s="125"/>
      <c r="ITD45" s="14"/>
      <c r="ITE45" s="10"/>
      <c r="ITF45" s="125"/>
      <c r="ITG45" s="125"/>
      <c r="ITH45" s="14"/>
      <c r="ITI45" s="15"/>
      <c r="ITJ45" s="125"/>
      <c r="ITK45" s="125"/>
      <c r="ITL45" s="14"/>
      <c r="ITM45" s="15"/>
      <c r="ITN45" s="125"/>
      <c r="ITO45" s="125"/>
      <c r="ITP45" s="14"/>
      <c r="ITQ45" s="15"/>
      <c r="ITR45" s="125"/>
      <c r="ITS45" s="125"/>
      <c r="ITT45" s="14"/>
      <c r="ITU45" s="10"/>
      <c r="ITV45" s="125"/>
      <c r="ITW45" s="125"/>
      <c r="ITX45" s="14"/>
      <c r="ITY45" s="15"/>
      <c r="ITZ45" s="125"/>
      <c r="IUA45" s="125"/>
      <c r="IUB45" s="14"/>
      <c r="IUC45" s="15"/>
      <c r="IUD45" s="125"/>
      <c r="IUE45" s="125"/>
      <c r="IUF45" s="14"/>
      <c r="IUG45" s="15"/>
      <c r="IUH45" s="125"/>
      <c r="IUI45" s="125"/>
      <c r="IUJ45" s="14"/>
      <c r="IUK45" s="10"/>
      <c r="IUL45" s="125"/>
      <c r="IUM45" s="125"/>
      <c r="IUN45" s="14"/>
      <c r="IUO45" s="15"/>
      <c r="IUP45" s="125"/>
      <c r="IUQ45" s="125"/>
      <c r="IUR45" s="14"/>
      <c r="IUS45" s="15"/>
      <c r="IUT45" s="125"/>
      <c r="IUU45" s="125"/>
      <c r="IUV45" s="14"/>
      <c r="IUW45" s="15"/>
      <c r="IUX45" s="125"/>
      <c r="IUY45" s="125"/>
      <c r="IUZ45" s="14"/>
      <c r="IVA45" s="10"/>
      <c r="IVB45" s="125"/>
      <c r="IVC45" s="125"/>
      <c r="IVD45" s="14"/>
      <c r="IVE45" s="15"/>
      <c r="IVF45" s="125"/>
      <c r="IVG45" s="125"/>
      <c r="IVH45" s="14"/>
      <c r="IVI45" s="15"/>
      <c r="IVJ45" s="125"/>
      <c r="IVK45" s="125"/>
      <c r="IVL45" s="14"/>
      <c r="IVM45" s="15"/>
      <c r="IVN45" s="125"/>
      <c r="IVO45" s="125"/>
      <c r="IVP45" s="14"/>
      <c r="IVQ45" s="10"/>
      <c r="IVR45" s="125"/>
      <c r="IVS45" s="125"/>
      <c r="IVT45" s="14"/>
      <c r="IVU45" s="15"/>
      <c r="IVV45" s="125"/>
      <c r="IVW45" s="125"/>
      <c r="IVX45" s="14"/>
      <c r="IVY45" s="15"/>
      <c r="IVZ45" s="125"/>
      <c r="IWA45" s="125"/>
      <c r="IWB45" s="14"/>
      <c r="IWC45" s="15"/>
      <c r="IWD45" s="125"/>
      <c r="IWE45" s="125"/>
      <c r="IWF45" s="14"/>
      <c r="IWG45" s="10"/>
      <c r="IWH45" s="125"/>
      <c r="IWI45" s="125"/>
      <c r="IWJ45" s="14"/>
      <c r="IWK45" s="15"/>
      <c r="IWL45" s="125"/>
      <c r="IWM45" s="125"/>
      <c r="IWN45" s="14"/>
      <c r="IWO45" s="15"/>
      <c r="IWP45" s="125"/>
      <c r="IWQ45" s="125"/>
      <c r="IWR45" s="14"/>
      <c r="IWS45" s="15"/>
      <c r="IWT45" s="125"/>
      <c r="IWU45" s="125"/>
      <c r="IWV45" s="14"/>
      <c r="IWW45" s="10"/>
      <c r="IWX45" s="125"/>
      <c r="IWY45" s="125"/>
      <c r="IWZ45" s="14"/>
      <c r="IXA45" s="15"/>
      <c r="IXB45" s="125"/>
      <c r="IXC45" s="125"/>
      <c r="IXD45" s="14"/>
      <c r="IXE45" s="15"/>
      <c r="IXF45" s="125"/>
      <c r="IXG45" s="125"/>
      <c r="IXH45" s="14"/>
      <c r="IXI45" s="15"/>
      <c r="IXJ45" s="125"/>
      <c r="IXK45" s="125"/>
      <c r="IXL45" s="14"/>
      <c r="IXM45" s="10"/>
      <c r="IXN45" s="125"/>
      <c r="IXO45" s="125"/>
      <c r="IXP45" s="14"/>
      <c r="IXQ45" s="15"/>
      <c r="IXR45" s="125"/>
      <c r="IXS45" s="125"/>
      <c r="IXT45" s="14"/>
      <c r="IXU45" s="15"/>
      <c r="IXV45" s="125"/>
      <c r="IXW45" s="125"/>
      <c r="IXX45" s="14"/>
      <c r="IXY45" s="15"/>
      <c r="IXZ45" s="125"/>
      <c r="IYA45" s="125"/>
      <c r="IYB45" s="14"/>
      <c r="IYC45" s="10"/>
      <c r="IYD45" s="125"/>
      <c r="IYE45" s="125"/>
      <c r="IYF45" s="14"/>
      <c r="IYG45" s="15"/>
      <c r="IYH45" s="125"/>
      <c r="IYI45" s="125"/>
      <c r="IYJ45" s="14"/>
      <c r="IYK45" s="15"/>
      <c r="IYL45" s="125"/>
      <c r="IYM45" s="125"/>
      <c r="IYN45" s="14"/>
      <c r="IYO45" s="15"/>
      <c r="IYP45" s="125"/>
      <c r="IYQ45" s="125"/>
      <c r="IYR45" s="14"/>
      <c r="IYS45" s="10"/>
      <c r="IYT45" s="125"/>
      <c r="IYU45" s="125"/>
      <c r="IYV45" s="14"/>
      <c r="IYW45" s="15"/>
      <c r="IYX45" s="125"/>
      <c r="IYY45" s="125"/>
      <c r="IYZ45" s="14"/>
      <c r="IZA45" s="15"/>
      <c r="IZB45" s="125"/>
      <c r="IZC45" s="125"/>
      <c r="IZD45" s="14"/>
      <c r="IZE45" s="15"/>
      <c r="IZF45" s="125"/>
      <c r="IZG45" s="125"/>
      <c r="IZH45" s="14"/>
      <c r="IZI45" s="10"/>
      <c r="IZJ45" s="125"/>
      <c r="IZK45" s="125"/>
      <c r="IZL45" s="14"/>
      <c r="IZM45" s="15"/>
      <c r="IZN45" s="125"/>
      <c r="IZO45" s="125"/>
      <c r="IZP45" s="14"/>
      <c r="IZQ45" s="15"/>
      <c r="IZR45" s="125"/>
      <c r="IZS45" s="125"/>
      <c r="IZT45" s="14"/>
      <c r="IZU45" s="15"/>
      <c r="IZV45" s="125"/>
      <c r="IZW45" s="125"/>
      <c r="IZX45" s="14"/>
      <c r="IZY45" s="10"/>
      <c r="IZZ45" s="125"/>
      <c r="JAA45" s="125"/>
      <c r="JAB45" s="14"/>
      <c r="JAC45" s="15"/>
      <c r="JAD45" s="125"/>
      <c r="JAE45" s="125"/>
      <c r="JAF45" s="14"/>
      <c r="JAG45" s="15"/>
      <c r="JAH45" s="125"/>
      <c r="JAI45" s="125"/>
      <c r="JAJ45" s="14"/>
      <c r="JAK45" s="15"/>
      <c r="JAL45" s="125"/>
      <c r="JAM45" s="125"/>
      <c r="JAN45" s="14"/>
      <c r="JAO45" s="10"/>
      <c r="JAP45" s="125"/>
      <c r="JAQ45" s="125"/>
      <c r="JAR45" s="14"/>
      <c r="JAS45" s="15"/>
      <c r="JAT45" s="125"/>
      <c r="JAU45" s="125"/>
      <c r="JAV45" s="14"/>
      <c r="JAW45" s="15"/>
      <c r="JAX45" s="125"/>
      <c r="JAY45" s="125"/>
      <c r="JAZ45" s="14"/>
      <c r="JBA45" s="15"/>
      <c r="JBB45" s="125"/>
      <c r="JBC45" s="125"/>
      <c r="JBD45" s="14"/>
      <c r="JBE45" s="10"/>
      <c r="JBF45" s="125"/>
      <c r="JBG45" s="125"/>
      <c r="JBH45" s="14"/>
      <c r="JBI45" s="15"/>
      <c r="JBJ45" s="125"/>
      <c r="JBK45" s="125"/>
      <c r="JBL45" s="14"/>
      <c r="JBM45" s="15"/>
      <c r="JBN45" s="125"/>
      <c r="JBO45" s="125"/>
      <c r="JBP45" s="14"/>
      <c r="JBQ45" s="15"/>
      <c r="JBR45" s="125"/>
      <c r="JBS45" s="125"/>
      <c r="JBT45" s="14"/>
      <c r="JBU45" s="10"/>
      <c r="JBV45" s="125"/>
      <c r="JBW45" s="125"/>
      <c r="JBX45" s="14"/>
      <c r="JBY45" s="15"/>
      <c r="JBZ45" s="125"/>
      <c r="JCA45" s="125"/>
      <c r="JCB45" s="14"/>
      <c r="JCC45" s="15"/>
      <c r="JCD45" s="125"/>
      <c r="JCE45" s="125"/>
      <c r="JCF45" s="14"/>
      <c r="JCG45" s="15"/>
      <c r="JCH45" s="125"/>
      <c r="JCI45" s="125"/>
      <c r="JCJ45" s="14"/>
      <c r="JCK45" s="10"/>
      <c r="JCL45" s="125"/>
      <c r="JCM45" s="125"/>
      <c r="JCN45" s="14"/>
      <c r="JCO45" s="15"/>
      <c r="JCP45" s="125"/>
      <c r="JCQ45" s="125"/>
      <c r="JCR45" s="14"/>
      <c r="JCS45" s="15"/>
      <c r="JCT45" s="125"/>
      <c r="JCU45" s="125"/>
      <c r="JCV45" s="14"/>
      <c r="JCW45" s="15"/>
      <c r="JCX45" s="125"/>
      <c r="JCY45" s="125"/>
      <c r="JCZ45" s="14"/>
      <c r="JDA45" s="10"/>
      <c r="JDB45" s="125"/>
      <c r="JDC45" s="125"/>
      <c r="JDD45" s="14"/>
      <c r="JDE45" s="15"/>
      <c r="JDF45" s="125"/>
      <c r="JDG45" s="125"/>
      <c r="JDH45" s="14"/>
      <c r="JDI45" s="15"/>
      <c r="JDJ45" s="125"/>
      <c r="JDK45" s="125"/>
      <c r="JDL45" s="14"/>
      <c r="JDM45" s="15"/>
      <c r="JDN45" s="125"/>
      <c r="JDO45" s="125"/>
      <c r="JDP45" s="14"/>
      <c r="JDQ45" s="10"/>
      <c r="JDR45" s="125"/>
      <c r="JDS45" s="125"/>
      <c r="JDT45" s="14"/>
      <c r="JDU45" s="15"/>
      <c r="JDV45" s="125"/>
      <c r="JDW45" s="125"/>
      <c r="JDX45" s="14"/>
      <c r="JDY45" s="15"/>
      <c r="JDZ45" s="125"/>
      <c r="JEA45" s="125"/>
      <c r="JEB45" s="14"/>
      <c r="JEC45" s="15"/>
      <c r="JED45" s="125"/>
      <c r="JEE45" s="125"/>
      <c r="JEF45" s="14"/>
      <c r="JEG45" s="10"/>
      <c r="JEH45" s="125"/>
      <c r="JEI45" s="125"/>
      <c r="JEJ45" s="14"/>
      <c r="JEK45" s="15"/>
      <c r="JEL45" s="125"/>
      <c r="JEM45" s="125"/>
      <c r="JEN45" s="14"/>
      <c r="JEO45" s="15"/>
      <c r="JEP45" s="125"/>
      <c r="JEQ45" s="125"/>
      <c r="JER45" s="14"/>
      <c r="JES45" s="15"/>
      <c r="JET45" s="125"/>
      <c r="JEU45" s="125"/>
      <c r="JEV45" s="14"/>
      <c r="JEW45" s="10"/>
      <c r="JEX45" s="125"/>
      <c r="JEY45" s="125"/>
      <c r="JEZ45" s="14"/>
      <c r="JFA45" s="15"/>
      <c r="JFB45" s="125"/>
      <c r="JFC45" s="125"/>
      <c r="JFD45" s="14"/>
      <c r="JFE45" s="15"/>
      <c r="JFF45" s="125"/>
      <c r="JFG45" s="125"/>
      <c r="JFH45" s="14"/>
      <c r="JFI45" s="15"/>
      <c r="JFJ45" s="125"/>
      <c r="JFK45" s="125"/>
      <c r="JFL45" s="14"/>
      <c r="JFM45" s="10"/>
      <c r="JFN45" s="125"/>
      <c r="JFO45" s="125"/>
      <c r="JFP45" s="14"/>
      <c r="JFQ45" s="15"/>
      <c r="JFR45" s="125"/>
      <c r="JFS45" s="125"/>
      <c r="JFT45" s="14"/>
      <c r="JFU45" s="15"/>
      <c r="JFV45" s="125"/>
      <c r="JFW45" s="125"/>
      <c r="JFX45" s="14"/>
      <c r="JFY45" s="15"/>
      <c r="JFZ45" s="125"/>
      <c r="JGA45" s="125"/>
      <c r="JGB45" s="14"/>
      <c r="JGC45" s="10"/>
      <c r="JGD45" s="125"/>
      <c r="JGE45" s="125"/>
      <c r="JGF45" s="14"/>
      <c r="JGG45" s="15"/>
      <c r="JGH45" s="125"/>
      <c r="JGI45" s="125"/>
      <c r="JGJ45" s="14"/>
      <c r="JGK45" s="15"/>
      <c r="JGL45" s="125"/>
      <c r="JGM45" s="125"/>
      <c r="JGN45" s="14"/>
      <c r="JGO45" s="15"/>
      <c r="JGP45" s="125"/>
      <c r="JGQ45" s="125"/>
      <c r="JGR45" s="14"/>
      <c r="JGS45" s="10"/>
      <c r="JGT45" s="125"/>
      <c r="JGU45" s="125"/>
      <c r="JGV45" s="14"/>
      <c r="JGW45" s="15"/>
      <c r="JGX45" s="125"/>
      <c r="JGY45" s="125"/>
      <c r="JGZ45" s="14"/>
      <c r="JHA45" s="15"/>
      <c r="JHB45" s="125"/>
      <c r="JHC45" s="125"/>
      <c r="JHD45" s="14"/>
      <c r="JHE45" s="15"/>
      <c r="JHF45" s="125"/>
      <c r="JHG45" s="125"/>
      <c r="JHH45" s="14"/>
      <c r="JHI45" s="10"/>
      <c r="JHJ45" s="125"/>
      <c r="JHK45" s="125"/>
      <c r="JHL45" s="14"/>
      <c r="JHM45" s="15"/>
      <c r="JHN45" s="125"/>
      <c r="JHO45" s="125"/>
      <c r="JHP45" s="14"/>
      <c r="JHQ45" s="15"/>
      <c r="JHR45" s="125"/>
      <c r="JHS45" s="125"/>
      <c r="JHT45" s="14"/>
      <c r="JHU45" s="15"/>
      <c r="JHV45" s="125"/>
      <c r="JHW45" s="125"/>
      <c r="JHX45" s="14"/>
      <c r="JHY45" s="10"/>
      <c r="JHZ45" s="125"/>
      <c r="JIA45" s="125"/>
      <c r="JIB45" s="14"/>
      <c r="JIC45" s="15"/>
      <c r="JID45" s="125"/>
      <c r="JIE45" s="125"/>
      <c r="JIF45" s="14"/>
      <c r="JIG45" s="15"/>
      <c r="JIH45" s="125"/>
      <c r="JII45" s="125"/>
      <c r="JIJ45" s="14"/>
      <c r="JIK45" s="15"/>
      <c r="JIL45" s="125"/>
      <c r="JIM45" s="125"/>
      <c r="JIN45" s="14"/>
      <c r="JIO45" s="10"/>
      <c r="JIP45" s="125"/>
      <c r="JIQ45" s="125"/>
      <c r="JIR45" s="14"/>
      <c r="JIS45" s="15"/>
      <c r="JIT45" s="125"/>
      <c r="JIU45" s="125"/>
      <c r="JIV45" s="14"/>
      <c r="JIW45" s="15"/>
      <c r="JIX45" s="125"/>
      <c r="JIY45" s="125"/>
      <c r="JIZ45" s="14"/>
      <c r="JJA45" s="15"/>
      <c r="JJB45" s="125"/>
      <c r="JJC45" s="125"/>
      <c r="JJD45" s="14"/>
      <c r="JJE45" s="10"/>
      <c r="JJF45" s="125"/>
      <c r="JJG45" s="125"/>
      <c r="JJH45" s="14"/>
      <c r="JJI45" s="15"/>
      <c r="JJJ45" s="125"/>
      <c r="JJK45" s="125"/>
      <c r="JJL45" s="14"/>
      <c r="JJM45" s="15"/>
      <c r="JJN45" s="125"/>
      <c r="JJO45" s="125"/>
      <c r="JJP45" s="14"/>
      <c r="JJQ45" s="15"/>
      <c r="JJR45" s="125"/>
      <c r="JJS45" s="125"/>
      <c r="JJT45" s="14"/>
      <c r="JJU45" s="10"/>
      <c r="JJV45" s="125"/>
      <c r="JJW45" s="125"/>
      <c r="JJX45" s="14"/>
      <c r="JJY45" s="15"/>
      <c r="JJZ45" s="125"/>
      <c r="JKA45" s="125"/>
      <c r="JKB45" s="14"/>
      <c r="JKC45" s="15"/>
      <c r="JKD45" s="125"/>
      <c r="JKE45" s="125"/>
      <c r="JKF45" s="14"/>
      <c r="JKG45" s="15"/>
      <c r="JKH45" s="125"/>
      <c r="JKI45" s="125"/>
      <c r="JKJ45" s="14"/>
      <c r="JKK45" s="10"/>
      <c r="JKL45" s="125"/>
      <c r="JKM45" s="125"/>
      <c r="JKN45" s="14"/>
      <c r="JKO45" s="15"/>
      <c r="JKP45" s="125"/>
      <c r="JKQ45" s="125"/>
      <c r="JKR45" s="14"/>
      <c r="JKS45" s="15"/>
      <c r="JKT45" s="125"/>
      <c r="JKU45" s="125"/>
      <c r="JKV45" s="14"/>
      <c r="JKW45" s="15"/>
      <c r="JKX45" s="125"/>
      <c r="JKY45" s="125"/>
      <c r="JKZ45" s="14"/>
      <c r="JLA45" s="10"/>
      <c r="JLB45" s="125"/>
      <c r="JLC45" s="125"/>
      <c r="JLD45" s="14"/>
      <c r="JLE45" s="15"/>
      <c r="JLF45" s="125"/>
      <c r="JLG45" s="125"/>
      <c r="JLH45" s="14"/>
      <c r="JLI45" s="15"/>
      <c r="JLJ45" s="125"/>
      <c r="JLK45" s="125"/>
      <c r="JLL45" s="14"/>
      <c r="JLM45" s="15"/>
      <c r="JLN45" s="125"/>
      <c r="JLO45" s="125"/>
      <c r="JLP45" s="14"/>
      <c r="JLQ45" s="10"/>
      <c r="JLR45" s="125"/>
      <c r="JLS45" s="125"/>
      <c r="JLT45" s="14"/>
      <c r="JLU45" s="15"/>
      <c r="JLV45" s="125"/>
      <c r="JLW45" s="125"/>
      <c r="JLX45" s="14"/>
      <c r="JLY45" s="15"/>
      <c r="JLZ45" s="125"/>
      <c r="JMA45" s="125"/>
      <c r="JMB45" s="14"/>
      <c r="JMC45" s="15"/>
      <c r="JMD45" s="125"/>
      <c r="JME45" s="125"/>
      <c r="JMF45" s="14"/>
      <c r="JMG45" s="10"/>
      <c r="JMH45" s="125"/>
      <c r="JMI45" s="125"/>
      <c r="JMJ45" s="14"/>
      <c r="JMK45" s="15"/>
      <c r="JML45" s="125"/>
      <c r="JMM45" s="125"/>
      <c r="JMN45" s="14"/>
      <c r="JMO45" s="15"/>
      <c r="JMP45" s="125"/>
      <c r="JMQ45" s="125"/>
      <c r="JMR45" s="14"/>
      <c r="JMS45" s="15"/>
      <c r="JMT45" s="125"/>
      <c r="JMU45" s="125"/>
      <c r="JMV45" s="14"/>
      <c r="JMW45" s="10"/>
      <c r="JMX45" s="125"/>
      <c r="JMY45" s="125"/>
      <c r="JMZ45" s="14"/>
      <c r="JNA45" s="15"/>
      <c r="JNB45" s="125"/>
      <c r="JNC45" s="125"/>
      <c r="JND45" s="14"/>
      <c r="JNE45" s="15"/>
      <c r="JNF45" s="125"/>
      <c r="JNG45" s="125"/>
      <c r="JNH45" s="14"/>
      <c r="JNI45" s="15"/>
      <c r="JNJ45" s="125"/>
      <c r="JNK45" s="125"/>
      <c r="JNL45" s="14"/>
      <c r="JNM45" s="10"/>
      <c r="JNN45" s="125"/>
      <c r="JNO45" s="125"/>
      <c r="JNP45" s="14"/>
      <c r="JNQ45" s="15"/>
      <c r="JNR45" s="125"/>
      <c r="JNS45" s="125"/>
      <c r="JNT45" s="14"/>
      <c r="JNU45" s="15"/>
      <c r="JNV45" s="125"/>
      <c r="JNW45" s="125"/>
      <c r="JNX45" s="14"/>
      <c r="JNY45" s="15"/>
      <c r="JNZ45" s="125"/>
      <c r="JOA45" s="125"/>
      <c r="JOB45" s="14"/>
      <c r="JOC45" s="10"/>
      <c r="JOD45" s="125"/>
      <c r="JOE45" s="125"/>
      <c r="JOF45" s="14"/>
      <c r="JOG45" s="15"/>
      <c r="JOH45" s="125"/>
      <c r="JOI45" s="125"/>
      <c r="JOJ45" s="14"/>
      <c r="JOK45" s="15"/>
      <c r="JOL45" s="125"/>
      <c r="JOM45" s="125"/>
      <c r="JON45" s="14"/>
      <c r="JOO45" s="15"/>
      <c r="JOP45" s="125"/>
      <c r="JOQ45" s="125"/>
      <c r="JOR45" s="14"/>
      <c r="JOS45" s="10"/>
      <c r="JOT45" s="125"/>
      <c r="JOU45" s="125"/>
      <c r="JOV45" s="14"/>
      <c r="JOW45" s="15"/>
      <c r="JOX45" s="125"/>
      <c r="JOY45" s="125"/>
      <c r="JOZ45" s="14"/>
      <c r="JPA45" s="15"/>
      <c r="JPB45" s="125"/>
      <c r="JPC45" s="125"/>
      <c r="JPD45" s="14"/>
      <c r="JPE45" s="15"/>
      <c r="JPF45" s="125"/>
      <c r="JPG45" s="125"/>
      <c r="JPH45" s="14"/>
      <c r="JPI45" s="10"/>
      <c r="JPJ45" s="125"/>
      <c r="JPK45" s="125"/>
      <c r="JPL45" s="14"/>
      <c r="JPM45" s="15"/>
      <c r="JPN45" s="125"/>
      <c r="JPO45" s="125"/>
      <c r="JPP45" s="14"/>
      <c r="JPQ45" s="15"/>
      <c r="JPR45" s="125"/>
      <c r="JPS45" s="125"/>
      <c r="JPT45" s="14"/>
      <c r="JPU45" s="15"/>
      <c r="JPV45" s="125"/>
      <c r="JPW45" s="125"/>
      <c r="JPX45" s="14"/>
      <c r="JPY45" s="10"/>
      <c r="JPZ45" s="125"/>
      <c r="JQA45" s="125"/>
      <c r="JQB45" s="14"/>
      <c r="JQC45" s="15"/>
      <c r="JQD45" s="125"/>
      <c r="JQE45" s="125"/>
      <c r="JQF45" s="14"/>
      <c r="JQG45" s="15"/>
      <c r="JQH45" s="125"/>
      <c r="JQI45" s="125"/>
      <c r="JQJ45" s="14"/>
      <c r="JQK45" s="15"/>
      <c r="JQL45" s="125"/>
      <c r="JQM45" s="125"/>
      <c r="JQN45" s="14"/>
      <c r="JQO45" s="10"/>
      <c r="JQP45" s="125"/>
      <c r="JQQ45" s="125"/>
      <c r="JQR45" s="14"/>
      <c r="JQS45" s="15"/>
      <c r="JQT45" s="125"/>
      <c r="JQU45" s="125"/>
      <c r="JQV45" s="14"/>
      <c r="JQW45" s="15"/>
      <c r="JQX45" s="125"/>
      <c r="JQY45" s="125"/>
      <c r="JQZ45" s="14"/>
      <c r="JRA45" s="15"/>
      <c r="JRB45" s="125"/>
      <c r="JRC45" s="125"/>
      <c r="JRD45" s="14"/>
      <c r="JRE45" s="10"/>
      <c r="JRF45" s="125"/>
      <c r="JRG45" s="125"/>
      <c r="JRH45" s="14"/>
      <c r="JRI45" s="15"/>
      <c r="JRJ45" s="125"/>
      <c r="JRK45" s="125"/>
      <c r="JRL45" s="14"/>
      <c r="JRM45" s="15"/>
      <c r="JRN45" s="125"/>
      <c r="JRO45" s="125"/>
      <c r="JRP45" s="14"/>
      <c r="JRQ45" s="15"/>
      <c r="JRR45" s="125"/>
      <c r="JRS45" s="125"/>
      <c r="JRT45" s="14"/>
      <c r="JRU45" s="10"/>
      <c r="JRV45" s="125"/>
      <c r="JRW45" s="125"/>
      <c r="JRX45" s="14"/>
      <c r="JRY45" s="15"/>
      <c r="JRZ45" s="125"/>
      <c r="JSA45" s="125"/>
      <c r="JSB45" s="14"/>
      <c r="JSC45" s="15"/>
      <c r="JSD45" s="125"/>
      <c r="JSE45" s="125"/>
      <c r="JSF45" s="14"/>
      <c r="JSG45" s="15"/>
      <c r="JSH45" s="125"/>
      <c r="JSI45" s="125"/>
      <c r="JSJ45" s="14"/>
      <c r="JSK45" s="10"/>
      <c r="JSL45" s="125"/>
      <c r="JSM45" s="125"/>
      <c r="JSN45" s="14"/>
      <c r="JSO45" s="15"/>
      <c r="JSP45" s="125"/>
      <c r="JSQ45" s="125"/>
      <c r="JSR45" s="14"/>
      <c r="JSS45" s="15"/>
      <c r="JST45" s="125"/>
      <c r="JSU45" s="125"/>
      <c r="JSV45" s="14"/>
      <c r="JSW45" s="15"/>
      <c r="JSX45" s="125"/>
      <c r="JSY45" s="125"/>
      <c r="JSZ45" s="14"/>
      <c r="JTA45" s="10"/>
      <c r="JTB45" s="125"/>
      <c r="JTC45" s="125"/>
      <c r="JTD45" s="14"/>
      <c r="JTE45" s="15"/>
      <c r="JTF45" s="125"/>
      <c r="JTG45" s="125"/>
      <c r="JTH45" s="14"/>
      <c r="JTI45" s="15"/>
      <c r="JTJ45" s="125"/>
      <c r="JTK45" s="125"/>
      <c r="JTL45" s="14"/>
      <c r="JTM45" s="15"/>
      <c r="JTN45" s="125"/>
      <c r="JTO45" s="125"/>
      <c r="JTP45" s="14"/>
      <c r="JTQ45" s="10"/>
      <c r="JTR45" s="125"/>
      <c r="JTS45" s="125"/>
      <c r="JTT45" s="14"/>
      <c r="JTU45" s="15"/>
      <c r="JTV45" s="125"/>
      <c r="JTW45" s="125"/>
      <c r="JTX45" s="14"/>
      <c r="JTY45" s="15"/>
      <c r="JTZ45" s="125"/>
      <c r="JUA45" s="125"/>
      <c r="JUB45" s="14"/>
      <c r="JUC45" s="15"/>
      <c r="JUD45" s="125"/>
      <c r="JUE45" s="125"/>
      <c r="JUF45" s="14"/>
      <c r="JUG45" s="10"/>
      <c r="JUH45" s="125"/>
      <c r="JUI45" s="125"/>
      <c r="JUJ45" s="14"/>
      <c r="JUK45" s="15"/>
      <c r="JUL45" s="125"/>
      <c r="JUM45" s="125"/>
      <c r="JUN45" s="14"/>
      <c r="JUO45" s="15"/>
      <c r="JUP45" s="125"/>
      <c r="JUQ45" s="125"/>
      <c r="JUR45" s="14"/>
      <c r="JUS45" s="15"/>
      <c r="JUT45" s="125"/>
      <c r="JUU45" s="125"/>
      <c r="JUV45" s="14"/>
      <c r="JUW45" s="10"/>
      <c r="JUX45" s="125"/>
      <c r="JUY45" s="125"/>
      <c r="JUZ45" s="14"/>
      <c r="JVA45" s="15"/>
      <c r="JVB45" s="125"/>
      <c r="JVC45" s="125"/>
      <c r="JVD45" s="14"/>
      <c r="JVE45" s="15"/>
      <c r="JVF45" s="125"/>
      <c r="JVG45" s="125"/>
      <c r="JVH45" s="14"/>
      <c r="JVI45" s="15"/>
      <c r="JVJ45" s="125"/>
      <c r="JVK45" s="125"/>
      <c r="JVL45" s="14"/>
      <c r="JVM45" s="10"/>
      <c r="JVN45" s="125"/>
      <c r="JVO45" s="125"/>
      <c r="JVP45" s="14"/>
      <c r="JVQ45" s="15"/>
      <c r="JVR45" s="125"/>
      <c r="JVS45" s="125"/>
      <c r="JVT45" s="14"/>
      <c r="JVU45" s="15"/>
      <c r="JVV45" s="125"/>
      <c r="JVW45" s="125"/>
      <c r="JVX45" s="14"/>
      <c r="JVY45" s="15"/>
      <c r="JVZ45" s="125"/>
      <c r="JWA45" s="125"/>
      <c r="JWB45" s="14"/>
      <c r="JWC45" s="10"/>
      <c r="JWD45" s="125"/>
      <c r="JWE45" s="125"/>
      <c r="JWF45" s="14"/>
      <c r="JWG45" s="15"/>
      <c r="JWH45" s="125"/>
      <c r="JWI45" s="125"/>
      <c r="JWJ45" s="14"/>
      <c r="JWK45" s="15"/>
      <c r="JWL45" s="125"/>
      <c r="JWM45" s="125"/>
      <c r="JWN45" s="14"/>
      <c r="JWO45" s="15"/>
      <c r="JWP45" s="125"/>
      <c r="JWQ45" s="125"/>
      <c r="JWR45" s="14"/>
      <c r="JWS45" s="10"/>
      <c r="JWT45" s="125"/>
      <c r="JWU45" s="125"/>
      <c r="JWV45" s="14"/>
      <c r="JWW45" s="15"/>
      <c r="JWX45" s="125"/>
      <c r="JWY45" s="125"/>
      <c r="JWZ45" s="14"/>
      <c r="JXA45" s="15"/>
      <c r="JXB45" s="125"/>
      <c r="JXC45" s="125"/>
      <c r="JXD45" s="14"/>
      <c r="JXE45" s="15"/>
      <c r="JXF45" s="125"/>
      <c r="JXG45" s="125"/>
      <c r="JXH45" s="14"/>
      <c r="JXI45" s="10"/>
      <c r="JXJ45" s="125"/>
      <c r="JXK45" s="125"/>
      <c r="JXL45" s="14"/>
      <c r="JXM45" s="15"/>
      <c r="JXN45" s="125"/>
      <c r="JXO45" s="125"/>
      <c r="JXP45" s="14"/>
      <c r="JXQ45" s="15"/>
      <c r="JXR45" s="125"/>
      <c r="JXS45" s="125"/>
      <c r="JXT45" s="14"/>
      <c r="JXU45" s="15"/>
      <c r="JXV45" s="125"/>
      <c r="JXW45" s="125"/>
      <c r="JXX45" s="14"/>
      <c r="JXY45" s="10"/>
      <c r="JXZ45" s="125"/>
      <c r="JYA45" s="125"/>
      <c r="JYB45" s="14"/>
      <c r="JYC45" s="15"/>
      <c r="JYD45" s="125"/>
      <c r="JYE45" s="125"/>
      <c r="JYF45" s="14"/>
      <c r="JYG45" s="15"/>
      <c r="JYH45" s="125"/>
      <c r="JYI45" s="125"/>
      <c r="JYJ45" s="14"/>
      <c r="JYK45" s="15"/>
      <c r="JYL45" s="125"/>
      <c r="JYM45" s="125"/>
      <c r="JYN45" s="14"/>
      <c r="JYO45" s="10"/>
      <c r="JYP45" s="125"/>
      <c r="JYQ45" s="125"/>
      <c r="JYR45" s="14"/>
      <c r="JYS45" s="15"/>
      <c r="JYT45" s="125"/>
      <c r="JYU45" s="125"/>
      <c r="JYV45" s="14"/>
      <c r="JYW45" s="15"/>
      <c r="JYX45" s="125"/>
      <c r="JYY45" s="125"/>
      <c r="JYZ45" s="14"/>
      <c r="JZA45" s="15"/>
      <c r="JZB45" s="125"/>
      <c r="JZC45" s="125"/>
      <c r="JZD45" s="14"/>
      <c r="JZE45" s="10"/>
      <c r="JZF45" s="125"/>
      <c r="JZG45" s="125"/>
      <c r="JZH45" s="14"/>
      <c r="JZI45" s="15"/>
      <c r="JZJ45" s="125"/>
      <c r="JZK45" s="125"/>
      <c r="JZL45" s="14"/>
      <c r="JZM45" s="15"/>
      <c r="JZN45" s="125"/>
      <c r="JZO45" s="125"/>
      <c r="JZP45" s="14"/>
      <c r="JZQ45" s="15"/>
      <c r="JZR45" s="125"/>
      <c r="JZS45" s="125"/>
      <c r="JZT45" s="14"/>
      <c r="JZU45" s="10"/>
      <c r="JZV45" s="125"/>
      <c r="JZW45" s="125"/>
      <c r="JZX45" s="14"/>
      <c r="JZY45" s="15"/>
      <c r="JZZ45" s="125"/>
      <c r="KAA45" s="125"/>
      <c r="KAB45" s="14"/>
      <c r="KAC45" s="15"/>
      <c r="KAD45" s="125"/>
      <c r="KAE45" s="125"/>
      <c r="KAF45" s="14"/>
      <c r="KAG45" s="15"/>
      <c r="KAH45" s="125"/>
      <c r="KAI45" s="125"/>
      <c r="KAJ45" s="14"/>
      <c r="KAK45" s="10"/>
      <c r="KAL45" s="125"/>
      <c r="KAM45" s="125"/>
      <c r="KAN45" s="14"/>
      <c r="KAO45" s="15"/>
      <c r="KAP45" s="125"/>
      <c r="KAQ45" s="125"/>
      <c r="KAR45" s="14"/>
      <c r="KAS45" s="15"/>
      <c r="KAT45" s="125"/>
      <c r="KAU45" s="125"/>
      <c r="KAV45" s="14"/>
      <c r="KAW45" s="15"/>
      <c r="KAX45" s="125"/>
      <c r="KAY45" s="125"/>
      <c r="KAZ45" s="14"/>
      <c r="KBA45" s="10"/>
      <c r="KBB45" s="125"/>
      <c r="KBC45" s="125"/>
      <c r="KBD45" s="14"/>
      <c r="KBE45" s="15"/>
      <c r="KBF45" s="125"/>
      <c r="KBG45" s="125"/>
      <c r="KBH45" s="14"/>
      <c r="KBI45" s="15"/>
      <c r="KBJ45" s="125"/>
      <c r="KBK45" s="125"/>
      <c r="KBL45" s="14"/>
      <c r="KBM45" s="15"/>
      <c r="KBN45" s="125"/>
      <c r="KBO45" s="125"/>
      <c r="KBP45" s="14"/>
      <c r="KBQ45" s="10"/>
      <c r="KBR45" s="125"/>
      <c r="KBS45" s="125"/>
      <c r="KBT45" s="14"/>
      <c r="KBU45" s="15"/>
      <c r="KBV45" s="125"/>
      <c r="KBW45" s="125"/>
      <c r="KBX45" s="14"/>
      <c r="KBY45" s="15"/>
      <c r="KBZ45" s="125"/>
      <c r="KCA45" s="125"/>
      <c r="KCB45" s="14"/>
      <c r="KCC45" s="15"/>
      <c r="KCD45" s="125"/>
      <c r="KCE45" s="125"/>
      <c r="KCF45" s="14"/>
      <c r="KCG45" s="10"/>
      <c r="KCH45" s="125"/>
      <c r="KCI45" s="125"/>
      <c r="KCJ45" s="14"/>
      <c r="KCK45" s="15"/>
      <c r="KCL45" s="125"/>
      <c r="KCM45" s="125"/>
      <c r="KCN45" s="14"/>
      <c r="KCO45" s="15"/>
      <c r="KCP45" s="125"/>
      <c r="KCQ45" s="125"/>
      <c r="KCR45" s="14"/>
      <c r="KCS45" s="15"/>
      <c r="KCT45" s="125"/>
      <c r="KCU45" s="125"/>
      <c r="KCV45" s="14"/>
      <c r="KCW45" s="10"/>
      <c r="KCX45" s="125"/>
      <c r="KCY45" s="125"/>
      <c r="KCZ45" s="14"/>
      <c r="KDA45" s="15"/>
      <c r="KDB45" s="125"/>
      <c r="KDC45" s="125"/>
      <c r="KDD45" s="14"/>
      <c r="KDE45" s="15"/>
      <c r="KDF45" s="125"/>
      <c r="KDG45" s="125"/>
      <c r="KDH45" s="14"/>
      <c r="KDI45" s="15"/>
      <c r="KDJ45" s="125"/>
      <c r="KDK45" s="125"/>
      <c r="KDL45" s="14"/>
      <c r="KDM45" s="10"/>
      <c r="KDN45" s="125"/>
      <c r="KDO45" s="125"/>
      <c r="KDP45" s="14"/>
      <c r="KDQ45" s="15"/>
      <c r="KDR45" s="125"/>
      <c r="KDS45" s="125"/>
      <c r="KDT45" s="14"/>
      <c r="KDU45" s="15"/>
      <c r="KDV45" s="125"/>
      <c r="KDW45" s="125"/>
      <c r="KDX45" s="14"/>
      <c r="KDY45" s="15"/>
      <c r="KDZ45" s="125"/>
      <c r="KEA45" s="125"/>
      <c r="KEB45" s="14"/>
      <c r="KEC45" s="10"/>
      <c r="KED45" s="125"/>
      <c r="KEE45" s="125"/>
      <c r="KEF45" s="14"/>
      <c r="KEG45" s="15"/>
      <c r="KEH45" s="125"/>
      <c r="KEI45" s="125"/>
      <c r="KEJ45" s="14"/>
      <c r="KEK45" s="15"/>
      <c r="KEL45" s="125"/>
      <c r="KEM45" s="125"/>
      <c r="KEN45" s="14"/>
      <c r="KEO45" s="15"/>
      <c r="KEP45" s="125"/>
      <c r="KEQ45" s="125"/>
      <c r="KER45" s="14"/>
      <c r="KES45" s="10"/>
      <c r="KET45" s="125"/>
      <c r="KEU45" s="125"/>
      <c r="KEV45" s="14"/>
      <c r="KEW45" s="15"/>
      <c r="KEX45" s="125"/>
      <c r="KEY45" s="125"/>
      <c r="KEZ45" s="14"/>
      <c r="KFA45" s="15"/>
      <c r="KFB45" s="125"/>
      <c r="KFC45" s="125"/>
      <c r="KFD45" s="14"/>
      <c r="KFE45" s="15"/>
      <c r="KFF45" s="125"/>
      <c r="KFG45" s="125"/>
      <c r="KFH45" s="14"/>
      <c r="KFI45" s="10"/>
      <c r="KFJ45" s="125"/>
      <c r="KFK45" s="125"/>
      <c r="KFL45" s="14"/>
      <c r="KFM45" s="15"/>
      <c r="KFN45" s="125"/>
      <c r="KFO45" s="125"/>
      <c r="KFP45" s="14"/>
      <c r="KFQ45" s="15"/>
      <c r="KFR45" s="125"/>
      <c r="KFS45" s="125"/>
      <c r="KFT45" s="14"/>
      <c r="KFU45" s="15"/>
      <c r="KFV45" s="125"/>
      <c r="KFW45" s="125"/>
      <c r="KFX45" s="14"/>
      <c r="KFY45" s="10"/>
      <c r="KFZ45" s="125"/>
      <c r="KGA45" s="125"/>
      <c r="KGB45" s="14"/>
      <c r="KGC45" s="15"/>
      <c r="KGD45" s="125"/>
      <c r="KGE45" s="125"/>
      <c r="KGF45" s="14"/>
      <c r="KGG45" s="15"/>
      <c r="KGH45" s="125"/>
      <c r="KGI45" s="125"/>
      <c r="KGJ45" s="14"/>
      <c r="KGK45" s="15"/>
      <c r="KGL45" s="125"/>
      <c r="KGM45" s="125"/>
      <c r="KGN45" s="14"/>
      <c r="KGO45" s="10"/>
      <c r="KGP45" s="125"/>
      <c r="KGQ45" s="125"/>
      <c r="KGR45" s="14"/>
      <c r="KGS45" s="15"/>
      <c r="KGT45" s="125"/>
      <c r="KGU45" s="125"/>
      <c r="KGV45" s="14"/>
      <c r="KGW45" s="15"/>
      <c r="KGX45" s="125"/>
      <c r="KGY45" s="125"/>
      <c r="KGZ45" s="14"/>
      <c r="KHA45" s="15"/>
      <c r="KHB45" s="125"/>
      <c r="KHC45" s="125"/>
      <c r="KHD45" s="14"/>
      <c r="KHE45" s="10"/>
      <c r="KHF45" s="125"/>
      <c r="KHG45" s="125"/>
      <c r="KHH45" s="14"/>
      <c r="KHI45" s="15"/>
      <c r="KHJ45" s="125"/>
      <c r="KHK45" s="125"/>
      <c r="KHL45" s="14"/>
      <c r="KHM45" s="15"/>
      <c r="KHN45" s="125"/>
      <c r="KHO45" s="125"/>
      <c r="KHP45" s="14"/>
      <c r="KHQ45" s="15"/>
      <c r="KHR45" s="125"/>
      <c r="KHS45" s="125"/>
      <c r="KHT45" s="14"/>
      <c r="KHU45" s="10"/>
      <c r="KHV45" s="125"/>
      <c r="KHW45" s="125"/>
      <c r="KHX45" s="14"/>
      <c r="KHY45" s="15"/>
      <c r="KHZ45" s="125"/>
      <c r="KIA45" s="125"/>
      <c r="KIB45" s="14"/>
      <c r="KIC45" s="15"/>
      <c r="KID45" s="125"/>
      <c r="KIE45" s="125"/>
      <c r="KIF45" s="14"/>
      <c r="KIG45" s="15"/>
      <c r="KIH45" s="125"/>
      <c r="KII45" s="125"/>
      <c r="KIJ45" s="14"/>
      <c r="KIK45" s="10"/>
      <c r="KIL45" s="125"/>
      <c r="KIM45" s="125"/>
      <c r="KIN45" s="14"/>
      <c r="KIO45" s="15"/>
      <c r="KIP45" s="125"/>
      <c r="KIQ45" s="125"/>
      <c r="KIR45" s="14"/>
      <c r="KIS45" s="15"/>
      <c r="KIT45" s="125"/>
      <c r="KIU45" s="125"/>
      <c r="KIV45" s="14"/>
      <c r="KIW45" s="15"/>
      <c r="KIX45" s="125"/>
      <c r="KIY45" s="125"/>
      <c r="KIZ45" s="14"/>
      <c r="KJA45" s="10"/>
      <c r="KJB45" s="125"/>
      <c r="KJC45" s="125"/>
      <c r="KJD45" s="14"/>
      <c r="KJE45" s="15"/>
      <c r="KJF45" s="125"/>
      <c r="KJG45" s="125"/>
      <c r="KJH45" s="14"/>
      <c r="KJI45" s="15"/>
      <c r="KJJ45" s="125"/>
      <c r="KJK45" s="125"/>
      <c r="KJL45" s="14"/>
      <c r="KJM45" s="15"/>
      <c r="KJN45" s="125"/>
      <c r="KJO45" s="125"/>
      <c r="KJP45" s="14"/>
      <c r="KJQ45" s="10"/>
      <c r="KJR45" s="125"/>
      <c r="KJS45" s="125"/>
      <c r="KJT45" s="14"/>
      <c r="KJU45" s="15"/>
      <c r="KJV45" s="125"/>
      <c r="KJW45" s="125"/>
      <c r="KJX45" s="14"/>
      <c r="KJY45" s="15"/>
      <c r="KJZ45" s="125"/>
      <c r="KKA45" s="125"/>
      <c r="KKB45" s="14"/>
      <c r="KKC45" s="15"/>
      <c r="KKD45" s="125"/>
      <c r="KKE45" s="125"/>
      <c r="KKF45" s="14"/>
      <c r="KKG45" s="10"/>
      <c r="KKH45" s="125"/>
      <c r="KKI45" s="125"/>
      <c r="KKJ45" s="14"/>
      <c r="KKK45" s="15"/>
      <c r="KKL45" s="125"/>
      <c r="KKM45" s="125"/>
      <c r="KKN45" s="14"/>
      <c r="KKO45" s="15"/>
      <c r="KKP45" s="125"/>
      <c r="KKQ45" s="125"/>
      <c r="KKR45" s="14"/>
      <c r="KKS45" s="15"/>
      <c r="KKT45" s="125"/>
      <c r="KKU45" s="125"/>
      <c r="KKV45" s="14"/>
      <c r="KKW45" s="10"/>
      <c r="KKX45" s="125"/>
      <c r="KKY45" s="125"/>
      <c r="KKZ45" s="14"/>
      <c r="KLA45" s="15"/>
      <c r="KLB45" s="125"/>
      <c r="KLC45" s="125"/>
      <c r="KLD45" s="14"/>
      <c r="KLE45" s="15"/>
      <c r="KLF45" s="125"/>
      <c r="KLG45" s="125"/>
      <c r="KLH45" s="14"/>
      <c r="KLI45" s="15"/>
      <c r="KLJ45" s="125"/>
      <c r="KLK45" s="125"/>
      <c r="KLL45" s="14"/>
      <c r="KLM45" s="10"/>
      <c r="KLN45" s="125"/>
      <c r="KLO45" s="125"/>
      <c r="KLP45" s="14"/>
      <c r="KLQ45" s="15"/>
      <c r="KLR45" s="125"/>
      <c r="KLS45" s="125"/>
      <c r="KLT45" s="14"/>
      <c r="KLU45" s="15"/>
      <c r="KLV45" s="125"/>
      <c r="KLW45" s="125"/>
      <c r="KLX45" s="14"/>
      <c r="KLY45" s="15"/>
      <c r="KLZ45" s="125"/>
      <c r="KMA45" s="125"/>
      <c r="KMB45" s="14"/>
      <c r="KMC45" s="10"/>
      <c r="KMD45" s="125"/>
      <c r="KME45" s="125"/>
      <c r="KMF45" s="14"/>
      <c r="KMG45" s="15"/>
      <c r="KMH45" s="125"/>
      <c r="KMI45" s="125"/>
      <c r="KMJ45" s="14"/>
      <c r="KMK45" s="15"/>
      <c r="KML45" s="125"/>
      <c r="KMM45" s="125"/>
      <c r="KMN45" s="14"/>
      <c r="KMO45" s="15"/>
      <c r="KMP45" s="125"/>
      <c r="KMQ45" s="125"/>
      <c r="KMR45" s="14"/>
      <c r="KMS45" s="10"/>
      <c r="KMT45" s="125"/>
      <c r="KMU45" s="125"/>
      <c r="KMV45" s="14"/>
      <c r="KMW45" s="15"/>
      <c r="KMX45" s="125"/>
      <c r="KMY45" s="125"/>
      <c r="KMZ45" s="14"/>
      <c r="KNA45" s="15"/>
      <c r="KNB45" s="125"/>
      <c r="KNC45" s="125"/>
      <c r="KND45" s="14"/>
      <c r="KNE45" s="15"/>
      <c r="KNF45" s="125"/>
      <c r="KNG45" s="125"/>
      <c r="KNH45" s="14"/>
      <c r="KNI45" s="10"/>
      <c r="KNJ45" s="125"/>
      <c r="KNK45" s="125"/>
      <c r="KNL45" s="14"/>
      <c r="KNM45" s="15"/>
      <c r="KNN45" s="125"/>
      <c r="KNO45" s="125"/>
      <c r="KNP45" s="14"/>
      <c r="KNQ45" s="15"/>
      <c r="KNR45" s="125"/>
      <c r="KNS45" s="125"/>
      <c r="KNT45" s="14"/>
      <c r="KNU45" s="15"/>
      <c r="KNV45" s="125"/>
      <c r="KNW45" s="125"/>
      <c r="KNX45" s="14"/>
      <c r="KNY45" s="10"/>
      <c r="KNZ45" s="125"/>
      <c r="KOA45" s="125"/>
      <c r="KOB45" s="14"/>
      <c r="KOC45" s="15"/>
      <c r="KOD45" s="125"/>
      <c r="KOE45" s="125"/>
      <c r="KOF45" s="14"/>
      <c r="KOG45" s="15"/>
      <c r="KOH45" s="125"/>
      <c r="KOI45" s="125"/>
      <c r="KOJ45" s="14"/>
      <c r="KOK45" s="15"/>
      <c r="KOL45" s="125"/>
      <c r="KOM45" s="125"/>
      <c r="KON45" s="14"/>
      <c r="KOO45" s="10"/>
      <c r="KOP45" s="125"/>
      <c r="KOQ45" s="125"/>
      <c r="KOR45" s="14"/>
      <c r="KOS45" s="15"/>
      <c r="KOT45" s="125"/>
      <c r="KOU45" s="125"/>
      <c r="KOV45" s="14"/>
      <c r="KOW45" s="15"/>
      <c r="KOX45" s="125"/>
      <c r="KOY45" s="125"/>
      <c r="KOZ45" s="14"/>
      <c r="KPA45" s="15"/>
      <c r="KPB45" s="125"/>
      <c r="KPC45" s="125"/>
      <c r="KPD45" s="14"/>
      <c r="KPE45" s="10"/>
      <c r="KPF45" s="125"/>
      <c r="KPG45" s="125"/>
      <c r="KPH45" s="14"/>
      <c r="KPI45" s="15"/>
      <c r="KPJ45" s="125"/>
      <c r="KPK45" s="125"/>
      <c r="KPL45" s="14"/>
      <c r="KPM45" s="15"/>
      <c r="KPN45" s="125"/>
      <c r="KPO45" s="125"/>
      <c r="KPP45" s="14"/>
      <c r="KPQ45" s="15"/>
      <c r="KPR45" s="125"/>
      <c r="KPS45" s="125"/>
      <c r="KPT45" s="14"/>
      <c r="KPU45" s="10"/>
      <c r="KPV45" s="125"/>
      <c r="KPW45" s="125"/>
      <c r="KPX45" s="14"/>
      <c r="KPY45" s="15"/>
      <c r="KPZ45" s="125"/>
      <c r="KQA45" s="125"/>
      <c r="KQB45" s="14"/>
      <c r="KQC45" s="15"/>
      <c r="KQD45" s="125"/>
      <c r="KQE45" s="125"/>
      <c r="KQF45" s="14"/>
      <c r="KQG45" s="15"/>
      <c r="KQH45" s="125"/>
      <c r="KQI45" s="125"/>
      <c r="KQJ45" s="14"/>
      <c r="KQK45" s="10"/>
      <c r="KQL45" s="125"/>
      <c r="KQM45" s="125"/>
      <c r="KQN45" s="14"/>
      <c r="KQO45" s="15"/>
      <c r="KQP45" s="125"/>
      <c r="KQQ45" s="125"/>
      <c r="KQR45" s="14"/>
      <c r="KQS45" s="15"/>
      <c r="KQT45" s="125"/>
      <c r="KQU45" s="125"/>
      <c r="KQV45" s="14"/>
      <c r="KQW45" s="15"/>
      <c r="KQX45" s="125"/>
      <c r="KQY45" s="125"/>
      <c r="KQZ45" s="14"/>
      <c r="KRA45" s="10"/>
      <c r="KRB45" s="125"/>
      <c r="KRC45" s="125"/>
      <c r="KRD45" s="14"/>
      <c r="KRE45" s="15"/>
      <c r="KRF45" s="125"/>
      <c r="KRG45" s="125"/>
      <c r="KRH45" s="14"/>
      <c r="KRI45" s="15"/>
      <c r="KRJ45" s="125"/>
      <c r="KRK45" s="125"/>
      <c r="KRL45" s="14"/>
      <c r="KRM45" s="15"/>
      <c r="KRN45" s="125"/>
      <c r="KRO45" s="125"/>
      <c r="KRP45" s="14"/>
      <c r="KRQ45" s="10"/>
      <c r="KRR45" s="125"/>
      <c r="KRS45" s="125"/>
      <c r="KRT45" s="14"/>
      <c r="KRU45" s="15"/>
      <c r="KRV45" s="125"/>
      <c r="KRW45" s="125"/>
      <c r="KRX45" s="14"/>
      <c r="KRY45" s="15"/>
      <c r="KRZ45" s="125"/>
      <c r="KSA45" s="125"/>
      <c r="KSB45" s="14"/>
      <c r="KSC45" s="15"/>
      <c r="KSD45" s="125"/>
      <c r="KSE45" s="125"/>
      <c r="KSF45" s="14"/>
      <c r="KSG45" s="10"/>
      <c r="KSH45" s="125"/>
      <c r="KSI45" s="125"/>
      <c r="KSJ45" s="14"/>
      <c r="KSK45" s="15"/>
      <c r="KSL45" s="125"/>
      <c r="KSM45" s="125"/>
      <c r="KSN45" s="14"/>
      <c r="KSO45" s="15"/>
      <c r="KSP45" s="125"/>
      <c r="KSQ45" s="125"/>
      <c r="KSR45" s="14"/>
      <c r="KSS45" s="15"/>
      <c r="KST45" s="125"/>
      <c r="KSU45" s="125"/>
      <c r="KSV45" s="14"/>
      <c r="KSW45" s="10"/>
      <c r="KSX45" s="125"/>
      <c r="KSY45" s="125"/>
      <c r="KSZ45" s="14"/>
      <c r="KTA45" s="15"/>
      <c r="KTB45" s="125"/>
      <c r="KTC45" s="125"/>
      <c r="KTD45" s="14"/>
      <c r="KTE45" s="15"/>
      <c r="KTF45" s="125"/>
      <c r="KTG45" s="125"/>
      <c r="KTH45" s="14"/>
      <c r="KTI45" s="15"/>
      <c r="KTJ45" s="125"/>
      <c r="KTK45" s="125"/>
      <c r="KTL45" s="14"/>
      <c r="KTM45" s="10"/>
      <c r="KTN45" s="125"/>
      <c r="KTO45" s="125"/>
      <c r="KTP45" s="14"/>
      <c r="KTQ45" s="15"/>
      <c r="KTR45" s="125"/>
      <c r="KTS45" s="125"/>
      <c r="KTT45" s="14"/>
      <c r="KTU45" s="15"/>
      <c r="KTV45" s="125"/>
      <c r="KTW45" s="125"/>
      <c r="KTX45" s="14"/>
      <c r="KTY45" s="15"/>
      <c r="KTZ45" s="125"/>
      <c r="KUA45" s="125"/>
      <c r="KUB45" s="14"/>
      <c r="KUC45" s="10"/>
      <c r="KUD45" s="125"/>
      <c r="KUE45" s="125"/>
      <c r="KUF45" s="14"/>
      <c r="KUG45" s="15"/>
      <c r="KUH45" s="125"/>
      <c r="KUI45" s="125"/>
      <c r="KUJ45" s="14"/>
      <c r="KUK45" s="15"/>
      <c r="KUL45" s="125"/>
      <c r="KUM45" s="125"/>
      <c r="KUN45" s="14"/>
      <c r="KUO45" s="15"/>
      <c r="KUP45" s="125"/>
      <c r="KUQ45" s="125"/>
      <c r="KUR45" s="14"/>
      <c r="KUS45" s="10"/>
      <c r="KUT45" s="125"/>
      <c r="KUU45" s="125"/>
      <c r="KUV45" s="14"/>
      <c r="KUW45" s="15"/>
      <c r="KUX45" s="125"/>
      <c r="KUY45" s="125"/>
      <c r="KUZ45" s="14"/>
      <c r="KVA45" s="15"/>
      <c r="KVB45" s="125"/>
      <c r="KVC45" s="125"/>
      <c r="KVD45" s="14"/>
      <c r="KVE45" s="15"/>
      <c r="KVF45" s="125"/>
      <c r="KVG45" s="125"/>
      <c r="KVH45" s="14"/>
      <c r="KVI45" s="10"/>
      <c r="KVJ45" s="125"/>
      <c r="KVK45" s="125"/>
      <c r="KVL45" s="14"/>
      <c r="KVM45" s="15"/>
      <c r="KVN45" s="125"/>
      <c r="KVO45" s="125"/>
      <c r="KVP45" s="14"/>
      <c r="KVQ45" s="15"/>
      <c r="KVR45" s="125"/>
      <c r="KVS45" s="125"/>
      <c r="KVT45" s="14"/>
      <c r="KVU45" s="15"/>
      <c r="KVV45" s="125"/>
      <c r="KVW45" s="125"/>
      <c r="KVX45" s="14"/>
      <c r="KVY45" s="10"/>
      <c r="KVZ45" s="125"/>
      <c r="KWA45" s="125"/>
      <c r="KWB45" s="14"/>
      <c r="KWC45" s="15"/>
      <c r="KWD45" s="125"/>
      <c r="KWE45" s="125"/>
      <c r="KWF45" s="14"/>
      <c r="KWG45" s="15"/>
      <c r="KWH45" s="125"/>
      <c r="KWI45" s="125"/>
      <c r="KWJ45" s="14"/>
      <c r="KWK45" s="15"/>
      <c r="KWL45" s="125"/>
      <c r="KWM45" s="125"/>
      <c r="KWN45" s="14"/>
      <c r="KWO45" s="10"/>
      <c r="KWP45" s="125"/>
      <c r="KWQ45" s="125"/>
      <c r="KWR45" s="14"/>
      <c r="KWS45" s="15"/>
      <c r="KWT45" s="125"/>
      <c r="KWU45" s="125"/>
      <c r="KWV45" s="14"/>
      <c r="KWW45" s="15"/>
      <c r="KWX45" s="125"/>
      <c r="KWY45" s="125"/>
      <c r="KWZ45" s="14"/>
      <c r="KXA45" s="15"/>
      <c r="KXB45" s="125"/>
      <c r="KXC45" s="125"/>
      <c r="KXD45" s="14"/>
      <c r="KXE45" s="10"/>
      <c r="KXF45" s="125"/>
      <c r="KXG45" s="125"/>
      <c r="KXH45" s="14"/>
      <c r="KXI45" s="15"/>
      <c r="KXJ45" s="125"/>
      <c r="KXK45" s="125"/>
      <c r="KXL45" s="14"/>
      <c r="KXM45" s="15"/>
      <c r="KXN45" s="125"/>
      <c r="KXO45" s="125"/>
      <c r="KXP45" s="14"/>
      <c r="KXQ45" s="15"/>
      <c r="KXR45" s="125"/>
      <c r="KXS45" s="125"/>
      <c r="KXT45" s="14"/>
      <c r="KXU45" s="10"/>
      <c r="KXV45" s="125"/>
      <c r="KXW45" s="125"/>
      <c r="KXX45" s="14"/>
      <c r="KXY45" s="15"/>
      <c r="KXZ45" s="125"/>
      <c r="KYA45" s="125"/>
      <c r="KYB45" s="14"/>
      <c r="KYC45" s="15"/>
      <c r="KYD45" s="125"/>
      <c r="KYE45" s="125"/>
      <c r="KYF45" s="14"/>
      <c r="KYG45" s="15"/>
      <c r="KYH45" s="125"/>
      <c r="KYI45" s="125"/>
      <c r="KYJ45" s="14"/>
      <c r="KYK45" s="10"/>
      <c r="KYL45" s="125"/>
      <c r="KYM45" s="125"/>
      <c r="KYN45" s="14"/>
      <c r="KYO45" s="15"/>
      <c r="KYP45" s="125"/>
      <c r="KYQ45" s="125"/>
      <c r="KYR45" s="14"/>
      <c r="KYS45" s="15"/>
      <c r="KYT45" s="125"/>
      <c r="KYU45" s="125"/>
      <c r="KYV45" s="14"/>
      <c r="KYW45" s="15"/>
      <c r="KYX45" s="125"/>
      <c r="KYY45" s="125"/>
      <c r="KYZ45" s="14"/>
      <c r="KZA45" s="10"/>
      <c r="KZB45" s="125"/>
      <c r="KZC45" s="125"/>
      <c r="KZD45" s="14"/>
      <c r="KZE45" s="15"/>
      <c r="KZF45" s="125"/>
      <c r="KZG45" s="125"/>
      <c r="KZH45" s="14"/>
      <c r="KZI45" s="15"/>
      <c r="KZJ45" s="125"/>
      <c r="KZK45" s="125"/>
      <c r="KZL45" s="14"/>
      <c r="KZM45" s="15"/>
      <c r="KZN45" s="125"/>
      <c r="KZO45" s="125"/>
      <c r="KZP45" s="14"/>
      <c r="KZQ45" s="10"/>
      <c r="KZR45" s="125"/>
      <c r="KZS45" s="125"/>
      <c r="KZT45" s="14"/>
      <c r="KZU45" s="15"/>
      <c r="KZV45" s="125"/>
      <c r="KZW45" s="125"/>
      <c r="KZX45" s="14"/>
      <c r="KZY45" s="15"/>
      <c r="KZZ45" s="125"/>
      <c r="LAA45" s="125"/>
      <c r="LAB45" s="14"/>
      <c r="LAC45" s="15"/>
      <c r="LAD45" s="125"/>
      <c r="LAE45" s="125"/>
      <c r="LAF45" s="14"/>
      <c r="LAG45" s="10"/>
      <c r="LAH45" s="125"/>
      <c r="LAI45" s="125"/>
      <c r="LAJ45" s="14"/>
      <c r="LAK45" s="15"/>
      <c r="LAL45" s="125"/>
      <c r="LAM45" s="125"/>
      <c r="LAN45" s="14"/>
      <c r="LAO45" s="15"/>
      <c r="LAP45" s="125"/>
      <c r="LAQ45" s="125"/>
      <c r="LAR45" s="14"/>
      <c r="LAS45" s="15"/>
      <c r="LAT45" s="125"/>
      <c r="LAU45" s="125"/>
      <c r="LAV45" s="14"/>
      <c r="LAW45" s="10"/>
      <c r="LAX45" s="125"/>
      <c r="LAY45" s="125"/>
      <c r="LAZ45" s="14"/>
      <c r="LBA45" s="15"/>
      <c r="LBB45" s="125"/>
      <c r="LBC45" s="125"/>
      <c r="LBD45" s="14"/>
      <c r="LBE45" s="15"/>
      <c r="LBF45" s="125"/>
      <c r="LBG45" s="125"/>
      <c r="LBH45" s="14"/>
      <c r="LBI45" s="15"/>
      <c r="LBJ45" s="125"/>
      <c r="LBK45" s="125"/>
      <c r="LBL45" s="14"/>
      <c r="LBM45" s="10"/>
      <c r="LBN45" s="125"/>
      <c r="LBO45" s="125"/>
      <c r="LBP45" s="14"/>
      <c r="LBQ45" s="15"/>
      <c r="LBR45" s="125"/>
      <c r="LBS45" s="125"/>
      <c r="LBT45" s="14"/>
      <c r="LBU45" s="15"/>
      <c r="LBV45" s="125"/>
      <c r="LBW45" s="125"/>
      <c r="LBX45" s="14"/>
      <c r="LBY45" s="15"/>
      <c r="LBZ45" s="125"/>
      <c r="LCA45" s="125"/>
      <c r="LCB45" s="14"/>
      <c r="LCC45" s="10"/>
      <c r="LCD45" s="125"/>
      <c r="LCE45" s="125"/>
      <c r="LCF45" s="14"/>
      <c r="LCG45" s="15"/>
      <c r="LCH45" s="125"/>
      <c r="LCI45" s="125"/>
      <c r="LCJ45" s="14"/>
      <c r="LCK45" s="15"/>
      <c r="LCL45" s="125"/>
      <c r="LCM45" s="125"/>
      <c r="LCN45" s="14"/>
      <c r="LCO45" s="15"/>
      <c r="LCP45" s="125"/>
      <c r="LCQ45" s="125"/>
      <c r="LCR45" s="14"/>
      <c r="LCS45" s="10"/>
      <c r="LCT45" s="125"/>
      <c r="LCU45" s="125"/>
      <c r="LCV45" s="14"/>
      <c r="LCW45" s="15"/>
      <c r="LCX45" s="125"/>
      <c r="LCY45" s="125"/>
      <c r="LCZ45" s="14"/>
      <c r="LDA45" s="15"/>
      <c r="LDB45" s="125"/>
      <c r="LDC45" s="125"/>
      <c r="LDD45" s="14"/>
      <c r="LDE45" s="15"/>
      <c r="LDF45" s="125"/>
      <c r="LDG45" s="125"/>
      <c r="LDH45" s="14"/>
      <c r="LDI45" s="10"/>
      <c r="LDJ45" s="125"/>
      <c r="LDK45" s="125"/>
      <c r="LDL45" s="14"/>
      <c r="LDM45" s="15"/>
      <c r="LDN45" s="125"/>
      <c r="LDO45" s="125"/>
      <c r="LDP45" s="14"/>
      <c r="LDQ45" s="15"/>
      <c r="LDR45" s="125"/>
      <c r="LDS45" s="125"/>
      <c r="LDT45" s="14"/>
      <c r="LDU45" s="15"/>
      <c r="LDV45" s="125"/>
      <c r="LDW45" s="125"/>
      <c r="LDX45" s="14"/>
      <c r="LDY45" s="10"/>
      <c r="LDZ45" s="125"/>
      <c r="LEA45" s="125"/>
      <c r="LEB45" s="14"/>
      <c r="LEC45" s="15"/>
      <c r="LED45" s="125"/>
      <c r="LEE45" s="125"/>
      <c r="LEF45" s="14"/>
      <c r="LEG45" s="15"/>
      <c r="LEH45" s="125"/>
      <c r="LEI45" s="125"/>
      <c r="LEJ45" s="14"/>
      <c r="LEK45" s="15"/>
      <c r="LEL45" s="125"/>
      <c r="LEM45" s="125"/>
      <c r="LEN45" s="14"/>
      <c r="LEO45" s="10"/>
      <c r="LEP45" s="125"/>
      <c r="LEQ45" s="125"/>
      <c r="LER45" s="14"/>
      <c r="LES45" s="15"/>
      <c r="LET45" s="125"/>
      <c r="LEU45" s="125"/>
      <c r="LEV45" s="14"/>
      <c r="LEW45" s="15"/>
      <c r="LEX45" s="125"/>
      <c r="LEY45" s="125"/>
      <c r="LEZ45" s="14"/>
      <c r="LFA45" s="15"/>
      <c r="LFB45" s="125"/>
      <c r="LFC45" s="125"/>
      <c r="LFD45" s="14"/>
      <c r="LFE45" s="10"/>
      <c r="LFF45" s="125"/>
      <c r="LFG45" s="125"/>
      <c r="LFH45" s="14"/>
      <c r="LFI45" s="15"/>
      <c r="LFJ45" s="125"/>
      <c r="LFK45" s="125"/>
      <c r="LFL45" s="14"/>
      <c r="LFM45" s="15"/>
      <c r="LFN45" s="125"/>
      <c r="LFO45" s="125"/>
      <c r="LFP45" s="14"/>
      <c r="LFQ45" s="15"/>
      <c r="LFR45" s="125"/>
      <c r="LFS45" s="125"/>
      <c r="LFT45" s="14"/>
      <c r="LFU45" s="10"/>
      <c r="LFV45" s="125"/>
      <c r="LFW45" s="125"/>
      <c r="LFX45" s="14"/>
      <c r="LFY45" s="15"/>
      <c r="LFZ45" s="125"/>
      <c r="LGA45" s="125"/>
      <c r="LGB45" s="14"/>
      <c r="LGC45" s="15"/>
      <c r="LGD45" s="125"/>
      <c r="LGE45" s="125"/>
      <c r="LGF45" s="14"/>
      <c r="LGG45" s="15"/>
      <c r="LGH45" s="125"/>
      <c r="LGI45" s="125"/>
      <c r="LGJ45" s="14"/>
      <c r="LGK45" s="10"/>
      <c r="LGL45" s="125"/>
      <c r="LGM45" s="125"/>
      <c r="LGN45" s="14"/>
      <c r="LGO45" s="15"/>
      <c r="LGP45" s="125"/>
      <c r="LGQ45" s="125"/>
      <c r="LGR45" s="14"/>
      <c r="LGS45" s="15"/>
      <c r="LGT45" s="125"/>
      <c r="LGU45" s="125"/>
      <c r="LGV45" s="14"/>
      <c r="LGW45" s="15"/>
      <c r="LGX45" s="125"/>
      <c r="LGY45" s="125"/>
      <c r="LGZ45" s="14"/>
      <c r="LHA45" s="10"/>
      <c r="LHB45" s="125"/>
      <c r="LHC45" s="125"/>
      <c r="LHD45" s="14"/>
      <c r="LHE45" s="15"/>
      <c r="LHF45" s="125"/>
      <c r="LHG45" s="125"/>
      <c r="LHH45" s="14"/>
      <c r="LHI45" s="15"/>
      <c r="LHJ45" s="125"/>
      <c r="LHK45" s="125"/>
      <c r="LHL45" s="14"/>
      <c r="LHM45" s="15"/>
      <c r="LHN45" s="125"/>
      <c r="LHO45" s="125"/>
      <c r="LHP45" s="14"/>
      <c r="LHQ45" s="10"/>
      <c r="LHR45" s="125"/>
      <c r="LHS45" s="125"/>
      <c r="LHT45" s="14"/>
      <c r="LHU45" s="15"/>
      <c r="LHV45" s="125"/>
      <c r="LHW45" s="125"/>
      <c r="LHX45" s="14"/>
      <c r="LHY45" s="15"/>
      <c r="LHZ45" s="125"/>
      <c r="LIA45" s="125"/>
      <c r="LIB45" s="14"/>
      <c r="LIC45" s="15"/>
      <c r="LID45" s="125"/>
      <c r="LIE45" s="125"/>
      <c r="LIF45" s="14"/>
      <c r="LIG45" s="10"/>
      <c r="LIH45" s="125"/>
      <c r="LII45" s="125"/>
      <c r="LIJ45" s="14"/>
      <c r="LIK45" s="15"/>
      <c r="LIL45" s="125"/>
      <c r="LIM45" s="125"/>
      <c r="LIN45" s="14"/>
      <c r="LIO45" s="15"/>
      <c r="LIP45" s="125"/>
      <c r="LIQ45" s="125"/>
      <c r="LIR45" s="14"/>
      <c r="LIS45" s="15"/>
      <c r="LIT45" s="125"/>
      <c r="LIU45" s="125"/>
      <c r="LIV45" s="14"/>
      <c r="LIW45" s="10"/>
      <c r="LIX45" s="125"/>
      <c r="LIY45" s="125"/>
      <c r="LIZ45" s="14"/>
      <c r="LJA45" s="15"/>
      <c r="LJB45" s="125"/>
      <c r="LJC45" s="125"/>
      <c r="LJD45" s="14"/>
      <c r="LJE45" s="15"/>
      <c r="LJF45" s="125"/>
      <c r="LJG45" s="125"/>
      <c r="LJH45" s="14"/>
      <c r="LJI45" s="15"/>
      <c r="LJJ45" s="125"/>
      <c r="LJK45" s="125"/>
      <c r="LJL45" s="14"/>
      <c r="LJM45" s="10"/>
      <c r="LJN45" s="125"/>
      <c r="LJO45" s="125"/>
      <c r="LJP45" s="14"/>
      <c r="LJQ45" s="15"/>
      <c r="LJR45" s="125"/>
      <c r="LJS45" s="125"/>
      <c r="LJT45" s="14"/>
      <c r="LJU45" s="15"/>
      <c r="LJV45" s="125"/>
      <c r="LJW45" s="125"/>
      <c r="LJX45" s="14"/>
      <c r="LJY45" s="15"/>
      <c r="LJZ45" s="125"/>
      <c r="LKA45" s="125"/>
      <c r="LKB45" s="14"/>
      <c r="LKC45" s="10"/>
      <c r="LKD45" s="125"/>
      <c r="LKE45" s="125"/>
      <c r="LKF45" s="14"/>
      <c r="LKG45" s="15"/>
      <c r="LKH45" s="125"/>
      <c r="LKI45" s="125"/>
      <c r="LKJ45" s="14"/>
      <c r="LKK45" s="15"/>
      <c r="LKL45" s="125"/>
      <c r="LKM45" s="125"/>
      <c r="LKN45" s="14"/>
      <c r="LKO45" s="15"/>
      <c r="LKP45" s="125"/>
      <c r="LKQ45" s="125"/>
      <c r="LKR45" s="14"/>
      <c r="LKS45" s="10"/>
      <c r="LKT45" s="125"/>
      <c r="LKU45" s="125"/>
      <c r="LKV45" s="14"/>
      <c r="LKW45" s="15"/>
      <c r="LKX45" s="125"/>
      <c r="LKY45" s="125"/>
      <c r="LKZ45" s="14"/>
      <c r="LLA45" s="15"/>
      <c r="LLB45" s="125"/>
      <c r="LLC45" s="125"/>
      <c r="LLD45" s="14"/>
      <c r="LLE45" s="15"/>
      <c r="LLF45" s="125"/>
      <c r="LLG45" s="125"/>
      <c r="LLH45" s="14"/>
      <c r="LLI45" s="10"/>
      <c r="LLJ45" s="125"/>
      <c r="LLK45" s="125"/>
      <c r="LLL45" s="14"/>
      <c r="LLM45" s="15"/>
      <c r="LLN45" s="125"/>
      <c r="LLO45" s="125"/>
      <c r="LLP45" s="14"/>
      <c r="LLQ45" s="15"/>
      <c r="LLR45" s="125"/>
      <c r="LLS45" s="125"/>
      <c r="LLT45" s="14"/>
      <c r="LLU45" s="15"/>
      <c r="LLV45" s="125"/>
      <c r="LLW45" s="125"/>
      <c r="LLX45" s="14"/>
      <c r="LLY45" s="10"/>
      <c r="LLZ45" s="125"/>
      <c r="LMA45" s="125"/>
      <c r="LMB45" s="14"/>
      <c r="LMC45" s="15"/>
      <c r="LMD45" s="125"/>
      <c r="LME45" s="125"/>
      <c r="LMF45" s="14"/>
      <c r="LMG45" s="15"/>
      <c r="LMH45" s="125"/>
      <c r="LMI45" s="125"/>
      <c r="LMJ45" s="14"/>
      <c r="LMK45" s="15"/>
      <c r="LML45" s="125"/>
      <c r="LMM45" s="125"/>
      <c r="LMN45" s="14"/>
      <c r="LMO45" s="10"/>
      <c r="LMP45" s="125"/>
      <c r="LMQ45" s="125"/>
      <c r="LMR45" s="14"/>
      <c r="LMS45" s="15"/>
      <c r="LMT45" s="125"/>
      <c r="LMU45" s="125"/>
      <c r="LMV45" s="14"/>
      <c r="LMW45" s="15"/>
      <c r="LMX45" s="125"/>
      <c r="LMY45" s="125"/>
      <c r="LMZ45" s="14"/>
      <c r="LNA45" s="15"/>
      <c r="LNB45" s="125"/>
      <c r="LNC45" s="125"/>
      <c r="LND45" s="14"/>
      <c r="LNE45" s="10"/>
      <c r="LNF45" s="125"/>
      <c r="LNG45" s="125"/>
      <c r="LNH45" s="14"/>
      <c r="LNI45" s="15"/>
      <c r="LNJ45" s="125"/>
      <c r="LNK45" s="125"/>
      <c r="LNL45" s="14"/>
      <c r="LNM45" s="15"/>
      <c r="LNN45" s="125"/>
      <c r="LNO45" s="125"/>
      <c r="LNP45" s="14"/>
      <c r="LNQ45" s="15"/>
      <c r="LNR45" s="125"/>
      <c r="LNS45" s="125"/>
      <c r="LNT45" s="14"/>
      <c r="LNU45" s="10"/>
      <c r="LNV45" s="125"/>
      <c r="LNW45" s="125"/>
      <c r="LNX45" s="14"/>
      <c r="LNY45" s="15"/>
      <c r="LNZ45" s="125"/>
      <c r="LOA45" s="125"/>
      <c r="LOB45" s="14"/>
      <c r="LOC45" s="15"/>
      <c r="LOD45" s="125"/>
      <c r="LOE45" s="125"/>
      <c r="LOF45" s="14"/>
      <c r="LOG45" s="15"/>
      <c r="LOH45" s="125"/>
      <c r="LOI45" s="125"/>
      <c r="LOJ45" s="14"/>
      <c r="LOK45" s="10"/>
      <c r="LOL45" s="125"/>
      <c r="LOM45" s="125"/>
      <c r="LON45" s="14"/>
      <c r="LOO45" s="15"/>
      <c r="LOP45" s="125"/>
      <c r="LOQ45" s="125"/>
      <c r="LOR45" s="14"/>
      <c r="LOS45" s="15"/>
      <c r="LOT45" s="125"/>
      <c r="LOU45" s="125"/>
      <c r="LOV45" s="14"/>
      <c r="LOW45" s="15"/>
      <c r="LOX45" s="125"/>
      <c r="LOY45" s="125"/>
      <c r="LOZ45" s="14"/>
      <c r="LPA45" s="10"/>
      <c r="LPB45" s="125"/>
      <c r="LPC45" s="125"/>
      <c r="LPD45" s="14"/>
      <c r="LPE45" s="15"/>
      <c r="LPF45" s="125"/>
      <c r="LPG45" s="125"/>
      <c r="LPH45" s="14"/>
      <c r="LPI45" s="15"/>
      <c r="LPJ45" s="125"/>
      <c r="LPK45" s="125"/>
      <c r="LPL45" s="14"/>
      <c r="LPM45" s="15"/>
      <c r="LPN45" s="125"/>
      <c r="LPO45" s="125"/>
      <c r="LPP45" s="14"/>
      <c r="LPQ45" s="10"/>
      <c r="LPR45" s="125"/>
      <c r="LPS45" s="125"/>
      <c r="LPT45" s="14"/>
      <c r="LPU45" s="15"/>
      <c r="LPV45" s="125"/>
      <c r="LPW45" s="125"/>
      <c r="LPX45" s="14"/>
      <c r="LPY45" s="15"/>
      <c r="LPZ45" s="125"/>
      <c r="LQA45" s="125"/>
      <c r="LQB45" s="14"/>
      <c r="LQC45" s="15"/>
      <c r="LQD45" s="125"/>
      <c r="LQE45" s="125"/>
      <c r="LQF45" s="14"/>
      <c r="LQG45" s="10"/>
      <c r="LQH45" s="125"/>
      <c r="LQI45" s="125"/>
      <c r="LQJ45" s="14"/>
      <c r="LQK45" s="15"/>
      <c r="LQL45" s="125"/>
      <c r="LQM45" s="125"/>
      <c r="LQN45" s="14"/>
      <c r="LQO45" s="15"/>
      <c r="LQP45" s="125"/>
      <c r="LQQ45" s="125"/>
      <c r="LQR45" s="14"/>
      <c r="LQS45" s="15"/>
      <c r="LQT45" s="125"/>
      <c r="LQU45" s="125"/>
      <c r="LQV45" s="14"/>
      <c r="LQW45" s="10"/>
      <c r="LQX45" s="125"/>
      <c r="LQY45" s="125"/>
      <c r="LQZ45" s="14"/>
      <c r="LRA45" s="15"/>
      <c r="LRB45" s="125"/>
      <c r="LRC45" s="125"/>
      <c r="LRD45" s="14"/>
      <c r="LRE45" s="15"/>
      <c r="LRF45" s="125"/>
      <c r="LRG45" s="125"/>
      <c r="LRH45" s="14"/>
      <c r="LRI45" s="15"/>
      <c r="LRJ45" s="125"/>
      <c r="LRK45" s="125"/>
      <c r="LRL45" s="14"/>
      <c r="LRM45" s="10"/>
      <c r="LRN45" s="125"/>
      <c r="LRO45" s="125"/>
      <c r="LRP45" s="14"/>
      <c r="LRQ45" s="15"/>
      <c r="LRR45" s="125"/>
      <c r="LRS45" s="125"/>
      <c r="LRT45" s="14"/>
      <c r="LRU45" s="15"/>
      <c r="LRV45" s="125"/>
      <c r="LRW45" s="125"/>
      <c r="LRX45" s="14"/>
      <c r="LRY45" s="15"/>
      <c r="LRZ45" s="125"/>
      <c r="LSA45" s="125"/>
      <c r="LSB45" s="14"/>
      <c r="LSC45" s="10"/>
      <c r="LSD45" s="125"/>
      <c r="LSE45" s="125"/>
      <c r="LSF45" s="14"/>
      <c r="LSG45" s="15"/>
      <c r="LSH45" s="125"/>
      <c r="LSI45" s="125"/>
      <c r="LSJ45" s="14"/>
      <c r="LSK45" s="15"/>
      <c r="LSL45" s="125"/>
      <c r="LSM45" s="125"/>
      <c r="LSN45" s="14"/>
      <c r="LSO45" s="15"/>
      <c r="LSP45" s="125"/>
      <c r="LSQ45" s="125"/>
      <c r="LSR45" s="14"/>
      <c r="LSS45" s="10"/>
      <c r="LST45" s="125"/>
      <c r="LSU45" s="125"/>
      <c r="LSV45" s="14"/>
      <c r="LSW45" s="15"/>
      <c r="LSX45" s="125"/>
      <c r="LSY45" s="125"/>
      <c r="LSZ45" s="14"/>
      <c r="LTA45" s="15"/>
      <c r="LTB45" s="125"/>
      <c r="LTC45" s="125"/>
      <c r="LTD45" s="14"/>
      <c r="LTE45" s="15"/>
      <c r="LTF45" s="125"/>
      <c r="LTG45" s="125"/>
      <c r="LTH45" s="14"/>
      <c r="LTI45" s="10"/>
      <c r="LTJ45" s="125"/>
      <c r="LTK45" s="125"/>
      <c r="LTL45" s="14"/>
      <c r="LTM45" s="15"/>
      <c r="LTN45" s="125"/>
      <c r="LTO45" s="125"/>
      <c r="LTP45" s="14"/>
      <c r="LTQ45" s="15"/>
      <c r="LTR45" s="125"/>
      <c r="LTS45" s="125"/>
      <c r="LTT45" s="14"/>
      <c r="LTU45" s="15"/>
      <c r="LTV45" s="125"/>
      <c r="LTW45" s="125"/>
      <c r="LTX45" s="14"/>
      <c r="LTY45" s="10"/>
      <c r="LTZ45" s="125"/>
      <c r="LUA45" s="125"/>
      <c r="LUB45" s="14"/>
      <c r="LUC45" s="15"/>
      <c r="LUD45" s="125"/>
      <c r="LUE45" s="125"/>
      <c r="LUF45" s="14"/>
      <c r="LUG45" s="15"/>
      <c r="LUH45" s="125"/>
      <c r="LUI45" s="125"/>
      <c r="LUJ45" s="14"/>
      <c r="LUK45" s="15"/>
      <c r="LUL45" s="125"/>
      <c r="LUM45" s="125"/>
      <c r="LUN45" s="14"/>
      <c r="LUO45" s="10"/>
      <c r="LUP45" s="125"/>
      <c r="LUQ45" s="125"/>
      <c r="LUR45" s="14"/>
      <c r="LUS45" s="15"/>
      <c r="LUT45" s="125"/>
      <c r="LUU45" s="125"/>
      <c r="LUV45" s="14"/>
      <c r="LUW45" s="15"/>
      <c r="LUX45" s="125"/>
      <c r="LUY45" s="125"/>
      <c r="LUZ45" s="14"/>
      <c r="LVA45" s="15"/>
      <c r="LVB45" s="125"/>
      <c r="LVC45" s="125"/>
      <c r="LVD45" s="14"/>
      <c r="LVE45" s="10"/>
      <c r="LVF45" s="125"/>
      <c r="LVG45" s="125"/>
      <c r="LVH45" s="14"/>
      <c r="LVI45" s="15"/>
      <c r="LVJ45" s="125"/>
      <c r="LVK45" s="125"/>
      <c r="LVL45" s="14"/>
      <c r="LVM45" s="15"/>
      <c r="LVN45" s="125"/>
      <c r="LVO45" s="125"/>
      <c r="LVP45" s="14"/>
      <c r="LVQ45" s="15"/>
      <c r="LVR45" s="125"/>
      <c r="LVS45" s="125"/>
      <c r="LVT45" s="14"/>
      <c r="LVU45" s="10"/>
      <c r="LVV45" s="125"/>
      <c r="LVW45" s="125"/>
      <c r="LVX45" s="14"/>
      <c r="LVY45" s="15"/>
      <c r="LVZ45" s="125"/>
      <c r="LWA45" s="125"/>
      <c r="LWB45" s="14"/>
      <c r="LWC45" s="15"/>
      <c r="LWD45" s="125"/>
      <c r="LWE45" s="125"/>
      <c r="LWF45" s="14"/>
      <c r="LWG45" s="15"/>
      <c r="LWH45" s="125"/>
      <c r="LWI45" s="125"/>
      <c r="LWJ45" s="14"/>
      <c r="LWK45" s="10"/>
      <c r="LWL45" s="125"/>
      <c r="LWM45" s="125"/>
      <c r="LWN45" s="14"/>
      <c r="LWO45" s="15"/>
      <c r="LWP45" s="125"/>
      <c r="LWQ45" s="125"/>
      <c r="LWR45" s="14"/>
      <c r="LWS45" s="15"/>
      <c r="LWT45" s="125"/>
      <c r="LWU45" s="125"/>
      <c r="LWV45" s="14"/>
      <c r="LWW45" s="15"/>
      <c r="LWX45" s="125"/>
      <c r="LWY45" s="125"/>
      <c r="LWZ45" s="14"/>
      <c r="LXA45" s="10"/>
      <c r="LXB45" s="125"/>
      <c r="LXC45" s="125"/>
      <c r="LXD45" s="14"/>
      <c r="LXE45" s="15"/>
      <c r="LXF45" s="125"/>
      <c r="LXG45" s="125"/>
      <c r="LXH45" s="14"/>
      <c r="LXI45" s="15"/>
      <c r="LXJ45" s="125"/>
      <c r="LXK45" s="125"/>
      <c r="LXL45" s="14"/>
      <c r="LXM45" s="15"/>
      <c r="LXN45" s="125"/>
      <c r="LXO45" s="125"/>
      <c r="LXP45" s="14"/>
      <c r="LXQ45" s="10"/>
      <c r="LXR45" s="125"/>
      <c r="LXS45" s="125"/>
      <c r="LXT45" s="14"/>
      <c r="LXU45" s="15"/>
      <c r="LXV45" s="125"/>
      <c r="LXW45" s="125"/>
      <c r="LXX45" s="14"/>
      <c r="LXY45" s="15"/>
      <c r="LXZ45" s="125"/>
      <c r="LYA45" s="125"/>
      <c r="LYB45" s="14"/>
      <c r="LYC45" s="15"/>
      <c r="LYD45" s="125"/>
      <c r="LYE45" s="125"/>
      <c r="LYF45" s="14"/>
      <c r="LYG45" s="10"/>
      <c r="LYH45" s="125"/>
      <c r="LYI45" s="125"/>
      <c r="LYJ45" s="14"/>
      <c r="LYK45" s="15"/>
      <c r="LYL45" s="125"/>
      <c r="LYM45" s="125"/>
      <c r="LYN45" s="14"/>
      <c r="LYO45" s="15"/>
      <c r="LYP45" s="125"/>
      <c r="LYQ45" s="125"/>
      <c r="LYR45" s="14"/>
      <c r="LYS45" s="15"/>
      <c r="LYT45" s="125"/>
      <c r="LYU45" s="125"/>
      <c r="LYV45" s="14"/>
      <c r="LYW45" s="10"/>
      <c r="LYX45" s="125"/>
      <c r="LYY45" s="125"/>
      <c r="LYZ45" s="14"/>
      <c r="LZA45" s="15"/>
      <c r="LZB45" s="125"/>
      <c r="LZC45" s="125"/>
      <c r="LZD45" s="14"/>
      <c r="LZE45" s="15"/>
      <c r="LZF45" s="125"/>
      <c r="LZG45" s="125"/>
      <c r="LZH45" s="14"/>
      <c r="LZI45" s="15"/>
      <c r="LZJ45" s="125"/>
      <c r="LZK45" s="125"/>
      <c r="LZL45" s="14"/>
      <c r="LZM45" s="10"/>
      <c r="LZN45" s="125"/>
      <c r="LZO45" s="125"/>
      <c r="LZP45" s="14"/>
      <c r="LZQ45" s="15"/>
      <c r="LZR45" s="125"/>
      <c r="LZS45" s="125"/>
      <c r="LZT45" s="14"/>
      <c r="LZU45" s="15"/>
      <c r="LZV45" s="125"/>
      <c r="LZW45" s="125"/>
      <c r="LZX45" s="14"/>
      <c r="LZY45" s="15"/>
      <c r="LZZ45" s="125"/>
      <c r="MAA45" s="125"/>
      <c r="MAB45" s="14"/>
      <c r="MAC45" s="10"/>
      <c r="MAD45" s="125"/>
      <c r="MAE45" s="125"/>
      <c r="MAF45" s="14"/>
      <c r="MAG45" s="15"/>
      <c r="MAH45" s="125"/>
      <c r="MAI45" s="125"/>
      <c r="MAJ45" s="14"/>
      <c r="MAK45" s="15"/>
      <c r="MAL45" s="125"/>
      <c r="MAM45" s="125"/>
      <c r="MAN45" s="14"/>
      <c r="MAO45" s="15"/>
      <c r="MAP45" s="125"/>
      <c r="MAQ45" s="125"/>
      <c r="MAR45" s="14"/>
      <c r="MAS45" s="10"/>
      <c r="MAT45" s="125"/>
      <c r="MAU45" s="125"/>
      <c r="MAV45" s="14"/>
      <c r="MAW45" s="15"/>
      <c r="MAX45" s="125"/>
      <c r="MAY45" s="125"/>
      <c r="MAZ45" s="14"/>
      <c r="MBA45" s="15"/>
      <c r="MBB45" s="125"/>
      <c r="MBC45" s="125"/>
      <c r="MBD45" s="14"/>
      <c r="MBE45" s="15"/>
      <c r="MBF45" s="125"/>
      <c r="MBG45" s="125"/>
      <c r="MBH45" s="14"/>
      <c r="MBI45" s="10"/>
      <c r="MBJ45" s="125"/>
      <c r="MBK45" s="125"/>
      <c r="MBL45" s="14"/>
      <c r="MBM45" s="15"/>
      <c r="MBN45" s="125"/>
      <c r="MBO45" s="125"/>
      <c r="MBP45" s="14"/>
      <c r="MBQ45" s="15"/>
      <c r="MBR45" s="125"/>
      <c r="MBS45" s="125"/>
      <c r="MBT45" s="14"/>
      <c r="MBU45" s="15"/>
      <c r="MBV45" s="125"/>
      <c r="MBW45" s="125"/>
      <c r="MBX45" s="14"/>
      <c r="MBY45" s="10"/>
      <c r="MBZ45" s="125"/>
      <c r="MCA45" s="125"/>
      <c r="MCB45" s="14"/>
      <c r="MCC45" s="15"/>
      <c r="MCD45" s="125"/>
      <c r="MCE45" s="125"/>
      <c r="MCF45" s="14"/>
      <c r="MCG45" s="15"/>
      <c r="MCH45" s="125"/>
      <c r="MCI45" s="125"/>
      <c r="MCJ45" s="14"/>
      <c r="MCK45" s="15"/>
      <c r="MCL45" s="125"/>
      <c r="MCM45" s="125"/>
      <c r="MCN45" s="14"/>
      <c r="MCO45" s="10"/>
      <c r="MCP45" s="125"/>
      <c r="MCQ45" s="125"/>
      <c r="MCR45" s="14"/>
      <c r="MCS45" s="15"/>
      <c r="MCT45" s="125"/>
      <c r="MCU45" s="125"/>
      <c r="MCV45" s="14"/>
      <c r="MCW45" s="15"/>
      <c r="MCX45" s="125"/>
      <c r="MCY45" s="125"/>
      <c r="MCZ45" s="14"/>
      <c r="MDA45" s="15"/>
      <c r="MDB45" s="125"/>
      <c r="MDC45" s="125"/>
      <c r="MDD45" s="14"/>
      <c r="MDE45" s="10"/>
      <c r="MDF45" s="125"/>
      <c r="MDG45" s="125"/>
      <c r="MDH45" s="14"/>
      <c r="MDI45" s="15"/>
      <c r="MDJ45" s="125"/>
      <c r="MDK45" s="125"/>
      <c r="MDL45" s="14"/>
      <c r="MDM45" s="15"/>
      <c r="MDN45" s="125"/>
      <c r="MDO45" s="125"/>
      <c r="MDP45" s="14"/>
      <c r="MDQ45" s="15"/>
      <c r="MDR45" s="125"/>
      <c r="MDS45" s="125"/>
      <c r="MDT45" s="14"/>
      <c r="MDU45" s="10"/>
      <c r="MDV45" s="125"/>
      <c r="MDW45" s="125"/>
      <c r="MDX45" s="14"/>
      <c r="MDY45" s="15"/>
      <c r="MDZ45" s="125"/>
      <c r="MEA45" s="125"/>
      <c r="MEB45" s="14"/>
      <c r="MEC45" s="15"/>
      <c r="MED45" s="125"/>
      <c r="MEE45" s="125"/>
      <c r="MEF45" s="14"/>
      <c r="MEG45" s="15"/>
      <c r="MEH45" s="125"/>
      <c r="MEI45" s="125"/>
      <c r="MEJ45" s="14"/>
      <c r="MEK45" s="10"/>
      <c r="MEL45" s="125"/>
      <c r="MEM45" s="125"/>
      <c r="MEN45" s="14"/>
      <c r="MEO45" s="15"/>
      <c r="MEP45" s="125"/>
      <c r="MEQ45" s="125"/>
      <c r="MER45" s="14"/>
      <c r="MES45" s="15"/>
      <c r="MET45" s="125"/>
      <c r="MEU45" s="125"/>
      <c r="MEV45" s="14"/>
      <c r="MEW45" s="15"/>
      <c r="MEX45" s="125"/>
      <c r="MEY45" s="125"/>
      <c r="MEZ45" s="14"/>
      <c r="MFA45" s="10"/>
      <c r="MFB45" s="125"/>
      <c r="MFC45" s="125"/>
      <c r="MFD45" s="14"/>
      <c r="MFE45" s="15"/>
      <c r="MFF45" s="125"/>
      <c r="MFG45" s="125"/>
      <c r="MFH45" s="14"/>
      <c r="MFI45" s="15"/>
      <c r="MFJ45" s="125"/>
      <c r="MFK45" s="125"/>
      <c r="MFL45" s="14"/>
      <c r="MFM45" s="15"/>
      <c r="MFN45" s="125"/>
      <c r="MFO45" s="125"/>
      <c r="MFP45" s="14"/>
      <c r="MFQ45" s="10"/>
      <c r="MFR45" s="125"/>
      <c r="MFS45" s="125"/>
      <c r="MFT45" s="14"/>
      <c r="MFU45" s="15"/>
      <c r="MFV45" s="125"/>
      <c r="MFW45" s="125"/>
      <c r="MFX45" s="14"/>
      <c r="MFY45" s="15"/>
      <c r="MFZ45" s="125"/>
      <c r="MGA45" s="125"/>
      <c r="MGB45" s="14"/>
      <c r="MGC45" s="15"/>
      <c r="MGD45" s="125"/>
      <c r="MGE45" s="125"/>
      <c r="MGF45" s="14"/>
      <c r="MGG45" s="10"/>
      <c r="MGH45" s="125"/>
      <c r="MGI45" s="125"/>
      <c r="MGJ45" s="14"/>
      <c r="MGK45" s="15"/>
      <c r="MGL45" s="125"/>
      <c r="MGM45" s="125"/>
      <c r="MGN45" s="14"/>
      <c r="MGO45" s="15"/>
      <c r="MGP45" s="125"/>
      <c r="MGQ45" s="125"/>
      <c r="MGR45" s="14"/>
      <c r="MGS45" s="15"/>
      <c r="MGT45" s="125"/>
      <c r="MGU45" s="125"/>
      <c r="MGV45" s="14"/>
      <c r="MGW45" s="10"/>
      <c r="MGX45" s="125"/>
      <c r="MGY45" s="125"/>
      <c r="MGZ45" s="14"/>
      <c r="MHA45" s="15"/>
      <c r="MHB45" s="125"/>
      <c r="MHC45" s="125"/>
      <c r="MHD45" s="14"/>
      <c r="MHE45" s="15"/>
      <c r="MHF45" s="125"/>
      <c r="MHG45" s="125"/>
      <c r="MHH45" s="14"/>
      <c r="MHI45" s="15"/>
      <c r="MHJ45" s="125"/>
      <c r="MHK45" s="125"/>
      <c r="MHL45" s="14"/>
      <c r="MHM45" s="10"/>
      <c r="MHN45" s="125"/>
      <c r="MHO45" s="125"/>
      <c r="MHP45" s="14"/>
      <c r="MHQ45" s="15"/>
      <c r="MHR45" s="125"/>
      <c r="MHS45" s="125"/>
      <c r="MHT45" s="14"/>
      <c r="MHU45" s="15"/>
      <c r="MHV45" s="125"/>
      <c r="MHW45" s="125"/>
      <c r="MHX45" s="14"/>
      <c r="MHY45" s="15"/>
      <c r="MHZ45" s="125"/>
      <c r="MIA45" s="125"/>
      <c r="MIB45" s="14"/>
      <c r="MIC45" s="10"/>
      <c r="MID45" s="125"/>
      <c r="MIE45" s="125"/>
      <c r="MIF45" s="14"/>
      <c r="MIG45" s="15"/>
      <c r="MIH45" s="125"/>
      <c r="MII45" s="125"/>
      <c r="MIJ45" s="14"/>
      <c r="MIK45" s="15"/>
      <c r="MIL45" s="125"/>
      <c r="MIM45" s="125"/>
      <c r="MIN45" s="14"/>
      <c r="MIO45" s="15"/>
      <c r="MIP45" s="125"/>
      <c r="MIQ45" s="125"/>
      <c r="MIR45" s="14"/>
      <c r="MIS45" s="10"/>
      <c r="MIT45" s="125"/>
      <c r="MIU45" s="125"/>
      <c r="MIV45" s="14"/>
      <c r="MIW45" s="15"/>
      <c r="MIX45" s="125"/>
      <c r="MIY45" s="125"/>
      <c r="MIZ45" s="14"/>
      <c r="MJA45" s="15"/>
      <c r="MJB45" s="125"/>
      <c r="MJC45" s="125"/>
      <c r="MJD45" s="14"/>
      <c r="MJE45" s="15"/>
      <c r="MJF45" s="125"/>
      <c r="MJG45" s="125"/>
      <c r="MJH45" s="14"/>
      <c r="MJI45" s="10"/>
      <c r="MJJ45" s="125"/>
      <c r="MJK45" s="125"/>
      <c r="MJL45" s="14"/>
      <c r="MJM45" s="15"/>
      <c r="MJN45" s="125"/>
      <c r="MJO45" s="125"/>
      <c r="MJP45" s="14"/>
      <c r="MJQ45" s="15"/>
      <c r="MJR45" s="125"/>
      <c r="MJS45" s="125"/>
      <c r="MJT45" s="14"/>
      <c r="MJU45" s="15"/>
      <c r="MJV45" s="125"/>
      <c r="MJW45" s="125"/>
      <c r="MJX45" s="14"/>
      <c r="MJY45" s="10"/>
      <c r="MJZ45" s="125"/>
      <c r="MKA45" s="125"/>
      <c r="MKB45" s="14"/>
      <c r="MKC45" s="15"/>
      <c r="MKD45" s="125"/>
      <c r="MKE45" s="125"/>
      <c r="MKF45" s="14"/>
      <c r="MKG45" s="15"/>
      <c r="MKH45" s="125"/>
      <c r="MKI45" s="125"/>
      <c r="MKJ45" s="14"/>
      <c r="MKK45" s="15"/>
      <c r="MKL45" s="125"/>
      <c r="MKM45" s="125"/>
      <c r="MKN45" s="14"/>
      <c r="MKO45" s="10"/>
      <c r="MKP45" s="125"/>
      <c r="MKQ45" s="125"/>
      <c r="MKR45" s="14"/>
      <c r="MKS45" s="15"/>
      <c r="MKT45" s="125"/>
      <c r="MKU45" s="125"/>
      <c r="MKV45" s="14"/>
      <c r="MKW45" s="15"/>
      <c r="MKX45" s="125"/>
      <c r="MKY45" s="125"/>
      <c r="MKZ45" s="14"/>
      <c r="MLA45" s="15"/>
      <c r="MLB45" s="125"/>
      <c r="MLC45" s="125"/>
      <c r="MLD45" s="14"/>
      <c r="MLE45" s="10"/>
      <c r="MLF45" s="125"/>
      <c r="MLG45" s="125"/>
      <c r="MLH45" s="14"/>
      <c r="MLI45" s="15"/>
      <c r="MLJ45" s="125"/>
      <c r="MLK45" s="125"/>
      <c r="MLL45" s="14"/>
      <c r="MLM45" s="15"/>
      <c r="MLN45" s="125"/>
      <c r="MLO45" s="125"/>
      <c r="MLP45" s="14"/>
      <c r="MLQ45" s="15"/>
      <c r="MLR45" s="125"/>
      <c r="MLS45" s="125"/>
      <c r="MLT45" s="14"/>
      <c r="MLU45" s="10"/>
      <c r="MLV45" s="125"/>
      <c r="MLW45" s="125"/>
      <c r="MLX45" s="14"/>
      <c r="MLY45" s="15"/>
      <c r="MLZ45" s="125"/>
      <c r="MMA45" s="125"/>
      <c r="MMB45" s="14"/>
      <c r="MMC45" s="15"/>
      <c r="MMD45" s="125"/>
      <c r="MME45" s="125"/>
      <c r="MMF45" s="14"/>
      <c r="MMG45" s="15"/>
      <c r="MMH45" s="125"/>
      <c r="MMI45" s="125"/>
      <c r="MMJ45" s="14"/>
      <c r="MMK45" s="10"/>
      <c r="MML45" s="125"/>
      <c r="MMM45" s="125"/>
      <c r="MMN45" s="14"/>
      <c r="MMO45" s="15"/>
      <c r="MMP45" s="125"/>
      <c r="MMQ45" s="125"/>
      <c r="MMR45" s="14"/>
      <c r="MMS45" s="15"/>
      <c r="MMT45" s="125"/>
      <c r="MMU45" s="125"/>
      <c r="MMV45" s="14"/>
      <c r="MMW45" s="15"/>
      <c r="MMX45" s="125"/>
      <c r="MMY45" s="125"/>
      <c r="MMZ45" s="14"/>
      <c r="MNA45" s="10"/>
      <c r="MNB45" s="125"/>
      <c r="MNC45" s="125"/>
      <c r="MND45" s="14"/>
      <c r="MNE45" s="15"/>
      <c r="MNF45" s="125"/>
      <c r="MNG45" s="125"/>
      <c r="MNH45" s="14"/>
      <c r="MNI45" s="15"/>
      <c r="MNJ45" s="125"/>
      <c r="MNK45" s="125"/>
      <c r="MNL45" s="14"/>
      <c r="MNM45" s="15"/>
      <c r="MNN45" s="125"/>
      <c r="MNO45" s="125"/>
      <c r="MNP45" s="14"/>
      <c r="MNQ45" s="10"/>
      <c r="MNR45" s="125"/>
      <c r="MNS45" s="125"/>
      <c r="MNT45" s="14"/>
      <c r="MNU45" s="15"/>
      <c r="MNV45" s="125"/>
      <c r="MNW45" s="125"/>
      <c r="MNX45" s="14"/>
      <c r="MNY45" s="15"/>
      <c r="MNZ45" s="125"/>
      <c r="MOA45" s="125"/>
      <c r="MOB45" s="14"/>
      <c r="MOC45" s="15"/>
      <c r="MOD45" s="125"/>
      <c r="MOE45" s="125"/>
      <c r="MOF45" s="14"/>
      <c r="MOG45" s="10"/>
      <c r="MOH45" s="125"/>
      <c r="MOI45" s="125"/>
      <c r="MOJ45" s="14"/>
      <c r="MOK45" s="15"/>
      <c r="MOL45" s="125"/>
      <c r="MOM45" s="125"/>
      <c r="MON45" s="14"/>
      <c r="MOO45" s="15"/>
      <c r="MOP45" s="125"/>
      <c r="MOQ45" s="125"/>
      <c r="MOR45" s="14"/>
      <c r="MOS45" s="15"/>
      <c r="MOT45" s="125"/>
      <c r="MOU45" s="125"/>
      <c r="MOV45" s="14"/>
      <c r="MOW45" s="10"/>
      <c r="MOX45" s="125"/>
      <c r="MOY45" s="125"/>
      <c r="MOZ45" s="14"/>
      <c r="MPA45" s="15"/>
      <c r="MPB45" s="125"/>
      <c r="MPC45" s="125"/>
      <c r="MPD45" s="14"/>
      <c r="MPE45" s="15"/>
      <c r="MPF45" s="125"/>
      <c r="MPG45" s="125"/>
      <c r="MPH45" s="14"/>
      <c r="MPI45" s="15"/>
      <c r="MPJ45" s="125"/>
      <c r="MPK45" s="125"/>
      <c r="MPL45" s="14"/>
      <c r="MPM45" s="10"/>
      <c r="MPN45" s="125"/>
      <c r="MPO45" s="125"/>
      <c r="MPP45" s="14"/>
      <c r="MPQ45" s="15"/>
      <c r="MPR45" s="125"/>
      <c r="MPS45" s="125"/>
      <c r="MPT45" s="14"/>
      <c r="MPU45" s="15"/>
      <c r="MPV45" s="125"/>
      <c r="MPW45" s="125"/>
      <c r="MPX45" s="14"/>
      <c r="MPY45" s="15"/>
      <c r="MPZ45" s="125"/>
      <c r="MQA45" s="125"/>
      <c r="MQB45" s="14"/>
      <c r="MQC45" s="10"/>
      <c r="MQD45" s="125"/>
      <c r="MQE45" s="125"/>
      <c r="MQF45" s="14"/>
      <c r="MQG45" s="15"/>
      <c r="MQH45" s="125"/>
      <c r="MQI45" s="125"/>
      <c r="MQJ45" s="14"/>
      <c r="MQK45" s="15"/>
      <c r="MQL45" s="125"/>
      <c r="MQM45" s="125"/>
      <c r="MQN45" s="14"/>
      <c r="MQO45" s="15"/>
      <c r="MQP45" s="125"/>
      <c r="MQQ45" s="125"/>
      <c r="MQR45" s="14"/>
      <c r="MQS45" s="10"/>
      <c r="MQT45" s="125"/>
      <c r="MQU45" s="125"/>
      <c r="MQV45" s="14"/>
      <c r="MQW45" s="15"/>
      <c r="MQX45" s="125"/>
      <c r="MQY45" s="125"/>
      <c r="MQZ45" s="14"/>
      <c r="MRA45" s="15"/>
      <c r="MRB45" s="125"/>
      <c r="MRC45" s="125"/>
      <c r="MRD45" s="14"/>
      <c r="MRE45" s="15"/>
      <c r="MRF45" s="125"/>
      <c r="MRG45" s="125"/>
      <c r="MRH45" s="14"/>
      <c r="MRI45" s="10"/>
      <c r="MRJ45" s="125"/>
      <c r="MRK45" s="125"/>
      <c r="MRL45" s="14"/>
      <c r="MRM45" s="15"/>
      <c r="MRN45" s="125"/>
      <c r="MRO45" s="125"/>
      <c r="MRP45" s="14"/>
      <c r="MRQ45" s="15"/>
      <c r="MRR45" s="125"/>
      <c r="MRS45" s="125"/>
      <c r="MRT45" s="14"/>
      <c r="MRU45" s="15"/>
      <c r="MRV45" s="125"/>
      <c r="MRW45" s="125"/>
      <c r="MRX45" s="14"/>
      <c r="MRY45" s="10"/>
      <c r="MRZ45" s="125"/>
      <c r="MSA45" s="125"/>
      <c r="MSB45" s="14"/>
      <c r="MSC45" s="15"/>
      <c r="MSD45" s="125"/>
      <c r="MSE45" s="125"/>
      <c r="MSF45" s="14"/>
      <c r="MSG45" s="15"/>
      <c r="MSH45" s="125"/>
      <c r="MSI45" s="125"/>
      <c r="MSJ45" s="14"/>
      <c r="MSK45" s="15"/>
      <c r="MSL45" s="125"/>
      <c r="MSM45" s="125"/>
      <c r="MSN45" s="14"/>
      <c r="MSO45" s="10"/>
      <c r="MSP45" s="125"/>
      <c r="MSQ45" s="125"/>
      <c r="MSR45" s="14"/>
      <c r="MSS45" s="15"/>
      <c r="MST45" s="125"/>
      <c r="MSU45" s="125"/>
      <c r="MSV45" s="14"/>
      <c r="MSW45" s="15"/>
      <c r="MSX45" s="125"/>
      <c r="MSY45" s="125"/>
      <c r="MSZ45" s="14"/>
      <c r="MTA45" s="15"/>
      <c r="MTB45" s="125"/>
      <c r="MTC45" s="125"/>
      <c r="MTD45" s="14"/>
      <c r="MTE45" s="10"/>
      <c r="MTF45" s="125"/>
      <c r="MTG45" s="125"/>
      <c r="MTH45" s="14"/>
      <c r="MTI45" s="15"/>
      <c r="MTJ45" s="125"/>
      <c r="MTK45" s="125"/>
      <c r="MTL45" s="14"/>
      <c r="MTM45" s="15"/>
      <c r="MTN45" s="125"/>
      <c r="MTO45" s="125"/>
      <c r="MTP45" s="14"/>
      <c r="MTQ45" s="15"/>
      <c r="MTR45" s="125"/>
      <c r="MTS45" s="125"/>
      <c r="MTT45" s="14"/>
      <c r="MTU45" s="10"/>
      <c r="MTV45" s="125"/>
      <c r="MTW45" s="125"/>
      <c r="MTX45" s="14"/>
      <c r="MTY45" s="15"/>
      <c r="MTZ45" s="125"/>
      <c r="MUA45" s="125"/>
      <c r="MUB45" s="14"/>
      <c r="MUC45" s="15"/>
      <c r="MUD45" s="125"/>
      <c r="MUE45" s="125"/>
      <c r="MUF45" s="14"/>
      <c r="MUG45" s="15"/>
      <c r="MUH45" s="125"/>
      <c r="MUI45" s="125"/>
      <c r="MUJ45" s="14"/>
      <c r="MUK45" s="10"/>
      <c r="MUL45" s="125"/>
      <c r="MUM45" s="125"/>
      <c r="MUN45" s="14"/>
      <c r="MUO45" s="15"/>
      <c r="MUP45" s="125"/>
      <c r="MUQ45" s="125"/>
      <c r="MUR45" s="14"/>
      <c r="MUS45" s="15"/>
      <c r="MUT45" s="125"/>
      <c r="MUU45" s="125"/>
      <c r="MUV45" s="14"/>
      <c r="MUW45" s="15"/>
      <c r="MUX45" s="125"/>
      <c r="MUY45" s="125"/>
      <c r="MUZ45" s="14"/>
      <c r="MVA45" s="10"/>
      <c r="MVB45" s="125"/>
      <c r="MVC45" s="125"/>
      <c r="MVD45" s="14"/>
      <c r="MVE45" s="15"/>
      <c r="MVF45" s="125"/>
      <c r="MVG45" s="125"/>
      <c r="MVH45" s="14"/>
      <c r="MVI45" s="15"/>
      <c r="MVJ45" s="125"/>
      <c r="MVK45" s="125"/>
      <c r="MVL45" s="14"/>
      <c r="MVM45" s="15"/>
      <c r="MVN45" s="125"/>
      <c r="MVO45" s="125"/>
      <c r="MVP45" s="14"/>
      <c r="MVQ45" s="10"/>
      <c r="MVR45" s="125"/>
      <c r="MVS45" s="125"/>
      <c r="MVT45" s="14"/>
      <c r="MVU45" s="15"/>
      <c r="MVV45" s="125"/>
      <c r="MVW45" s="125"/>
      <c r="MVX45" s="14"/>
      <c r="MVY45" s="15"/>
      <c r="MVZ45" s="125"/>
      <c r="MWA45" s="125"/>
      <c r="MWB45" s="14"/>
      <c r="MWC45" s="15"/>
      <c r="MWD45" s="125"/>
      <c r="MWE45" s="125"/>
      <c r="MWF45" s="14"/>
      <c r="MWG45" s="10"/>
      <c r="MWH45" s="125"/>
      <c r="MWI45" s="125"/>
      <c r="MWJ45" s="14"/>
      <c r="MWK45" s="15"/>
      <c r="MWL45" s="125"/>
      <c r="MWM45" s="125"/>
      <c r="MWN45" s="14"/>
      <c r="MWO45" s="15"/>
      <c r="MWP45" s="125"/>
      <c r="MWQ45" s="125"/>
      <c r="MWR45" s="14"/>
      <c r="MWS45" s="15"/>
      <c r="MWT45" s="125"/>
      <c r="MWU45" s="125"/>
      <c r="MWV45" s="14"/>
      <c r="MWW45" s="10"/>
      <c r="MWX45" s="125"/>
      <c r="MWY45" s="125"/>
      <c r="MWZ45" s="14"/>
      <c r="MXA45" s="15"/>
      <c r="MXB45" s="125"/>
      <c r="MXC45" s="125"/>
      <c r="MXD45" s="14"/>
      <c r="MXE45" s="15"/>
      <c r="MXF45" s="125"/>
      <c r="MXG45" s="125"/>
      <c r="MXH45" s="14"/>
      <c r="MXI45" s="15"/>
      <c r="MXJ45" s="125"/>
      <c r="MXK45" s="125"/>
      <c r="MXL45" s="14"/>
      <c r="MXM45" s="10"/>
      <c r="MXN45" s="125"/>
      <c r="MXO45" s="125"/>
      <c r="MXP45" s="14"/>
      <c r="MXQ45" s="15"/>
      <c r="MXR45" s="125"/>
      <c r="MXS45" s="125"/>
      <c r="MXT45" s="14"/>
      <c r="MXU45" s="15"/>
      <c r="MXV45" s="125"/>
      <c r="MXW45" s="125"/>
      <c r="MXX45" s="14"/>
      <c r="MXY45" s="15"/>
      <c r="MXZ45" s="125"/>
      <c r="MYA45" s="125"/>
      <c r="MYB45" s="14"/>
      <c r="MYC45" s="10"/>
      <c r="MYD45" s="125"/>
      <c r="MYE45" s="125"/>
      <c r="MYF45" s="14"/>
      <c r="MYG45" s="15"/>
      <c r="MYH45" s="125"/>
      <c r="MYI45" s="125"/>
      <c r="MYJ45" s="14"/>
      <c r="MYK45" s="15"/>
      <c r="MYL45" s="125"/>
      <c r="MYM45" s="125"/>
      <c r="MYN45" s="14"/>
      <c r="MYO45" s="15"/>
      <c r="MYP45" s="125"/>
      <c r="MYQ45" s="125"/>
      <c r="MYR45" s="14"/>
      <c r="MYS45" s="10"/>
      <c r="MYT45" s="125"/>
      <c r="MYU45" s="125"/>
      <c r="MYV45" s="14"/>
      <c r="MYW45" s="15"/>
      <c r="MYX45" s="125"/>
      <c r="MYY45" s="125"/>
      <c r="MYZ45" s="14"/>
      <c r="MZA45" s="15"/>
      <c r="MZB45" s="125"/>
      <c r="MZC45" s="125"/>
      <c r="MZD45" s="14"/>
      <c r="MZE45" s="15"/>
      <c r="MZF45" s="125"/>
      <c r="MZG45" s="125"/>
      <c r="MZH45" s="14"/>
      <c r="MZI45" s="10"/>
      <c r="MZJ45" s="125"/>
      <c r="MZK45" s="125"/>
      <c r="MZL45" s="14"/>
      <c r="MZM45" s="15"/>
      <c r="MZN45" s="125"/>
      <c r="MZO45" s="125"/>
      <c r="MZP45" s="14"/>
      <c r="MZQ45" s="15"/>
      <c r="MZR45" s="125"/>
      <c r="MZS45" s="125"/>
      <c r="MZT45" s="14"/>
      <c r="MZU45" s="15"/>
      <c r="MZV45" s="125"/>
      <c r="MZW45" s="125"/>
      <c r="MZX45" s="14"/>
      <c r="MZY45" s="10"/>
      <c r="MZZ45" s="125"/>
      <c r="NAA45" s="125"/>
      <c r="NAB45" s="14"/>
      <c r="NAC45" s="15"/>
      <c r="NAD45" s="125"/>
      <c r="NAE45" s="125"/>
      <c r="NAF45" s="14"/>
      <c r="NAG45" s="15"/>
      <c r="NAH45" s="125"/>
      <c r="NAI45" s="125"/>
      <c r="NAJ45" s="14"/>
      <c r="NAK45" s="15"/>
      <c r="NAL45" s="125"/>
      <c r="NAM45" s="125"/>
      <c r="NAN45" s="14"/>
      <c r="NAO45" s="10"/>
      <c r="NAP45" s="125"/>
      <c r="NAQ45" s="125"/>
      <c r="NAR45" s="14"/>
      <c r="NAS45" s="15"/>
      <c r="NAT45" s="125"/>
      <c r="NAU45" s="125"/>
      <c r="NAV45" s="14"/>
      <c r="NAW45" s="15"/>
      <c r="NAX45" s="125"/>
      <c r="NAY45" s="125"/>
      <c r="NAZ45" s="14"/>
      <c r="NBA45" s="15"/>
      <c r="NBB45" s="125"/>
      <c r="NBC45" s="125"/>
      <c r="NBD45" s="14"/>
      <c r="NBE45" s="10"/>
      <c r="NBF45" s="125"/>
      <c r="NBG45" s="125"/>
      <c r="NBH45" s="14"/>
      <c r="NBI45" s="15"/>
      <c r="NBJ45" s="125"/>
      <c r="NBK45" s="125"/>
      <c r="NBL45" s="14"/>
      <c r="NBM45" s="15"/>
      <c r="NBN45" s="125"/>
      <c r="NBO45" s="125"/>
      <c r="NBP45" s="14"/>
      <c r="NBQ45" s="15"/>
      <c r="NBR45" s="125"/>
      <c r="NBS45" s="125"/>
      <c r="NBT45" s="14"/>
      <c r="NBU45" s="10"/>
      <c r="NBV45" s="125"/>
      <c r="NBW45" s="125"/>
      <c r="NBX45" s="14"/>
      <c r="NBY45" s="15"/>
      <c r="NBZ45" s="125"/>
      <c r="NCA45" s="125"/>
      <c r="NCB45" s="14"/>
      <c r="NCC45" s="15"/>
      <c r="NCD45" s="125"/>
      <c r="NCE45" s="125"/>
      <c r="NCF45" s="14"/>
      <c r="NCG45" s="15"/>
      <c r="NCH45" s="125"/>
      <c r="NCI45" s="125"/>
      <c r="NCJ45" s="14"/>
      <c r="NCK45" s="10"/>
      <c r="NCL45" s="125"/>
      <c r="NCM45" s="125"/>
      <c r="NCN45" s="14"/>
      <c r="NCO45" s="15"/>
      <c r="NCP45" s="125"/>
      <c r="NCQ45" s="125"/>
      <c r="NCR45" s="14"/>
      <c r="NCS45" s="15"/>
      <c r="NCT45" s="125"/>
      <c r="NCU45" s="125"/>
      <c r="NCV45" s="14"/>
      <c r="NCW45" s="15"/>
      <c r="NCX45" s="125"/>
      <c r="NCY45" s="125"/>
      <c r="NCZ45" s="14"/>
      <c r="NDA45" s="10"/>
      <c r="NDB45" s="125"/>
      <c r="NDC45" s="125"/>
      <c r="NDD45" s="14"/>
      <c r="NDE45" s="15"/>
      <c r="NDF45" s="125"/>
      <c r="NDG45" s="125"/>
      <c r="NDH45" s="14"/>
      <c r="NDI45" s="15"/>
      <c r="NDJ45" s="125"/>
      <c r="NDK45" s="125"/>
      <c r="NDL45" s="14"/>
      <c r="NDM45" s="15"/>
      <c r="NDN45" s="125"/>
      <c r="NDO45" s="125"/>
      <c r="NDP45" s="14"/>
      <c r="NDQ45" s="10"/>
      <c r="NDR45" s="125"/>
      <c r="NDS45" s="125"/>
      <c r="NDT45" s="14"/>
      <c r="NDU45" s="15"/>
      <c r="NDV45" s="125"/>
      <c r="NDW45" s="125"/>
      <c r="NDX45" s="14"/>
      <c r="NDY45" s="15"/>
      <c r="NDZ45" s="125"/>
      <c r="NEA45" s="125"/>
      <c r="NEB45" s="14"/>
      <c r="NEC45" s="15"/>
      <c r="NED45" s="125"/>
      <c r="NEE45" s="125"/>
      <c r="NEF45" s="14"/>
      <c r="NEG45" s="10"/>
      <c r="NEH45" s="125"/>
      <c r="NEI45" s="125"/>
      <c r="NEJ45" s="14"/>
      <c r="NEK45" s="15"/>
      <c r="NEL45" s="125"/>
      <c r="NEM45" s="125"/>
      <c r="NEN45" s="14"/>
      <c r="NEO45" s="15"/>
      <c r="NEP45" s="125"/>
      <c r="NEQ45" s="125"/>
      <c r="NER45" s="14"/>
      <c r="NES45" s="15"/>
      <c r="NET45" s="125"/>
      <c r="NEU45" s="125"/>
      <c r="NEV45" s="14"/>
      <c r="NEW45" s="10"/>
      <c r="NEX45" s="125"/>
      <c r="NEY45" s="125"/>
      <c r="NEZ45" s="14"/>
      <c r="NFA45" s="15"/>
      <c r="NFB45" s="125"/>
      <c r="NFC45" s="125"/>
      <c r="NFD45" s="14"/>
      <c r="NFE45" s="15"/>
      <c r="NFF45" s="125"/>
      <c r="NFG45" s="125"/>
      <c r="NFH45" s="14"/>
      <c r="NFI45" s="15"/>
      <c r="NFJ45" s="125"/>
      <c r="NFK45" s="125"/>
      <c r="NFL45" s="14"/>
      <c r="NFM45" s="10"/>
      <c r="NFN45" s="125"/>
      <c r="NFO45" s="125"/>
      <c r="NFP45" s="14"/>
      <c r="NFQ45" s="15"/>
      <c r="NFR45" s="125"/>
      <c r="NFS45" s="125"/>
      <c r="NFT45" s="14"/>
      <c r="NFU45" s="15"/>
      <c r="NFV45" s="125"/>
      <c r="NFW45" s="125"/>
      <c r="NFX45" s="14"/>
      <c r="NFY45" s="15"/>
      <c r="NFZ45" s="125"/>
      <c r="NGA45" s="125"/>
      <c r="NGB45" s="14"/>
      <c r="NGC45" s="10"/>
      <c r="NGD45" s="125"/>
      <c r="NGE45" s="125"/>
      <c r="NGF45" s="14"/>
      <c r="NGG45" s="15"/>
      <c r="NGH45" s="125"/>
      <c r="NGI45" s="125"/>
      <c r="NGJ45" s="14"/>
      <c r="NGK45" s="15"/>
      <c r="NGL45" s="125"/>
      <c r="NGM45" s="125"/>
      <c r="NGN45" s="14"/>
      <c r="NGO45" s="15"/>
      <c r="NGP45" s="125"/>
      <c r="NGQ45" s="125"/>
      <c r="NGR45" s="14"/>
      <c r="NGS45" s="10"/>
      <c r="NGT45" s="125"/>
      <c r="NGU45" s="125"/>
      <c r="NGV45" s="14"/>
      <c r="NGW45" s="15"/>
      <c r="NGX45" s="125"/>
      <c r="NGY45" s="125"/>
      <c r="NGZ45" s="14"/>
      <c r="NHA45" s="15"/>
      <c r="NHB45" s="125"/>
      <c r="NHC45" s="125"/>
      <c r="NHD45" s="14"/>
      <c r="NHE45" s="15"/>
      <c r="NHF45" s="125"/>
      <c r="NHG45" s="125"/>
      <c r="NHH45" s="14"/>
      <c r="NHI45" s="10"/>
      <c r="NHJ45" s="125"/>
      <c r="NHK45" s="125"/>
      <c r="NHL45" s="14"/>
      <c r="NHM45" s="15"/>
      <c r="NHN45" s="125"/>
      <c r="NHO45" s="125"/>
      <c r="NHP45" s="14"/>
      <c r="NHQ45" s="15"/>
      <c r="NHR45" s="125"/>
      <c r="NHS45" s="125"/>
      <c r="NHT45" s="14"/>
      <c r="NHU45" s="15"/>
      <c r="NHV45" s="125"/>
      <c r="NHW45" s="125"/>
      <c r="NHX45" s="14"/>
      <c r="NHY45" s="10"/>
      <c r="NHZ45" s="125"/>
      <c r="NIA45" s="125"/>
      <c r="NIB45" s="14"/>
      <c r="NIC45" s="15"/>
      <c r="NID45" s="125"/>
      <c r="NIE45" s="125"/>
      <c r="NIF45" s="14"/>
      <c r="NIG45" s="15"/>
      <c r="NIH45" s="125"/>
      <c r="NII45" s="125"/>
      <c r="NIJ45" s="14"/>
      <c r="NIK45" s="15"/>
      <c r="NIL45" s="125"/>
      <c r="NIM45" s="125"/>
      <c r="NIN45" s="14"/>
      <c r="NIO45" s="10"/>
      <c r="NIP45" s="125"/>
      <c r="NIQ45" s="125"/>
      <c r="NIR45" s="14"/>
      <c r="NIS45" s="15"/>
      <c r="NIT45" s="125"/>
      <c r="NIU45" s="125"/>
      <c r="NIV45" s="14"/>
      <c r="NIW45" s="15"/>
      <c r="NIX45" s="125"/>
      <c r="NIY45" s="125"/>
      <c r="NIZ45" s="14"/>
      <c r="NJA45" s="15"/>
      <c r="NJB45" s="125"/>
      <c r="NJC45" s="125"/>
      <c r="NJD45" s="14"/>
      <c r="NJE45" s="10"/>
      <c r="NJF45" s="125"/>
      <c r="NJG45" s="125"/>
      <c r="NJH45" s="14"/>
      <c r="NJI45" s="15"/>
      <c r="NJJ45" s="125"/>
      <c r="NJK45" s="125"/>
      <c r="NJL45" s="14"/>
      <c r="NJM45" s="15"/>
      <c r="NJN45" s="125"/>
      <c r="NJO45" s="125"/>
      <c r="NJP45" s="14"/>
      <c r="NJQ45" s="15"/>
      <c r="NJR45" s="125"/>
      <c r="NJS45" s="125"/>
      <c r="NJT45" s="14"/>
      <c r="NJU45" s="10"/>
      <c r="NJV45" s="125"/>
      <c r="NJW45" s="125"/>
      <c r="NJX45" s="14"/>
      <c r="NJY45" s="15"/>
      <c r="NJZ45" s="125"/>
      <c r="NKA45" s="125"/>
      <c r="NKB45" s="14"/>
      <c r="NKC45" s="15"/>
      <c r="NKD45" s="125"/>
      <c r="NKE45" s="125"/>
      <c r="NKF45" s="14"/>
      <c r="NKG45" s="15"/>
      <c r="NKH45" s="125"/>
      <c r="NKI45" s="125"/>
      <c r="NKJ45" s="14"/>
      <c r="NKK45" s="10"/>
      <c r="NKL45" s="125"/>
      <c r="NKM45" s="125"/>
      <c r="NKN45" s="14"/>
      <c r="NKO45" s="15"/>
      <c r="NKP45" s="125"/>
      <c r="NKQ45" s="125"/>
      <c r="NKR45" s="14"/>
      <c r="NKS45" s="15"/>
      <c r="NKT45" s="125"/>
      <c r="NKU45" s="125"/>
      <c r="NKV45" s="14"/>
      <c r="NKW45" s="15"/>
      <c r="NKX45" s="125"/>
      <c r="NKY45" s="125"/>
      <c r="NKZ45" s="14"/>
      <c r="NLA45" s="10"/>
      <c r="NLB45" s="125"/>
      <c r="NLC45" s="125"/>
      <c r="NLD45" s="14"/>
      <c r="NLE45" s="15"/>
      <c r="NLF45" s="125"/>
      <c r="NLG45" s="125"/>
      <c r="NLH45" s="14"/>
      <c r="NLI45" s="15"/>
      <c r="NLJ45" s="125"/>
      <c r="NLK45" s="125"/>
      <c r="NLL45" s="14"/>
      <c r="NLM45" s="15"/>
      <c r="NLN45" s="125"/>
      <c r="NLO45" s="125"/>
      <c r="NLP45" s="14"/>
      <c r="NLQ45" s="10"/>
      <c r="NLR45" s="125"/>
      <c r="NLS45" s="125"/>
      <c r="NLT45" s="14"/>
      <c r="NLU45" s="15"/>
      <c r="NLV45" s="125"/>
      <c r="NLW45" s="125"/>
      <c r="NLX45" s="14"/>
      <c r="NLY45" s="15"/>
      <c r="NLZ45" s="125"/>
      <c r="NMA45" s="125"/>
      <c r="NMB45" s="14"/>
      <c r="NMC45" s="15"/>
      <c r="NMD45" s="125"/>
      <c r="NME45" s="125"/>
      <c r="NMF45" s="14"/>
      <c r="NMG45" s="10"/>
      <c r="NMH45" s="125"/>
      <c r="NMI45" s="125"/>
      <c r="NMJ45" s="14"/>
      <c r="NMK45" s="15"/>
      <c r="NML45" s="125"/>
      <c r="NMM45" s="125"/>
      <c r="NMN45" s="14"/>
      <c r="NMO45" s="15"/>
      <c r="NMP45" s="125"/>
      <c r="NMQ45" s="125"/>
      <c r="NMR45" s="14"/>
      <c r="NMS45" s="15"/>
      <c r="NMT45" s="125"/>
      <c r="NMU45" s="125"/>
      <c r="NMV45" s="14"/>
      <c r="NMW45" s="10"/>
      <c r="NMX45" s="125"/>
      <c r="NMY45" s="125"/>
      <c r="NMZ45" s="14"/>
      <c r="NNA45" s="15"/>
      <c r="NNB45" s="125"/>
      <c r="NNC45" s="125"/>
      <c r="NND45" s="14"/>
      <c r="NNE45" s="15"/>
      <c r="NNF45" s="125"/>
      <c r="NNG45" s="125"/>
      <c r="NNH45" s="14"/>
      <c r="NNI45" s="15"/>
      <c r="NNJ45" s="125"/>
      <c r="NNK45" s="125"/>
      <c r="NNL45" s="14"/>
      <c r="NNM45" s="10"/>
      <c r="NNN45" s="125"/>
      <c r="NNO45" s="125"/>
      <c r="NNP45" s="14"/>
      <c r="NNQ45" s="15"/>
      <c r="NNR45" s="125"/>
      <c r="NNS45" s="125"/>
      <c r="NNT45" s="14"/>
      <c r="NNU45" s="15"/>
      <c r="NNV45" s="125"/>
      <c r="NNW45" s="125"/>
      <c r="NNX45" s="14"/>
      <c r="NNY45" s="15"/>
      <c r="NNZ45" s="125"/>
      <c r="NOA45" s="125"/>
      <c r="NOB45" s="14"/>
      <c r="NOC45" s="10"/>
      <c r="NOD45" s="125"/>
      <c r="NOE45" s="125"/>
      <c r="NOF45" s="14"/>
      <c r="NOG45" s="15"/>
      <c r="NOH45" s="125"/>
      <c r="NOI45" s="125"/>
      <c r="NOJ45" s="14"/>
      <c r="NOK45" s="15"/>
      <c r="NOL45" s="125"/>
      <c r="NOM45" s="125"/>
      <c r="NON45" s="14"/>
      <c r="NOO45" s="15"/>
      <c r="NOP45" s="125"/>
      <c r="NOQ45" s="125"/>
      <c r="NOR45" s="14"/>
      <c r="NOS45" s="10"/>
      <c r="NOT45" s="125"/>
      <c r="NOU45" s="125"/>
      <c r="NOV45" s="14"/>
      <c r="NOW45" s="15"/>
      <c r="NOX45" s="125"/>
      <c r="NOY45" s="125"/>
      <c r="NOZ45" s="14"/>
      <c r="NPA45" s="15"/>
      <c r="NPB45" s="125"/>
      <c r="NPC45" s="125"/>
      <c r="NPD45" s="14"/>
      <c r="NPE45" s="15"/>
      <c r="NPF45" s="125"/>
      <c r="NPG45" s="125"/>
      <c r="NPH45" s="14"/>
      <c r="NPI45" s="10"/>
      <c r="NPJ45" s="125"/>
      <c r="NPK45" s="125"/>
      <c r="NPL45" s="14"/>
      <c r="NPM45" s="15"/>
      <c r="NPN45" s="125"/>
      <c r="NPO45" s="125"/>
      <c r="NPP45" s="14"/>
      <c r="NPQ45" s="15"/>
      <c r="NPR45" s="125"/>
      <c r="NPS45" s="125"/>
      <c r="NPT45" s="14"/>
      <c r="NPU45" s="15"/>
      <c r="NPV45" s="125"/>
      <c r="NPW45" s="125"/>
      <c r="NPX45" s="14"/>
      <c r="NPY45" s="10"/>
      <c r="NPZ45" s="125"/>
      <c r="NQA45" s="125"/>
      <c r="NQB45" s="14"/>
      <c r="NQC45" s="15"/>
      <c r="NQD45" s="125"/>
      <c r="NQE45" s="125"/>
      <c r="NQF45" s="14"/>
      <c r="NQG45" s="15"/>
      <c r="NQH45" s="125"/>
      <c r="NQI45" s="125"/>
      <c r="NQJ45" s="14"/>
      <c r="NQK45" s="15"/>
      <c r="NQL45" s="125"/>
      <c r="NQM45" s="125"/>
      <c r="NQN45" s="14"/>
      <c r="NQO45" s="10"/>
      <c r="NQP45" s="125"/>
      <c r="NQQ45" s="125"/>
      <c r="NQR45" s="14"/>
      <c r="NQS45" s="15"/>
      <c r="NQT45" s="125"/>
      <c r="NQU45" s="125"/>
      <c r="NQV45" s="14"/>
      <c r="NQW45" s="15"/>
      <c r="NQX45" s="125"/>
      <c r="NQY45" s="125"/>
      <c r="NQZ45" s="14"/>
      <c r="NRA45" s="15"/>
      <c r="NRB45" s="125"/>
      <c r="NRC45" s="125"/>
      <c r="NRD45" s="14"/>
      <c r="NRE45" s="10"/>
      <c r="NRF45" s="125"/>
      <c r="NRG45" s="125"/>
      <c r="NRH45" s="14"/>
      <c r="NRI45" s="15"/>
      <c r="NRJ45" s="125"/>
      <c r="NRK45" s="125"/>
      <c r="NRL45" s="14"/>
      <c r="NRM45" s="15"/>
      <c r="NRN45" s="125"/>
      <c r="NRO45" s="125"/>
      <c r="NRP45" s="14"/>
      <c r="NRQ45" s="15"/>
      <c r="NRR45" s="125"/>
      <c r="NRS45" s="125"/>
      <c r="NRT45" s="14"/>
      <c r="NRU45" s="10"/>
      <c r="NRV45" s="125"/>
      <c r="NRW45" s="125"/>
      <c r="NRX45" s="14"/>
      <c r="NRY45" s="15"/>
      <c r="NRZ45" s="125"/>
      <c r="NSA45" s="125"/>
      <c r="NSB45" s="14"/>
      <c r="NSC45" s="15"/>
      <c r="NSD45" s="125"/>
      <c r="NSE45" s="125"/>
      <c r="NSF45" s="14"/>
      <c r="NSG45" s="15"/>
      <c r="NSH45" s="125"/>
      <c r="NSI45" s="125"/>
      <c r="NSJ45" s="14"/>
      <c r="NSK45" s="10"/>
      <c r="NSL45" s="125"/>
      <c r="NSM45" s="125"/>
      <c r="NSN45" s="14"/>
      <c r="NSO45" s="15"/>
      <c r="NSP45" s="125"/>
      <c r="NSQ45" s="125"/>
      <c r="NSR45" s="14"/>
      <c r="NSS45" s="15"/>
      <c r="NST45" s="125"/>
      <c r="NSU45" s="125"/>
      <c r="NSV45" s="14"/>
      <c r="NSW45" s="15"/>
      <c r="NSX45" s="125"/>
      <c r="NSY45" s="125"/>
      <c r="NSZ45" s="14"/>
      <c r="NTA45" s="10"/>
      <c r="NTB45" s="125"/>
      <c r="NTC45" s="125"/>
      <c r="NTD45" s="14"/>
      <c r="NTE45" s="15"/>
      <c r="NTF45" s="125"/>
      <c r="NTG45" s="125"/>
      <c r="NTH45" s="14"/>
      <c r="NTI45" s="15"/>
      <c r="NTJ45" s="125"/>
      <c r="NTK45" s="125"/>
      <c r="NTL45" s="14"/>
      <c r="NTM45" s="15"/>
      <c r="NTN45" s="125"/>
      <c r="NTO45" s="125"/>
      <c r="NTP45" s="14"/>
      <c r="NTQ45" s="10"/>
      <c r="NTR45" s="125"/>
      <c r="NTS45" s="125"/>
      <c r="NTT45" s="14"/>
      <c r="NTU45" s="15"/>
      <c r="NTV45" s="125"/>
      <c r="NTW45" s="125"/>
      <c r="NTX45" s="14"/>
      <c r="NTY45" s="15"/>
      <c r="NTZ45" s="125"/>
      <c r="NUA45" s="125"/>
      <c r="NUB45" s="14"/>
      <c r="NUC45" s="15"/>
      <c r="NUD45" s="125"/>
      <c r="NUE45" s="125"/>
      <c r="NUF45" s="14"/>
      <c r="NUG45" s="10"/>
      <c r="NUH45" s="125"/>
      <c r="NUI45" s="125"/>
      <c r="NUJ45" s="14"/>
      <c r="NUK45" s="15"/>
      <c r="NUL45" s="125"/>
      <c r="NUM45" s="125"/>
      <c r="NUN45" s="14"/>
      <c r="NUO45" s="15"/>
      <c r="NUP45" s="125"/>
      <c r="NUQ45" s="125"/>
      <c r="NUR45" s="14"/>
      <c r="NUS45" s="15"/>
      <c r="NUT45" s="125"/>
      <c r="NUU45" s="125"/>
      <c r="NUV45" s="14"/>
      <c r="NUW45" s="10"/>
      <c r="NUX45" s="125"/>
      <c r="NUY45" s="125"/>
      <c r="NUZ45" s="14"/>
      <c r="NVA45" s="15"/>
      <c r="NVB45" s="125"/>
      <c r="NVC45" s="125"/>
      <c r="NVD45" s="14"/>
      <c r="NVE45" s="15"/>
      <c r="NVF45" s="125"/>
      <c r="NVG45" s="125"/>
      <c r="NVH45" s="14"/>
      <c r="NVI45" s="15"/>
      <c r="NVJ45" s="125"/>
      <c r="NVK45" s="125"/>
      <c r="NVL45" s="14"/>
      <c r="NVM45" s="10"/>
      <c r="NVN45" s="125"/>
      <c r="NVO45" s="125"/>
      <c r="NVP45" s="14"/>
      <c r="NVQ45" s="15"/>
      <c r="NVR45" s="125"/>
      <c r="NVS45" s="125"/>
      <c r="NVT45" s="14"/>
      <c r="NVU45" s="15"/>
      <c r="NVV45" s="125"/>
      <c r="NVW45" s="125"/>
      <c r="NVX45" s="14"/>
      <c r="NVY45" s="15"/>
      <c r="NVZ45" s="125"/>
      <c r="NWA45" s="125"/>
      <c r="NWB45" s="14"/>
      <c r="NWC45" s="10"/>
      <c r="NWD45" s="125"/>
      <c r="NWE45" s="125"/>
      <c r="NWF45" s="14"/>
      <c r="NWG45" s="15"/>
      <c r="NWH45" s="125"/>
      <c r="NWI45" s="125"/>
      <c r="NWJ45" s="14"/>
      <c r="NWK45" s="15"/>
      <c r="NWL45" s="125"/>
      <c r="NWM45" s="125"/>
      <c r="NWN45" s="14"/>
      <c r="NWO45" s="15"/>
      <c r="NWP45" s="125"/>
      <c r="NWQ45" s="125"/>
      <c r="NWR45" s="14"/>
      <c r="NWS45" s="10"/>
      <c r="NWT45" s="125"/>
      <c r="NWU45" s="125"/>
      <c r="NWV45" s="14"/>
      <c r="NWW45" s="15"/>
      <c r="NWX45" s="125"/>
      <c r="NWY45" s="125"/>
      <c r="NWZ45" s="14"/>
      <c r="NXA45" s="15"/>
      <c r="NXB45" s="125"/>
      <c r="NXC45" s="125"/>
      <c r="NXD45" s="14"/>
      <c r="NXE45" s="15"/>
      <c r="NXF45" s="125"/>
      <c r="NXG45" s="125"/>
      <c r="NXH45" s="14"/>
      <c r="NXI45" s="10"/>
      <c r="NXJ45" s="125"/>
      <c r="NXK45" s="125"/>
      <c r="NXL45" s="14"/>
      <c r="NXM45" s="15"/>
      <c r="NXN45" s="125"/>
      <c r="NXO45" s="125"/>
      <c r="NXP45" s="14"/>
      <c r="NXQ45" s="15"/>
      <c r="NXR45" s="125"/>
      <c r="NXS45" s="125"/>
      <c r="NXT45" s="14"/>
      <c r="NXU45" s="15"/>
      <c r="NXV45" s="125"/>
      <c r="NXW45" s="125"/>
      <c r="NXX45" s="14"/>
      <c r="NXY45" s="10"/>
      <c r="NXZ45" s="125"/>
      <c r="NYA45" s="125"/>
      <c r="NYB45" s="14"/>
      <c r="NYC45" s="15"/>
      <c r="NYD45" s="125"/>
      <c r="NYE45" s="125"/>
      <c r="NYF45" s="14"/>
      <c r="NYG45" s="15"/>
      <c r="NYH45" s="125"/>
      <c r="NYI45" s="125"/>
      <c r="NYJ45" s="14"/>
      <c r="NYK45" s="15"/>
      <c r="NYL45" s="125"/>
      <c r="NYM45" s="125"/>
      <c r="NYN45" s="14"/>
      <c r="NYO45" s="10"/>
      <c r="NYP45" s="125"/>
      <c r="NYQ45" s="125"/>
      <c r="NYR45" s="14"/>
      <c r="NYS45" s="15"/>
      <c r="NYT45" s="125"/>
      <c r="NYU45" s="125"/>
      <c r="NYV45" s="14"/>
      <c r="NYW45" s="15"/>
      <c r="NYX45" s="125"/>
      <c r="NYY45" s="125"/>
      <c r="NYZ45" s="14"/>
      <c r="NZA45" s="15"/>
      <c r="NZB45" s="125"/>
      <c r="NZC45" s="125"/>
      <c r="NZD45" s="14"/>
      <c r="NZE45" s="10"/>
      <c r="NZF45" s="125"/>
      <c r="NZG45" s="125"/>
      <c r="NZH45" s="14"/>
      <c r="NZI45" s="15"/>
      <c r="NZJ45" s="125"/>
      <c r="NZK45" s="125"/>
      <c r="NZL45" s="14"/>
      <c r="NZM45" s="15"/>
      <c r="NZN45" s="125"/>
      <c r="NZO45" s="125"/>
      <c r="NZP45" s="14"/>
      <c r="NZQ45" s="15"/>
      <c r="NZR45" s="125"/>
      <c r="NZS45" s="125"/>
      <c r="NZT45" s="14"/>
      <c r="NZU45" s="10"/>
      <c r="NZV45" s="125"/>
      <c r="NZW45" s="125"/>
      <c r="NZX45" s="14"/>
      <c r="NZY45" s="15"/>
      <c r="NZZ45" s="125"/>
      <c r="OAA45" s="125"/>
      <c r="OAB45" s="14"/>
      <c r="OAC45" s="15"/>
      <c r="OAD45" s="125"/>
      <c r="OAE45" s="125"/>
      <c r="OAF45" s="14"/>
      <c r="OAG45" s="15"/>
      <c r="OAH45" s="125"/>
      <c r="OAI45" s="125"/>
      <c r="OAJ45" s="14"/>
      <c r="OAK45" s="10"/>
      <c r="OAL45" s="125"/>
      <c r="OAM45" s="125"/>
      <c r="OAN45" s="14"/>
      <c r="OAO45" s="15"/>
      <c r="OAP45" s="125"/>
      <c r="OAQ45" s="125"/>
      <c r="OAR45" s="14"/>
      <c r="OAS45" s="15"/>
      <c r="OAT45" s="125"/>
      <c r="OAU45" s="125"/>
      <c r="OAV45" s="14"/>
      <c r="OAW45" s="15"/>
      <c r="OAX45" s="125"/>
      <c r="OAY45" s="125"/>
      <c r="OAZ45" s="14"/>
      <c r="OBA45" s="10"/>
      <c r="OBB45" s="125"/>
      <c r="OBC45" s="125"/>
      <c r="OBD45" s="14"/>
      <c r="OBE45" s="15"/>
      <c r="OBF45" s="125"/>
      <c r="OBG45" s="125"/>
      <c r="OBH45" s="14"/>
      <c r="OBI45" s="15"/>
      <c r="OBJ45" s="125"/>
      <c r="OBK45" s="125"/>
      <c r="OBL45" s="14"/>
      <c r="OBM45" s="15"/>
      <c r="OBN45" s="125"/>
      <c r="OBO45" s="125"/>
      <c r="OBP45" s="14"/>
      <c r="OBQ45" s="10"/>
      <c r="OBR45" s="125"/>
      <c r="OBS45" s="125"/>
      <c r="OBT45" s="14"/>
      <c r="OBU45" s="15"/>
      <c r="OBV45" s="125"/>
      <c r="OBW45" s="125"/>
      <c r="OBX45" s="14"/>
      <c r="OBY45" s="15"/>
      <c r="OBZ45" s="125"/>
      <c r="OCA45" s="125"/>
      <c r="OCB45" s="14"/>
      <c r="OCC45" s="15"/>
      <c r="OCD45" s="125"/>
      <c r="OCE45" s="125"/>
      <c r="OCF45" s="14"/>
      <c r="OCG45" s="10"/>
      <c r="OCH45" s="125"/>
      <c r="OCI45" s="125"/>
      <c r="OCJ45" s="14"/>
      <c r="OCK45" s="15"/>
      <c r="OCL45" s="125"/>
      <c r="OCM45" s="125"/>
      <c r="OCN45" s="14"/>
      <c r="OCO45" s="15"/>
      <c r="OCP45" s="125"/>
      <c r="OCQ45" s="125"/>
      <c r="OCR45" s="14"/>
      <c r="OCS45" s="15"/>
      <c r="OCT45" s="125"/>
      <c r="OCU45" s="125"/>
      <c r="OCV45" s="14"/>
      <c r="OCW45" s="10"/>
      <c r="OCX45" s="125"/>
      <c r="OCY45" s="125"/>
      <c r="OCZ45" s="14"/>
      <c r="ODA45" s="15"/>
      <c r="ODB45" s="125"/>
      <c r="ODC45" s="125"/>
      <c r="ODD45" s="14"/>
      <c r="ODE45" s="15"/>
      <c r="ODF45" s="125"/>
      <c r="ODG45" s="125"/>
      <c r="ODH45" s="14"/>
      <c r="ODI45" s="15"/>
      <c r="ODJ45" s="125"/>
      <c r="ODK45" s="125"/>
      <c r="ODL45" s="14"/>
      <c r="ODM45" s="10"/>
      <c r="ODN45" s="125"/>
      <c r="ODO45" s="125"/>
      <c r="ODP45" s="14"/>
      <c r="ODQ45" s="15"/>
      <c r="ODR45" s="125"/>
      <c r="ODS45" s="125"/>
      <c r="ODT45" s="14"/>
      <c r="ODU45" s="15"/>
      <c r="ODV45" s="125"/>
      <c r="ODW45" s="125"/>
      <c r="ODX45" s="14"/>
      <c r="ODY45" s="15"/>
      <c r="ODZ45" s="125"/>
      <c r="OEA45" s="125"/>
      <c r="OEB45" s="14"/>
      <c r="OEC45" s="10"/>
      <c r="OED45" s="125"/>
      <c r="OEE45" s="125"/>
      <c r="OEF45" s="14"/>
      <c r="OEG45" s="15"/>
      <c r="OEH45" s="125"/>
      <c r="OEI45" s="125"/>
      <c r="OEJ45" s="14"/>
      <c r="OEK45" s="15"/>
      <c r="OEL45" s="125"/>
      <c r="OEM45" s="125"/>
      <c r="OEN45" s="14"/>
      <c r="OEO45" s="15"/>
      <c r="OEP45" s="125"/>
      <c r="OEQ45" s="125"/>
      <c r="OER45" s="14"/>
      <c r="OES45" s="10"/>
      <c r="OET45" s="125"/>
      <c r="OEU45" s="125"/>
      <c r="OEV45" s="14"/>
      <c r="OEW45" s="15"/>
      <c r="OEX45" s="125"/>
      <c r="OEY45" s="125"/>
      <c r="OEZ45" s="14"/>
      <c r="OFA45" s="15"/>
      <c r="OFB45" s="125"/>
      <c r="OFC45" s="125"/>
      <c r="OFD45" s="14"/>
      <c r="OFE45" s="15"/>
      <c r="OFF45" s="125"/>
      <c r="OFG45" s="125"/>
      <c r="OFH45" s="14"/>
      <c r="OFI45" s="10"/>
      <c r="OFJ45" s="125"/>
      <c r="OFK45" s="125"/>
      <c r="OFL45" s="14"/>
      <c r="OFM45" s="15"/>
      <c r="OFN45" s="125"/>
      <c r="OFO45" s="125"/>
      <c r="OFP45" s="14"/>
      <c r="OFQ45" s="15"/>
      <c r="OFR45" s="125"/>
      <c r="OFS45" s="125"/>
      <c r="OFT45" s="14"/>
      <c r="OFU45" s="15"/>
      <c r="OFV45" s="125"/>
      <c r="OFW45" s="125"/>
      <c r="OFX45" s="14"/>
      <c r="OFY45" s="10"/>
      <c r="OFZ45" s="125"/>
      <c r="OGA45" s="125"/>
      <c r="OGB45" s="14"/>
      <c r="OGC45" s="15"/>
      <c r="OGD45" s="125"/>
      <c r="OGE45" s="125"/>
      <c r="OGF45" s="14"/>
      <c r="OGG45" s="15"/>
      <c r="OGH45" s="125"/>
      <c r="OGI45" s="125"/>
      <c r="OGJ45" s="14"/>
      <c r="OGK45" s="15"/>
      <c r="OGL45" s="125"/>
      <c r="OGM45" s="125"/>
      <c r="OGN45" s="14"/>
      <c r="OGO45" s="10"/>
      <c r="OGP45" s="125"/>
      <c r="OGQ45" s="125"/>
      <c r="OGR45" s="14"/>
      <c r="OGS45" s="15"/>
      <c r="OGT45" s="125"/>
      <c r="OGU45" s="125"/>
      <c r="OGV45" s="14"/>
      <c r="OGW45" s="15"/>
      <c r="OGX45" s="125"/>
      <c r="OGY45" s="125"/>
      <c r="OGZ45" s="14"/>
      <c r="OHA45" s="15"/>
      <c r="OHB45" s="125"/>
      <c r="OHC45" s="125"/>
      <c r="OHD45" s="14"/>
      <c r="OHE45" s="10"/>
      <c r="OHF45" s="125"/>
      <c r="OHG45" s="125"/>
      <c r="OHH45" s="14"/>
      <c r="OHI45" s="15"/>
      <c r="OHJ45" s="125"/>
      <c r="OHK45" s="125"/>
      <c r="OHL45" s="14"/>
      <c r="OHM45" s="15"/>
      <c r="OHN45" s="125"/>
      <c r="OHO45" s="125"/>
      <c r="OHP45" s="14"/>
      <c r="OHQ45" s="15"/>
      <c r="OHR45" s="125"/>
      <c r="OHS45" s="125"/>
      <c r="OHT45" s="14"/>
      <c r="OHU45" s="10"/>
      <c r="OHV45" s="125"/>
      <c r="OHW45" s="125"/>
      <c r="OHX45" s="14"/>
      <c r="OHY45" s="15"/>
      <c r="OHZ45" s="125"/>
      <c r="OIA45" s="125"/>
      <c r="OIB45" s="14"/>
      <c r="OIC45" s="15"/>
      <c r="OID45" s="125"/>
      <c r="OIE45" s="125"/>
      <c r="OIF45" s="14"/>
      <c r="OIG45" s="15"/>
      <c r="OIH45" s="125"/>
      <c r="OII45" s="125"/>
      <c r="OIJ45" s="14"/>
      <c r="OIK45" s="10"/>
      <c r="OIL45" s="125"/>
      <c r="OIM45" s="125"/>
      <c r="OIN45" s="14"/>
      <c r="OIO45" s="15"/>
      <c r="OIP45" s="125"/>
      <c r="OIQ45" s="125"/>
      <c r="OIR45" s="14"/>
      <c r="OIS45" s="15"/>
      <c r="OIT45" s="125"/>
      <c r="OIU45" s="125"/>
      <c r="OIV45" s="14"/>
      <c r="OIW45" s="15"/>
      <c r="OIX45" s="125"/>
      <c r="OIY45" s="125"/>
      <c r="OIZ45" s="14"/>
      <c r="OJA45" s="10"/>
      <c r="OJB45" s="125"/>
      <c r="OJC45" s="125"/>
      <c r="OJD45" s="14"/>
      <c r="OJE45" s="15"/>
      <c r="OJF45" s="125"/>
      <c r="OJG45" s="125"/>
      <c r="OJH45" s="14"/>
      <c r="OJI45" s="15"/>
      <c r="OJJ45" s="125"/>
      <c r="OJK45" s="125"/>
      <c r="OJL45" s="14"/>
      <c r="OJM45" s="15"/>
      <c r="OJN45" s="125"/>
      <c r="OJO45" s="125"/>
      <c r="OJP45" s="14"/>
      <c r="OJQ45" s="10"/>
      <c r="OJR45" s="125"/>
      <c r="OJS45" s="125"/>
      <c r="OJT45" s="14"/>
      <c r="OJU45" s="15"/>
      <c r="OJV45" s="125"/>
      <c r="OJW45" s="125"/>
      <c r="OJX45" s="14"/>
      <c r="OJY45" s="15"/>
      <c r="OJZ45" s="125"/>
      <c r="OKA45" s="125"/>
      <c r="OKB45" s="14"/>
      <c r="OKC45" s="15"/>
      <c r="OKD45" s="125"/>
      <c r="OKE45" s="125"/>
      <c r="OKF45" s="14"/>
      <c r="OKG45" s="10"/>
      <c r="OKH45" s="125"/>
      <c r="OKI45" s="125"/>
      <c r="OKJ45" s="14"/>
      <c r="OKK45" s="15"/>
      <c r="OKL45" s="125"/>
      <c r="OKM45" s="125"/>
      <c r="OKN45" s="14"/>
      <c r="OKO45" s="15"/>
      <c r="OKP45" s="125"/>
      <c r="OKQ45" s="125"/>
      <c r="OKR45" s="14"/>
      <c r="OKS45" s="15"/>
      <c r="OKT45" s="125"/>
      <c r="OKU45" s="125"/>
      <c r="OKV45" s="14"/>
      <c r="OKW45" s="10"/>
      <c r="OKX45" s="125"/>
      <c r="OKY45" s="125"/>
      <c r="OKZ45" s="14"/>
      <c r="OLA45" s="15"/>
      <c r="OLB45" s="125"/>
      <c r="OLC45" s="125"/>
      <c r="OLD45" s="14"/>
      <c r="OLE45" s="15"/>
      <c r="OLF45" s="125"/>
      <c r="OLG45" s="125"/>
      <c r="OLH45" s="14"/>
      <c r="OLI45" s="15"/>
      <c r="OLJ45" s="125"/>
      <c r="OLK45" s="125"/>
      <c r="OLL45" s="14"/>
      <c r="OLM45" s="10"/>
      <c r="OLN45" s="125"/>
      <c r="OLO45" s="125"/>
      <c r="OLP45" s="14"/>
      <c r="OLQ45" s="15"/>
      <c r="OLR45" s="125"/>
      <c r="OLS45" s="125"/>
      <c r="OLT45" s="14"/>
      <c r="OLU45" s="15"/>
      <c r="OLV45" s="125"/>
      <c r="OLW45" s="125"/>
      <c r="OLX45" s="14"/>
      <c r="OLY45" s="15"/>
      <c r="OLZ45" s="125"/>
      <c r="OMA45" s="125"/>
      <c r="OMB45" s="14"/>
      <c r="OMC45" s="10"/>
      <c r="OMD45" s="125"/>
      <c r="OME45" s="125"/>
      <c r="OMF45" s="14"/>
      <c r="OMG45" s="15"/>
      <c r="OMH45" s="125"/>
      <c r="OMI45" s="125"/>
      <c r="OMJ45" s="14"/>
      <c r="OMK45" s="15"/>
      <c r="OML45" s="125"/>
      <c r="OMM45" s="125"/>
      <c r="OMN45" s="14"/>
      <c r="OMO45" s="15"/>
      <c r="OMP45" s="125"/>
      <c r="OMQ45" s="125"/>
      <c r="OMR45" s="14"/>
      <c r="OMS45" s="10"/>
      <c r="OMT45" s="125"/>
      <c r="OMU45" s="125"/>
      <c r="OMV45" s="14"/>
      <c r="OMW45" s="15"/>
      <c r="OMX45" s="125"/>
      <c r="OMY45" s="125"/>
      <c r="OMZ45" s="14"/>
      <c r="ONA45" s="15"/>
      <c r="ONB45" s="125"/>
      <c r="ONC45" s="125"/>
      <c r="OND45" s="14"/>
      <c r="ONE45" s="15"/>
      <c r="ONF45" s="125"/>
      <c r="ONG45" s="125"/>
      <c r="ONH45" s="14"/>
      <c r="ONI45" s="10"/>
      <c r="ONJ45" s="125"/>
      <c r="ONK45" s="125"/>
      <c r="ONL45" s="14"/>
      <c r="ONM45" s="15"/>
      <c r="ONN45" s="125"/>
      <c r="ONO45" s="125"/>
      <c r="ONP45" s="14"/>
      <c r="ONQ45" s="15"/>
      <c r="ONR45" s="125"/>
      <c r="ONS45" s="125"/>
      <c r="ONT45" s="14"/>
      <c r="ONU45" s="15"/>
      <c r="ONV45" s="125"/>
      <c r="ONW45" s="125"/>
      <c r="ONX45" s="14"/>
      <c r="ONY45" s="10"/>
      <c r="ONZ45" s="125"/>
      <c r="OOA45" s="125"/>
      <c r="OOB45" s="14"/>
      <c r="OOC45" s="15"/>
      <c r="OOD45" s="125"/>
      <c r="OOE45" s="125"/>
      <c r="OOF45" s="14"/>
      <c r="OOG45" s="15"/>
      <c r="OOH45" s="125"/>
      <c r="OOI45" s="125"/>
      <c r="OOJ45" s="14"/>
      <c r="OOK45" s="15"/>
      <c r="OOL45" s="125"/>
      <c r="OOM45" s="125"/>
      <c r="OON45" s="14"/>
      <c r="OOO45" s="10"/>
      <c r="OOP45" s="125"/>
      <c r="OOQ45" s="125"/>
      <c r="OOR45" s="14"/>
      <c r="OOS45" s="15"/>
      <c r="OOT45" s="125"/>
      <c r="OOU45" s="125"/>
      <c r="OOV45" s="14"/>
      <c r="OOW45" s="15"/>
      <c r="OOX45" s="125"/>
      <c r="OOY45" s="125"/>
      <c r="OOZ45" s="14"/>
      <c r="OPA45" s="15"/>
      <c r="OPB45" s="125"/>
      <c r="OPC45" s="125"/>
      <c r="OPD45" s="14"/>
      <c r="OPE45" s="10"/>
      <c r="OPF45" s="125"/>
      <c r="OPG45" s="125"/>
      <c r="OPH45" s="14"/>
      <c r="OPI45" s="15"/>
      <c r="OPJ45" s="125"/>
      <c r="OPK45" s="125"/>
      <c r="OPL45" s="14"/>
      <c r="OPM45" s="15"/>
      <c r="OPN45" s="125"/>
      <c r="OPO45" s="125"/>
      <c r="OPP45" s="14"/>
      <c r="OPQ45" s="15"/>
      <c r="OPR45" s="125"/>
      <c r="OPS45" s="125"/>
      <c r="OPT45" s="14"/>
      <c r="OPU45" s="10"/>
      <c r="OPV45" s="125"/>
      <c r="OPW45" s="125"/>
      <c r="OPX45" s="14"/>
      <c r="OPY45" s="15"/>
      <c r="OPZ45" s="125"/>
      <c r="OQA45" s="125"/>
      <c r="OQB45" s="14"/>
      <c r="OQC45" s="15"/>
      <c r="OQD45" s="125"/>
      <c r="OQE45" s="125"/>
      <c r="OQF45" s="14"/>
      <c r="OQG45" s="15"/>
      <c r="OQH45" s="125"/>
      <c r="OQI45" s="125"/>
      <c r="OQJ45" s="14"/>
      <c r="OQK45" s="10"/>
      <c r="OQL45" s="125"/>
      <c r="OQM45" s="125"/>
      <c r="OQN45" s="14"/>
      <c r="OQO45" s="15"/>
      <c r="OQP45" s="125"/>
      <c r="OQQ45" s="125"/>
      <c r="OQR45" s="14"/>
      <c r="OQS45" s="15"/>
      <c r="OQT45" s="125"/>
      <c r="OQU45" s="125"/>
      <c r="OQV45" s="14"/>
      <c r="OQW45" s="15"/>
      <c r="OQX45" s="125"/>
      <c r="OQY45" s="125"/>
      <c r="OQZ45" s="14"/>
      <c r="ORA45" s="10"/>
      <c r="ORB45" s="125"/>
      <c r="ORC45" s="125"/>
      <c r="ORD45" s="14"/>
      <c r="ORE45" s="15"/>
      <c r="ORF45" s="125"/>
      <c r="ORG45" s="125"/>
      <c r="ORH45" s="14"/>
      <c r="ORI45" s="15"/>
      <c r="ORJ45" s="125"/>
      <c r="ORK45" s="125"/>
      <c r="ORL45" s="14"/>
      <c r="ORM45" s="15"/>
      <c r="ORN45" s="125"/>
      <c r="ORO45" s="125"/>
      <c r="ORP45" s="14"/>
      <c r="ORQ45" s="10"/>
      <c r="ORR45" s="125"/>
      <c r="ORS45" s="125"/>
      <c r="ORT45" s="14"/>
      <c r="ORU45" s="15"/>
      <c r="ORV45" s="125"/>
      <c r="ORW45" s="125"/>
      <c r="ORX45" s="14"/>
      <c r="ORY45" s="15"/>
      <c r="ORZ45" s="125"/>
      <c r="OSA45" s="125"/>
      <c r="OSB45" s="14"/>
      <c r="OSC45" s="15"/>
      <c r="OSD45" s="125"/>
      <c r="OSE45" s="125"/>
      <c r="OSF45" s="14"/>
      <c r="OSG45" s="10"/>
      <c r="OSH45" s="125"/>
      <c r="OSI45" s="125"/>
      <c r="OSJ45" s="14"/>
      <c r="OSK45" s="15"/>
      <c r="OSL45" s="125"/>
      <c r="OSM45" s="125"/>
      <c r="OSN45" s="14"/>
      <c r="OSO45" s="15"/>
      <c r="OSP45" s="125"/>
      <c r="OSQ45" s="125"/>
      <c r="OSR45" s="14"/>
      <c r="OSS45" s="15"/>
      <c r="OST45" s="125"/>
      <c r="OSU45" s="125"/>
      <c r="OSV45" s="14"/>
      <c r="OSW45" s="10"/>
      <c r="OSX45" s="125"/>
      <c r="OSY45" s="125"/>
      <c r="OSZ45" s="14"/>
      <c r="OTA45" s="15"/>
      <c r="OTB45" s="125"/>
      <c r="OTC45" s="125"/>
      <c r="OTD45" s="14"/>
      <c r="OTE45" s="15"/>
      <c r="OTF45" s="125"/>
      <c r="OTG45" s="125"/>
      <c r="OTH45" s="14"/>
      <c r="OTI45" s="15"/>
      <c r="OTJ45" s="125"/>
      <c r="OTK45" s="125"/>
      <c r="OTL45" s="14"/>
      <c r="OTM45" s="10"/>
      <c r="OTN45" s="125"/>
      <c r="OTO45" s="125"/>
      <c r="OTP45" s="14"/>
      <c r="OTQ45" s="15"/>
      <c r="OTR45" s="125"/>
      <c r="OTS45" s="125"/>
      <c r="OTT45" s="14"/>
      <c r="OTU45" s="15"/>
      <c r="OTV45" s="125"/>
      <c r="OTW45" s="125"/>
      <c r="OTX45" s="14"/>
      <c r="OTY45" s="15"/>
      <c r="OTZ45" s="125"/>
      <c r="OUA45" s="125"/>
      <c r="OUB45" s="14"/>
      <c r="OUC45" s="10"/>
      <c r="OUD45" s="125"/>
      <c r="OUE45" s="125"/>
      <c r="OUF45" s="14"/>
      <c r="OUG45" s="15"/>
      <c r="OUH45" s="125"/>
      <c r="OUI45" s="125"/>
      <c r="OUJ45" s="14"/>
      <c r="OUK45" s="15"/>
      <c r="OUL45" s="125"/>
      <c r="OUM45" s="125"/>
      <c r="OUN45" s="14"/>
      <c r="OUO45" s="15"/>
      <c r="OUP45" s="125"/>
      <c r="OUQ45" s="125"/>
      <c r="OUR45" s="14"/>
      <c r="OUS45" s="10"/>
      <c r="OUT45" s="125"/>
      <c r="OUU45" s="125"/>
      <c r="OUV45" s="14"/>
      <c r="OUW45" s="15"/>
      <c r="OUX45" s="125"/>
      <c r="OUY45" s="125"/>
      <c r="OUZ45" s="14"/>
      <c r="OVA45" s="15"/>
      <c r="OVB45" s="125"/>
      <c r="OVC45" s="125"/>
      <c r="OVD45" s="14"/>
      <c r="OVE45" s="15"/>
      <c r="OVF45" s="125"/>
      <c r="OVG45" s="125"/>
      <c r="OVH45" s="14"/>
      <c r="OVI45" s="10"/>
      <c r="OVJ45" s="125"/>
      <c r="OVK45" s="125"/>
      <c r="OVL45" s="14"/>
      <c r="OVM45" s="15"/>
      <c r="OVN45" s="125"/>
      <c r="OVO45" s="125"/>
      <c r="OVP45" s="14"/>
      <c r="OVQ45" s="15"/>
      <c r="OVR45" s="125"/>
      <c r="OVS45" s="125"/>
      <c r="OVT45" s="14"/>
      <c r="OVU45" s="15"/>
      <c r="OVV45" s="125"/>
      <c r="OVW45" s="125"/>
      <c r="OVX45" s="14"/>
      <c r="OVY45" s="10"/>
      <c r="OVZ45" s="125"/>
      <c r="OWA45" s="125"/>
      <c r="OWB45" s="14"/>
      <c r="OWC45" s="15"/>
      <c r="OWD45" s="125"/>
      <c r="OWE45" s="125"/>
      <c r="OWF45" s="14"/>
      <c r="OWG45" s="15"/>
      <c r="OWH45" s="125"/>
      <c r="OWI45" s="125"/>
      <c r="OWJ45" s="14"/>
      <c r="OWK45" s="15"/>
      <c r="OWL45" s="125"/>
      <c r="OWM45" s="125"/>
      <c r="OWN45" s="14"/>
      <c r="OWO45" s="10"/>
      <c r="OWP45" s="125"/>
      <c r="OWQ45" s="125"/>
      <c r="OWR45" s="14"/>
      <c r="OWS45" s="15"/>
      <c r="OWT45" s="125"/>
      <c r="OWU45" s="125"/>
      <c r="OWV45" s="14"/>
      <c r="OWW45" s="15"/>
      <c r="OWX45" s="125"/>
      <c r="OWY45" s="125"/>
      <c r="OWZ45" s="14"/>
      <c r="OXA45" s="15"/>
      <c r="OXB45" s="125"/>
      <c r="OXC45" s="125"/>
      <c r="OXD45" s="14"/>
      <c r="OXE45" s="10"/>
      <c r="OXF45" s="125"/>
      <c r="OXG45" s="125"/>
      <c r="OXH45" s="14"/>
      <c r="OXI45" s="15"/>
      <c r="OXJ45" s="125"/>
      <c r="OXK45" s="125"/>
      <c r="OXL45" s="14"/>
      <c r="OXM45" s="15"/>
      <c r="OXN45" s="125"/>
      <c r="OXO45" s="125"/>
      <c r="OXP45" s="14"/>
      <c r="OXQ45" s="15"/>
      <c r="OXR45" s="125"/>
      <c r="OXS45" s="125"/>
      <c r="OXT45" s="14"/>
      <c r="OXU45" s="10"/>
      <c r="OXV45" s="125"/>
      <c r="OXW45" s="125"/>
      <c r="OXX45" s="14"/>
      <c r="OXY45" s="15"/>
      <c r="OXZ45" s="125"/>
      <c r="OYA45" s="125"/>
      <c r="OYB45" s="14"/>
      <c r="OYC45" s="15"/>
      <c r="OYD45" s="125"/>
      <c r="OYE45" s="125"/>
      <c r="OYF45" s="14"/>
      <c r="OYG45" s="15"/>
      <c r="OYH45" s="125"/>
      <c r="OYI45" s="125"/>
      <c r="OYJ45" s="14"/>
      <c r="OYK45" s="10"/>
      <c r="OYL45" s="125"/>
      <c r="OYM45" s="125"/>
      <c r="OYN45" s="14"/>
      <c r="OYO45" s="15"/>
      <c r="OYP45" s="125"/>
      <c r="OYQ45" s="125"/>
      <c r="OYR45" s="14"/>
      <c r="OYS45" s="15"/>
      <c r="OYT45" s="125"/>
      <c r="OYU45" s="125"/>
      <c r="OYV45" s="14"/>
      <c r="OYW45" s="15"/>
      <c r="OYX45" s="125"/>
      <c r="OYY45" s="125"/>
      <c r="OYZ45" s="14"/>
      <c r="OZA45" s="10"/>
      <c r="OZB45" s="125"/>
      <c r="OZC45" s="125"/>
      <c r="OZD45" s="14"/>
      <c r="OZE45" s="15"/>
      <c r="OZF45" s="125"/>
      <c r="OZG45" s="125"/>
      <c r="OZH45" s="14"/>
      <c r="OZI45" s="15"/>
      <c r="OZJ45" s="125"/>
      <c r="OZK45" s="125"/>
      <c r="OZL45" s="14"/>
      <c r="OZM45" s="15"/>
      <c r="OZN45" s="125"/>
      <c r="OZO45" s="125"/>
      <c r="OZP45" s="14"/>
      <c r="OZQ45" s="10"/>
      <c r="OZR45" s="125"/>
      <c r="OZS45" s="125"/>
      <c r="OZT45" s="14"/>
      <c r="OZU45" s="15"/>
      <c r="OZV45" s="125"/>
      <c r="OZW45" s="125"/>
      <c r="OZX45" s="14"/>
      <c r="OZY45" s="15"/>
      <c r="OZZ45" s="125"/>
      <c r="PAA45" s="125"/>
      <c r="PAB45" s="14"/>
      <c r="PAC45" s="15"/>
      <c r="PAD45" s="125"/>
      <c r="PAE45" s="125"/>
      <c r="PAF45" s="14"/>
      <c r="PAG45" s="10"/>
      <c r="PAH45" s="125"/>
      <c r="PAI45" s="125"/>
      <c r="PAJ45" s="14"/>
      <c r="PAK45" s="15"/>
      <c r="PAL45" s="125"/>
      <c r="PAM45" s="125"/>
      <c r="PAN45" s="14"/>
      <c r="PAO45" s="15"/>
      <c r="PAP45" s="125"/>
      <c r="PAQ45" s="125"/>
      <c r="PAR45" s="14"/>
      <c r="PAS45" s="15"/>
      <c r="PAT45" s="125"/>
      <c r="PAU45" s="125"/>
      <c r="PAV45" s="14"/>
      <c r="PAW45" s="10"/>
      <c r="PAX45" s="125"/>
      <c r="PAY45" s="125"/>
      <c r="PAZ45" s="14"/>
      <c r="PBA45" s="15"/>
      <c r="PBB45" s="125"/>
      <c r="PBC45" s="125"/>
      <c r="PBD45" s="14"/>
      <c r="PBE45" s="15"/>
      <c r="PBF45" s="125"/>
      <c r="PBG45" s="125"/>
      <c r="PBH45" s="14"/>
      <c r="PBI45" s="15"/>
      <c r="PBJ45" s="125"/>
      <c r="PBK45" s="125"/>
      <c r="PBL45" s="14"/>
      <c r="PBM45" s="10"/>
      <c r="PBN45" s="125"/>
      <c r="PBO45" s="125"/>
      <c r="PBP45" s="14"/>
      <c r="PBQ45" s="15"/>
      <c r="PBR45" s="125"/>
      <c r="PBS45" s="125"/>
      <c r="PBT45" s="14"/>
      <c r="PBU45" s="15"/>
      <c r="PBV45" s="125"/>
      <c r="PBW45" s="125"/>
      <c r="PBX45" s="14"/>
      <c r="PBY45" s="15"/>
      <c r="PBZ45" s="125"/>
      <c r="PCA45" s="125"/>
      <c r="PCB45" s="14"/>
      <c r="PCC45" s="10"/>
      <c r="PCD45" s="125"/>
      <c r="PCE45" s="125"/>
      <c r="PCF45" s="14"/>
      <c r="PCG45" s="15"/>
      <c r="PCH45" s="125"/>
      <c r="PCI45" s="125"/>
      <c r="PCJ45" s="14"/>
      <c r="PCK45" s="15"/>
      <c r="PCL45" s="125"/>
      <c r="PCM45" s="125"/>
      <c r="PCN45" s="14"/>
      <c r="PCO45" s="15"/>
      <c r="PCP45" s="125"/>
      <c r="PCQ45" s="125"/>
      <c r="PCR45" s="14"/>
      <c r="PCS45" s="10"/>
      <c r="PCT45" s="125"/>
      <c r="PCU45" s="125"/>
      <c r="PCV45" s="14"/>
      <c r="PCW45" s="15"/>
      <c r="PCX45" s="125"/>
      <c r="PCY45" s="125"/>
      <c r="PCZ45" s="14"/>
      <c r="PDA45" s="15"/>
      <c r="PDB45" s="125"/>
      <c r="PDC45" s="125"/>
      <c r="PDD45" s="14"/>
      <c r="PDE45" s="15"/>
      <c r="PDF45" s="125"/>
      <c r="PDG45" s="125"/>
      <c r="PDH45" s="14"/>
      <c r="PDI45" s="10"/>
      <c r="PDJ45" s="125"/>
      <c r="PDK45" s="125"/>
      <c r="PDL45" s="14"/>
      <c r="PDM45" s="15"/>
      <c r="PDN45" s="125"/>
      <c r="PDO45" s="125"/>
      <c r="PDP45" s="14"/>
      <c r="PDQ45" s="15"/>
      <c r="PDR45" s="125"/>
      <c r="PDS45" s="125"/>
      <c r="PDT45" s="14"/>
      <c r="PDU45" s="15"/>
      <c r="PDV45" s="125"/>
      <c r="PDW45" s="125"/>
      <c r="PDX45" s="14"/>
      <c r="PDY45" s="10"/>
      <c r="PDZ45" s="125"/>
      <c r="PEA45" s="125"/>
      <c r="PEB45" s="14"/>
      <c r="PEC45" s="15"/>
      <c r="PED45" s="125"/>
      <c r="PEE45" s="125"/>
      <c r="PEF45" s="14"/>
      <c r="PEG45" s="15"/>
      <c r="PEH45" s="125"/>
      <c r="PEI45" s="125"/>
      <c r="PEJ45" s="14"/>
      <c r="PEK45" s="15"/>
      <c r="PEL45" s="125"/>
      <c r="PEM45" s="125"/>
      <c r="PEN45" s="14"/>
      <c r="PEO45" s="10"/>
      <c r="PEP45" s="125"/>
      <c r="PEQ45" s="125"/>
      <c r="PER45" s="14"/>
      <c r="PES45" s="15"/>
      <c r="PET45" s="125"/>
      <c r="PEU45" s="125"/>
      <c r="PEV45" s="14"/>
      <c r="PEW45" s="15"/>
      <c r="PEX45" s="125"/>
      <c r="PEY45" s="125"/>
      <c r="PEZ45" s="14"/>
      <c r="PFA45" s="15"/>
      <c r="PFB45" s="125"/>
      <c r="PFC45" s="125"/>
      <c r="PFD45" s="14"/>
      <c r="PFE45" s="10"/>
      <c r="PFF45" s="125"/>
      <c r="PFG45" s="125"/>
      <c r="PFH45" s="14"/>
      <c r="PFI45" s="15"/>
      <c r="PFJ45" s="125"/>
      <c r="PFK45" s="125"/>
      <c r="PFL45" s="14"/>
      <c r="PFM45" s="15"/>
      <c r="PFN45" s="125"/>
      <c r="PFO45" s="125"/>
      <c r="PFP45" s="14"/>
      <c r="PFQ45" s="15"/>
      <c r="PFR45" s="125"/>
      <c r="PFS45" s="125"/>
      <c r="PFT45" s="14"/>
      <c r="PFU45" s="10"/>
      <c r="PFV45" s="125"/>
      <c r="PFW45" s="125"/>
      <c r="PFX45" s="14"/>
      <c r="PFY45" s="15"/>
      <c r="PFZ45" s="125"/>
      <c r="PGA45" s="125"/>
      <c r="PGB45" s="14"/>
      <c r="PGC45" s="15"/>
      <c r="PGD45" s="125"/>
      <c r="PGE45" s="125"/>
      <c r="PGF45" s="14"/>
      <c r="PGG45" s="15"/>
      <c r="PGH45" s="125"/>
      <c r="PGI45" s="125"/>
      <c r="PGJ45" s="14"/>
      <c r="PGK45" s="10"/>
      <c r="PGL45" s="125"/>
      <c r="PGM45" s="125"/>
      <c r="PGN45" s="14"/>
      <c r="PGO45" s="15"/>
      <c r="PGP45" s="125"/>
      <c r="PGQ45" s="125"/>
      <c r="PGR45" s="14"/>
      <c r="PGS45" s="15"/>
      <c r="PGT45" s="125"/>
      <c r="PGU45" s="125"/>
      <c r="PGV45" s="14"/>
      <c r="PGW45" s="15"/>
      <c r="PGX45" s="125"/>
      <c r="PGY45" s="125"/>
      <c r="PGZ45" s="14"/>
      <c r="PHA45" s="10"/>
      <c r="PHB45" s="125"/>
      <c r="PHC45" s="125"/>
      <c r="PHD45" s="14"/>
      <c r="PHE45" s="15"/>
      <c r="PHF45" s="125"/>
      <c r="PHG45" s="125"/>
      <c r="PHH45" s="14"/>
      <c r="PHI45" s="15"/>
      <c r="PHJ45" s="125"/>
      <c r="PHK45" s="125"/>
      <c r="PHL45" s="14"/>
      <c r="PHM45" s="15"/>
      <c r="PHN45" s="125"/>
      <c r="PHO45" s="125"/>
      <c r="PHP45" s="14"/>
      <c r="PHQ45" s="10"/>
      <c r="PHR45" s="125"/>
      <c r="PHS45" s="125"/>
      <c r="PHT45" s="14"/>
      <c r="PHU45" s="15"/>
      <c r="PHV45" s="125"/>
      <c r="PHW45" s="125"/>
      <c r="PHX45" s="14"/>
      <c r="PHY45" s="15"/>
      <c r="PHZ45" s="125"/>
      <c r="PIA45" s="125"/>
      <c r="PIB45" s="14"/>
      <c r="PIC45" s="15"/>
      <c r="PID45" s="125"/>
      <c r="PIE45" s="125"/>
      <c r="PIF45" s="14"/>
      <c r="PIG45" s="10"/>
      <c r="PIH45" s="125"/>
      <c r="PII45" s="125"/>
      <c r="PIJ45" s="14"/>
      <c r="PIK45" s="15"/>
      <c r="PIL45" s="125"/>
      <c r="PIM45" s="125"/>
      <c r="PIN45" s="14"/>
      <c r="PIO45" s="15"/>
      <c r="PIP45" s="125"/>
      <c r="PIQ45" s="125"/>
      <c r="PIR45" s="14"/>
      <c r="PIS45" s="15"/>
      <c r="PIT45" s="125"/>
      <c r="PIU45" s="125"/>
      <c r="PIV45" s="14"/>
      <c r="PIW45" s="10"/>
      <c r="PIX45" s="125"/>
      <c r="PIY45" s="125"/>
      <c r="PIZ45" s="14"/>
      <c r="PJA45" s="15"/>
      <c r="PJB45" s="125"/>
      <c r="PJC45" s="125"/>
      <c r="PJD45" s="14"/>
      <c r="PJE45" s="15"/>
      <c r="PJF45" s="125"/>
      <c r="PJG45" s="125"/>
      <c r="PJH45" s="14"/>
      <c r="PJI45" s="15"/>
      <c r="PJJ45" s="125"/>
      <c r="PJK45" s="125"/>
      <c r="PJL45" s="14"/>
      <c r="PJM45" s="10"/>
      <c r="PJN45" s="125"/>
      <c r="PJO45" s="125"/>
      <c r="PJP45" s="14"/>
      <c r="PJQ45" s="15"/>
      <c r="PJR45" s="125"/>
      <c r="PJS45" s="125"/>
      <c r="PJT45" s="14"/>
      <c r="PJU45" s="15"/>
      <c r="PJV45" s="125"/>
      <c r="PJW45" s="125"/>
      <c r="PJX45" s="14"/>
      <c r="PJY45" s="15"/>
      <c r="PJZ45" s="125"/>
      <c r="PKA45" s="125"/>
      <c r="PKB45" s="14"/>
      <c r="PKC45" s="10"/>
      <c r="PKD45" s="125"/>
      <c r="PKE45" s="125"/>
      <c r="PKF45" s="14"/>
      <c r="PKG45" s="15"/>
      <c r="PKH45" s="125"/>
      <c r="PKI45" s="125"/>
      <c r="PKJ45" s="14"/>
      <c r="PKK45" s="15"/>
      <c r="PKL45" s="125"/>
      <c r="PKM45" s="125"/>
      <c r="PKN45" s="14"/>
      <c r="PKO45" s="15"/>
      <c r="PKP45" s="125"/>
      <c r="PKQ45" s="125"/>
      <c r="PKR45" s="14"/>
      <c r="PKS45" s="10"/>
      <c r="PKT45" s="125"/>
      <c r="PKU45" s="125"/>
      <c r="PKV45" s="14"/>
      <c r="PKW45" s="15"/>
      <c r="PKX45" s="125"/>
      <c r="PKY45" s="125"/>
      <c r="PKZ45" s="14"/>
      <c r="PLA45" s="15"/>
      <c r="PLB45" s="125"/>
      <c r="PLC45" s="125"/>
      <c r="PLD45" s="14"/>
      <c r="PLE45" s="15"/>
      <c r="PLF45" s="125"/>
      <c r="PLG45" s="125"/>
      <c r="PLH45" s="14"/>
      <c r="PLI45" s="10"/>
      <c r="PLJ45" s="125"/>
      <c r="PLK45" s="125"/>
      <c r="PLL45" s="14"/>
      <c r="PLM45" s="15"/>
      <c r="PLN45" s="125"/>
      <c r="PLO45" s="125"/>
      <c r="PLP45" s="14"/>
      <c r="PLQ45" s="15"/>
      <c r="PLR45" s="125"/>
      <c r="PLS45" s="125"/>
      <c r="PLT45" s="14"/>
      <c r="PLU45" s="15"/>
      <c r="PLV45" s="125"/>
      <c r="PLW45" s="125"/>
      <c r="PLX45" s="14"/>
      <c r="PLY45" s="10"/>
      <c r="PLZ45" s="125"/>
      <c r="PMA45" s="125"/>
      <c r="PMB45" s="14"/>
      <c r="PMC45" s="15"/>
      <c r="PMD45" s="125"/>
      <c r="PME45" s="125"/>
      <c r="PMF45" s="14"/>
      <c r="PMG45" s="15"/>
      <c r="PMH45" s="125"/>
      <c r="PMI45" s="125"/>
      <c r="PMJ45" s="14"/>
      <c r="PMK45" s="15"/>
      <c r="PML45" s="125"/>
      <c r="PMM45" s="125"/>
      <c r="PMN45" s="14"/>
      <c r="PMO45" s="10"/>
      <c r="PMP45" s="125"/>
      <c r="PMQ45" s="125"/>
      <c r="PMR45" s="14"/>
      <c r="PMS45" s="15"/>
      <c r="PMT45" s="125"/>
      <c r="PMU45" s="125"/>
      <c r="PMV45" s="14"/>
      <c r="PMW45" s="15"/>
      <c r="PMX45" s="125"/>
      <c r="PMY45" s="125"/>
      <c r="PMZ45" s="14"/>
      <c r="PNA45" s="15"/>
      <c r="PNB45" s="125"/>
      <c r="PNC45" s="125"/>
      <c r="PND45" s="14"/>
      <c r="PNE45" s="10"/>
      <c r="PNF45" s="125"/>
      <c r="PNG45" s="125"/>
      <c r="PNH45" s="14"/>
      <c r="PNI45" s="15"/>
      <c r="PNJ45" s="125"/>
      <c r="PNK45" s="125"/>
      <c r="PNL45" s="14"/>
      <c r="PNM45" s="15"/>
      <c r="PNN45" s="125"/>
      <c r="PNO45" s="125"/>
      <c r="PNP45" s="14"/>
      <c r="PNQ45" s="15"/>
      <c r="PNR45" s="125"/>
      <c r="PNS45" s="125"/>
      <c r="PNT45" s="14"/>
      <c r="PNU45" s="10"/>
      <c r="PNV45" s="125"/>
      <c r="PNW45" s="125"/>
      <c r="PNX45" s="14"/>
      <c r="PNY45" s="15"/>
      <c r="PNZ45" s="125"/>
      <c r="POA45" s="125"/>
      <c r="POB45" s="14"/>
      <c r="POC45" s="15"/>
      <c r="POD45" s="125"/>
      <c r="POE45" s="125"/>
      <c r="POF45" s="14"/>
      <c r="POG45" s="15"/>
      <c r="POH45" s="125"/>
      <c r="POI45" s="125"/>
      <c r="POJ45" s="14"/>
      <c r="POK45" s="10"/>
      <c r="POL45" s="125"/>
      <c r="POM45" s="125"/>
      <c r="PON45" s="14"/>
      <c r="POO45" s="15"/>
      <c r="POP45" s="125"/>
      <c r="POQ45" s="125"/>
      <c r="POR45" s="14"/>
      <c r="POS45" s="15"/>
      <c r="POT45" s="125"/>
      <c r="POU45" s="125"/>
      <c r="POV45" s="14"/>
      <c r="POW45" s="15"/>
      <c r="POX45" s="125"/>
      <c r="POY45" s="125"/>
      <c r="POZ45" s="14"/>
      <c r="PPA45" s="10"/>
      <c r="PPB45" s="125"/>
      <c r="PPC45" s="125"/>
      <c r="PPD45" s="14"/>
      <c r="PPE45" s="15"/>
      <c r="PPF45" s="125"/>
      <c r="PPG45" s="125"/>
      <c r="PPH45" s="14"/>
      <c r="PPI45" s="15"/>
      <c r="PPJ45" s="125"/>
      <c r="PPK45" s="125"/>
      <c r="PPL45" s="14"/>
      <c r="PPM45" s="15"/>
      <c r="PPN45" s="125"/>
      <c r="PPO45" s="125"/>
      <c r="PPP45" s="14"/>
      <c r="PPQ45" s="10"/>
      <c r="PPR45" s="125"/>
      <c r="PPS45" s="125"/>
      <c r="PPT45" s="14"/>
      <c r="PPU45" s="15"/>
      <c r="PPV45" s="125"/>
      <c r="PPW45" s="125"/>
      <c r="PPX45" s="14"/>
      <c r="PPY45" s="15"/>
      <c r="PPZ45" s="125"/>
      <c r="PQA45" s="125"/>
      <c r="PQB45" s="14"/>
      <c r="PQC45" s="15"/>
      <c r="PQD45" s="125"/>
      <c r="PQE45" s="125"/>
      <c r="PQF45" s="14"/>
      <c r="PQG45" s="10"/>
      <c r="PQH45" s="125"/>
      <c r="PQI45" s="125"/>
      <c r="PQJ45" s="14"/>
      <c r="PQK45" s="15"/>
      <c r="PQL45" s="125"/>
      <c r="PQM45" s="125"/>
      <c r="PQN45" s="14"/>
      <c r="PQO45" s="15"/>
      <c r="PQP45" s="125"/>
      <c r="PQQ45" s="125"/>
      <c r="PQR45" s="14"/>
      <c r="PQS45" s="15"/>
      <c r="PQT45" s="125"/>
      <c r="PQU45" s="125"/>
      <c r="PQV45" s="14"/>
      <c r="PQW45" s="10"/>
      <c r="PQX45" s="125"/>
      <c r="PQY45" s="125"/>
      <c r="PQZ45" s="14"/>
      <c r="PRA45" s="15"/>
      <c r="PRB45" s="125"/>
      <c r="PRC45" s="125"/>
      <c r="PRD45" s="14"/>
      <c r="PRE45" s="15"/>
      <c r="PRF45" s="125"/>
      <c r="PRG45" s="125"/>
      <c r="PRH45" s="14"/>
      <c r="PRI45" s="15"/>
      <c r="PRJ45" s="125"/>
      <c r="PRK45" s="125"/>
      <c r="PRL45" s="14"/>
      <c r="PRM45" s="10"/>
      <c r="PRN45" s="125"/>
      <c r="PRO45" s="125"/>
      <c r="PRP45" s="14"/>
      <c r="PRQ45" s="15"/>
      <c r="PRR45" s="125"/>
      <c r="PRS45" s="125"/>
      <c r="PRT45" s="14"/>
      <c r="PRU45" s="15"/>
      <c r="PRV45" s="125"/>
      <c r="PRW45" s="125"/>
      <c r="PRX45" s="14"/>
      <c r="PRY45" s="15"/>
      <c r="PRZ45" s="125"/>
      <c r="PSA45" s="125"/>
      <c r="PSB45" s="14"/>
      <c r="PSC45" s="10"/>
      <c r="PSD45" s="125"/>
      <c r="PSE45" s="125"/>
      <c r="PSF45" s="14"/>
      <c r="PSG45" s="15"/>
      <c r="PSH45" s="125"/>
      <c r="PSI45" s="125"/>
      <c r="PSJ45" s="14"/>
      <c r="PSK45" s="15"/>
      <c r="PSL45" s="125"/>
      <c r="PSM45" s="125"/>
      <c r="PSN45" s="14"/>
      <c r="PSO45" s="15"/>
      <c r="PSP45" s="125"/>
      <c r="PSQ45" s="125"/>
      <c r="PSR45" s="14"/>
      <c r="PSS45" s="10"/>
      <c r="PST45" s="125"/>
      <c r="PSU45" s="125"/>
      <c r="PSV45" s="14"/>
      <c r="PSW45" s="15"/>
      <c r="PSX45" s="125"/>
      <c r="PSY45" s="125"/>
      <c r="PSZ45" s="14"/>
      <c r="PTA45" s="15"/>
      <c r="PTB45" s="125"/>
      <c r="PTC45" s="125"/>
      <c r="PTD45" s="14"/>
      <c r="PTE45" s="15"/>
      <c r="PTF45" s="125"/>
      <c r="PTG45" s="125"/>
      <c r="PTH45" s="14"/>
      <c r="PTI45" s="10"/>
      <c r="PTJ45" s="125"/>
      <c r="PTK45" s="125"/>
      <c r="PTL45" s="14"/>
      <c r="PTM45" s="15"/>
      <c r="PTN45" s="125"/>
      <c r="PTO45" s="125"/>
      <c r="PTP45" s="14"/>
      <c r="PTQ45" s="15"/>
      <c r="PTR45" s="125"/>
      <c r="PTS45" s="125"/>
      <c r="PTT45" s="14"/>
      <c r="PTU45" s="15"/>
      <c r="PTV45" s="125"/>
      <c r="PTW45" s="125"/>
      <c r="PTX45" s="14"/>
      <c r="PTY45" s="10"/>
      <c r="PTZ45" s="125"/>
      <c r="PUA45" s="125"/>
      <c r="PUB45" s="14"/>
      <c r="PUC45" s="15"/>
      <c r="PUD45" s="125"/>
      <c r="PUE45" s="125"/>
      <c r="PUF45" s="14"/>
      <c r="PUG45" s="15"/>
      <c r="PUH45" s="125"/>
      <c r="PUI45" s="125"/>
      <c r="PUJ45" s="14"/>
      <c r="PUK45" s="15"/>
      <c r="PUL45" s="125"/>
      <c r="PUM45" s="125"/>
      <c r="PUN45" s="14"/>
      <c r="PUO45" s="10"/>
      <c r="PUP45" s="125"/>
      <c r="PUQ45" s="125"/>
      <c r="PUR45" s="14"/>
      <c r="PUS45" s="15"/>
      <c r="PUT45" s="125"/>
      <c r="PUU45" s="125"/>
      <c r="PUV45" s="14"/>
      <c r="PUW45" s="15"/>
      <c r="PUX45" s="125"/>
      <c r="PUY45" s="125"/>
      <c r="PUZ45" s="14"/>
      <c r="PVA45" s="15"/>
      <c r="PVB45" s="125"/>
      <c r="PVC45" s="125"/>
      <c r="PVD45" s="14"/>
      <c r="PVE45" s="10"/>
      <c r="PVF45" s="125"/>
      <c r="PVG45" s="125"/>
      <c r="PVH45" s="14"/>
      <c r="PVI45" s="15"/>
      <c r="PVJ45" s="125"/>
      <c r="PVK45" s="125"/>
      <c r="PVL45" s="14"/>
      <c r="PVM45" s="15"/>
      <c r="PVN45" s="125"/>
      <c r="PVO45" s="125"/>
      <c r="PVP45" s="14"/>
      <c r="PVQ45" s="15"/>
      <c r="PVR45" s="125"/>
      <c r="PVS45" s="125"/>
      <c r="PVT45" s="14"/>
      <c r="PVU45" s="10"/>
      <c r="PVV45" s="125"/>
      <c r="PVW45" s="125"/>
      <c r="PVX45" s="14"/>
      <c r="PVY45" s="15"/>
      <c r="PVZ45" s="125"/>
      <c r="PWA45" s="125"/>
      <c r="PWB45" s="14"/>
      <c r="PWC45" s="15"/>
      <c r="PWD45" s="125"/>
      <c r="PWE45" s="125"/>
      <c r="PWF45" s="14"/>
      <c r="PWG45" s="15"/>
      <c r="PWH45" s="125"/>
      <c r="PWI45" s="125"/>
      <c r="PWJ45" s="14"/>
      <c r="PWK45" s="10"/>
      <c r="PWL45" s="125"/>
      <c r="PWM45" s="125"/>
      <c r="PWN45" s="14"/>
      <c r="PWO45" s="15"/>
      <c r="PWP45" s="125"/>
      <c r="PWQ45" s="125"/>
      <c r="PWR45" s="14"/>
      <c r="PWS45" s="15"/>
      <c r="PWT45" s="125"/>
      <c r="PWU45" s="125"/>
      <c r="PWV45" s="14"/>
      <c r="PWW45" s="15"/>
      <c r="PWX45" s="125"/>
      <c r="PWY45" s="125"/>
      <c r="PWZ45" s="14"/>
      <c r="PXA45" s="10"/>
      <c r="PXB45" s="125"/>
      <c r="PXC45" s="125"/>
      <c r="PXD45" s="14"/>
      <c r="PXE45" s="15"/>
      <c r="PXF45" s="125"/>
      <c r="PXG45" s="125"/>
      <c r="PXH45" s="14"/>
      <c r="PXI45" s="15"/>
      <c r="PXJ45" s="125"/>
      <c r="PXK45" s="125"/>
      <c r="PXL45" s="14"/>
      <c r="PXM45" s="15"/>
      <c r="PXN45" s="125"/>
      <c r="PXO45" s="125"/>
      <c r="PXP45" s="14"/>
      <c r="PXQ45" s="10"/>
      <c r="PXR45" s="125"/>
      <c r="PXS45" s="125"/>
      <c r="PXT45" s="14"/>
      <c r="PXU45" s="15"/>
      <c r="PXV45" s="125"/>
      <c r="PXW45" s="125"/>
      <c r="PXX45" s="14"/>
      <c r="PXY45" s="15"/>
      <c r="PXZ45" s="125"/>
      <c r="PYA45" s="125"/>
      <c r="PYB45" s="14"/>
      <c r="PYC45" s="15"/>
      <c r="PYD45" s="125"/>
      <c r="PYE45" s="125"/>
      <c r="PYF45" s="14"/>
      <c r="PYG45" s="10"/>
      <c r="PYH45" s="125"/>
      <c r="PYI45" s="125"/>
      <c r="PYJ45" s="14"/>
      <c r="PYK45" s="15"/>
      <c r="PYL45" s="125"/>
      <c r="PYM45" s="125"/>
      <c r="PYN45" s="14"/>
      <c r="PYO45" s="15"/>
      <c r="PYP45" s="125"/>
      <c r="PYQ45" s="125"/>
      <c r="PYR45" s="14"/>
      <c r="PYS45" s="15"/>
      <c r="PYT45" s="125"/>
      <c r="PYU45" s="125"/>
      <c r="PYV45" s="14"/>
      <c r="PYW45" s="10"/>
      <c r="PYX45" s="125"/>
      <c r="PYY45" s="125"/>
      <c r="PYZ45" s="14"/>
      <c r="PZA45" s="15"/>
      <c r="PZB45" s="125"/>
      <c r="PZC45" s="125"/>
      <c r="PZD45" s="14"/>
      <c r="PZE45" s="15"/>
      <c r="PZF45" s="125"/>
      <c r="PZG45" s="125"/>
      <c r="PZH45" s="14"/>
      <c r="PZI45" s="15"/>
      <c r="PZJ45" s="125"/>
      <c r="PZK45" s="125"/>
      <c r="PZL45" s="14"/>
      <c r="PZM45" s="10"/>
      <c r="PZN45" s="125"/>
      <c r="PZO45" s="125"/>
      <c r="PZP45" s="14"/>
      <c r="PZQ45" s="15"/>
      <c r="PZR45" s="125"/>
      <c r="PZS45" s="125"/>
      <c r="PZT45" s="14"/>
      <c r="PZU45" s="15"/>
      <c r="PZV45" s="125"/>
      <c r="PZW45" s="125"/>
      <c r="PZX45" s="14"/>
      <c r="PZY45" s="15"/>
      <c r="PZZ45" s="125"/>
      <c r="QAA45" s="125"/>
      <c r="QAB45" s="14"/>
      <c r="QAC45" s="10"/>
      <c r="QAD45" s="125"/>
      <c r="QAE45" s="125"/>
      <c r="QAF45" s="14"/>
      <c r="QAG45" s="15"/>
      <c r="QAH45" s="125"/>
      <c r="QAI45" s="125"/>
      <c r="QAJ45" s="14"/>
      <c r="QAK45" s="15"/>
      <c r="QAL45" s="125"/>
      <c r="QAM45" s="125"/>
      <c r="QAN45" s="14"/>
      <c r="QAO45" s="15"/>
      <c r="QAP45" s="125"/>
      <c r="QAQ45" s="125"/>
      <c r="QAR45" s="14"/>
      <c r="QAS45" s="10"/>
      <c r="QAT45" s="125"/>
      <c r="QAU45" s="125"/>
      <c r="QAV45" s="14"/>
      <c r="QAW45" s="15"/>
      <c r="QAX45" s="125"/>
      <c r="QAY45" s="125"/>
      <c r="QAZ45" s="14"/>
      <c r="QBA45" s="15"/>
      <c r="QBB45" s="125"/>
      <c r="QBC45" s="125"/>
      <c r="QBD45" s="14"/>
      <c r="QBE45" s="15"/>
      <c r="QBF45" s="125"/>
      <c r="QBG45" s="125"/>
      <c r="QBH45" s="14"/>
      <c r="QBI45" s="10"/>
      <c r="QBJ45" s="125"/>
      <c r="QBK45" s="125"/>
      <c r="QBL45" s="14"/>
      <c r="QBM45" s="15"/>
      <c r="QBN45" s="125"/>
      <c r="QBO45" s="125"/>
      <c r="QBP45" s="14"/>
      <c r="QBQ45" s="15"/>
      <c r="QBR45" s="125"/>
      <c r="QBS45" s="125"/>
      <c r="QBT45" s="14"/>
      <c r="QBU45" s="15"/>
      <c r="QBV45" s="125"/>
      <c r="QBW45" s="125"/>
      <c r="QBX45" s="14"/>
      <c r="QBY45" s="10"/>
      <c r="QBZ45" s="125"/>
      <c r="QCA45" s="125"/>
      <c r="QCB45" s="14"/>
      <c r="QCC45" s="15"/>
      <c r="QCD45" s="125"/>
      <c r="QCE45" s="125"/>
      <c r="QCF45" s="14"/>
      <c r="QCG45" s="15"/>
      <c r="QCH45" s="125"/>
      <c r="QCI45" s="125"/>
      <c r="QCJ45" s="14"/>
      <c r="QCK45" s="15"/>
      <c r="QCL45" s="125"/>
      <c r="QCM45" s="125"/>
      <c r="QCN45" s="14"/>
      <c r="QCO45" s="10"/>
      <c r="QCP45" s="125"/>
      <c r="QCQ45" s="125"/>
      <c r="QCR45" s="14"/>
      <c r="QCS45" s="15"/>
      <c r="QCT45" s="125"/>
      <c r="QCU45" s="125"/>
      <c r="QCV45" s="14"/>
      <c r="QCW45" s="15"/>
      <c r="QCX45" s="125"/>
      <c r="QCY45" s="125"/>
      <c r="QCZ45" s="14"/>
      <c r="QDA45" s="15"/>
      <c r="QDB45" s="125"/>
      <c r="QDC45" s="125"/>
      <c r="QDD45" s="14"/>
      <c r="QDE45" s="10"/>
      <c r="QDF45" s="125"/>
      <c r="QDG45" s="125"/>
      <c r="QDH45" s="14"/>
      <c r="QDI45" s="15"/>
      <c r="QDJ45" s="125"/>
      <c r="QDK45" s="125"/>
      <c r="QDL45" s="14"/>
      <c r="QDM45" s="15"/>
      <c r="QDN45" s="125"/>
      <c r="QDO45" s="125"/>
      <c r="QDP45" s="14"/>
      <c r="QDQ45" s="15"/>
      <c r="QDR45" s="125"/>
      <c r="QDS45" s="125"/>
      <c r="QDT45" s="14"/>
      <c r="QDU45" s="10"/>
      <c r="QDV45" s="125"/>
      <c r="QDW45" s="125"/>
      <c r="QDX45" s="14"/>
      <c r="QDY45" s="15"/>
      <c r="QDZ45" s="125"/>
      <c r="QEA45" s="125"/>
      <c r="QEB45" s="14"/>
      <c r="QEC45" s="15"/>
      <c r="QED45" s="125"/>
      <c r="QEE45" s="125"/>
      <c r="QEF45" s="14"/>
      <c r="QEG45" s="15"/>
      <c r="QEH45" s="125"/>
      <c r="QEI45" s="125"/>
      <c r="QEJ45" s="14"/>
      <c r="QEK45" s="10"/>
      <c r="QEL45" s="125"/>
      <c r="QEM45" s="125"/>
      <c r="QEN45" s="14"/>
      <c r="QEO45" s="15"/>
      <c r="QEP45" s="125"/>
      <c r="QEQ45" s="125"/>
      <c r="QER45" s="14"/>
      <c r="QES45" s="15"/>
      <c r="QET45" s="125"/>
      <c r="QEU45" s="125"/>
      <c r="QEV45" s="14"/>
      <c r="QEW45" s="15"/>
      <c r="QEX45" s="125"/>
      <c r="QEY45" s="125"/>
      <c r="QEZ45" s="14"/>
      <c r="QFA45" s="10"/>
      <c r="QFB45" s="125"/>
      <c r="QFC45" s="125"/>
      <c r="QFD45" s="14"/>
      <c r="QFE45" s="15"/>
      <c r="QFF45" s="125"/>
      <c r="QFG45" s="125"/>
      <c r="QFH45" s="14"/>
      <c r="QFI45" s="15"/>
      <c r="QFJ45" s="125"/>
      <c r="QFK45" s="125"/>
      <c r="QFL45" s="14"/>
      <c r="QFM45" s="15"/>
      <c r="QFN45" s="125"/>
      <c r="QFO45" s="125"/>
      <c r="QFP45" s="14"/>
      <c r="QFQ45" s="10"/>
      <c r="QFR45" s="125"/>
      <c r="QFS45" s="125"/>
      <c r="QFT45" s="14"/>
      <c r="QFU45" s="15"/>
      <c r="QFV45" s="125"/>
      <c r="QFW45" s="125"/>
      <c r="QFX45" s="14"/>
      <c r="QFY45" s="15"/>
      <c r="QFZ45" s="125"/>
      <c r="QGA45" s="125"/>
      <c r="QGB45" s="14"/>
      <c r="QGC45" s="15"/>
      <c r="QGD45" s="125"/>
      <c r="QGE45" s="125"/>
      <c r="QGF45" s="14"/>
      <c r="QGG45" s="10"/>
      <c r="QGH45" s="125"/>
      <c r="QGI45" s="125"/>
      <c r="QGJ45" s="14"/>
      <c r="QGK45" s="15"/>
      <c r="QGL45" s="125"/>
      <c r="QGM45" s="125"/>
      <c r="QGN45" s="14"/>
      <c r="QGO45" s="15"/>
      <c r="QGP45" s="125"/>
      <c r="QGQ45" s="125"/>
      <c r="QGR45" s="14"/>
      <c r="QGS45" s="15"/>
      <c r="QGT45" s="125"/>
      <c r="QGU45" s="125"/>
      <c r="QGV45" s="14"/>
      <c r="QGW45" s="10"/>
      <c r="QGX45" s="125"/>
      <c r="QGY45" s="125"/>
      <c r="QGZ45" s="14"/>
      <c r="QHA45" s="15"/>
      <c r="QHB45" s="125"/>
      <c r="QHC45" s="125"/>
      <c r="QHD45" s="14"/>
      <c r="QHE45" s="15"/>
      <c r="QHF45" s="125"/>
      <c r="QHG45" s="125"/>
      <c r="QHH45" s="14"/>
      <c r="QHI45" s="15"/>
      <c r="QHJ45" s="125"/>
      <c r="QHK45" s="125"/>
      <c r="QHL45" s="14"/>
      <c r="QHM45" s="10"/>
      <c r="QHN45" s="125"/>
      <c r="QHO45" s="125"/>
      <c r="QHP45" s="14"/>
      <c r="QHQ45" s="15"/>
      <c r="QHR45" s="125"/>
      <c r="QHS45" s="125"/>
      <c r="QHT45" s="14"/>
      <c r="QHU45" s="15"/>
      <c r="QHV45" s="125"/>
      <c r="QHW45" s="125"/>
      <c r="QHX45" s="14"/>
      <c r="QHY45" s="15"/>
      <c r="QHZ45" s="125"/>
      <c r="QIA45" s="125"/>
      <c r="QIB45" s="14"/>
      <c r="QIC45" s="10"/>
      <c r="QID45" s="125"/>
      <c r="QIE45" s="125"/>
      <c r="QIF45" s="14"/>
      <c r="QIG45" s="15"/>
      <c r="QIH45" s="125"/>
      <c r="QII45" s="125"/>
      <c r="QIJ45" s="14"/>
      <c r="QIK45" s="15"/>
      <c r="QIL45" s="125"/>
      <c r="QIM45" s="125"/>
      <c r="QIN45" s="14"/>
      <c r="QIO45" s="15"/>
      <c r="QIP45" s="125"/>
      <c r="QIQ45" s="125"/>
      <c r="QIR45" s="14"/>
      <c r="QIS45" s="10"/>
      <c r="QIT45" s="125"/>
      <c r="QIU45" s="125"/>
      <c r="QIV45" s="14"/>
      <c r="QIW45" s="15"/>
      <c r="QIX45" s="125"/>
      <c r="QIY45" s="125"/>
      <c r="QIZ45" s="14"/>
      <c r="QJA45" s="15"/>
      <c r="QJB45" s="125"/>
      <c r="QJC45" s="125"/>
      <c r="QJD45" s="14"/>
      <c r="QJE45" s="15"/>
      <c r="QJF45" s="125"/>
      <c r="QJG45" s="125"/>
      <c r="QJH45" s="14"/>
      <c r="QJI45" s="10"/>
      <c r="QJJ45" s="125"/>
      <c r="QJK45" s="125"/>
      <c r="QJL45" s="14"/>
      <c r="QJM45" s="15"/>
      <c r="QJN45" s="125"/>
      <c r="QJO45" s="125"/>
      <c r="QJP45" s="14"/>
      <c r="QJQ45" s="15"/>
      <c r="QJR45" s="125"/>
      <c r="QJS45" s="125"/>
      <c r="QJT45" s="14"/>
      <c r="QJU45" s="15"/>
      <c r="QJV45" s="125"/>
      <c r="QJW45" s="125"/>
      <c r="QJX45" s="14"/>
      <c r="QJY45" s="10"/>
      <c r="QJZ45" s="125"/>
      <c r="QKA45" s="125"/>
      <c r="QKB45" s="14"/>
      <c r="QKC45" s="15"/>
      <c r="QKD45" s="125"/>
      <c r="QKE45" s="125"/>
      <c r="QKF45" s="14"/>
      <c r="QKG45" s="15"/>
      <c r="QKH45" s="125"/>
      <c r="QKI45" s="125"/>
      <c r="QKJ45" s="14"/>
      <c r="QKK45" s="15"/>
      <c r="QKL45" s="125"/>
      <c r="QKM45" s="125"/>
      <c r="QKN45" s="14"/>
      <c r="QKO45" s="10"/>
      <c r="QKP45" s="125"/>
      <c r="QKQ45" s="125"/>
      <c r="QKR45" s="14"/>
      <c r="QKS45" s="15"/>
      <c r="QKT45" s="125"/>
      <c r="QKU45" s="125"/>
      <c r="QKV45" s="14"/>
      <c r="QKW45" s="15"/>
      <c r="QKX45" s="125"/>
      <c r="QKY45" s="125"/>
      <c r="QKZ45" s="14"/>
      <c r="QLA45" s="15"/>
      <c r="QLB45" s="125"/>
      <c r="QLC45" s="125"/>
      <c r="QLD45" s="14"/>
      <c r="QLE45" s="10"/>
      <c r="QLF45" s="125"/>
      <c r="QLG45" s="125"/>
      <c r="QLH45" s="14"/>
      <c r="QLI45" s="15"/>
      <c r="QLJ45" s="125"/>
      <c r="QLK45" s="125"/>
      <c r="QLL45" s="14"/>
      <c r="QLM45" s="15"/>
      <c r="QLN45" s="125"/>
      <c r="QLO45" s="125"/>
      <c r="QLP45" s="14"/>
      <c r="QLQ45" s="15"/>
      <c r="QLR45" s="125"/>
      <c r="QLS45" s="125"/>
      <c r="QLT45" s="14"/>
      <c r="QLU45" s="10"/>
      <c r="QLV45" s="125"/>
      <c r="QLW45" s="125"/>
      <c r="QLX45" s="14"/>
      <c r="QLY45" s="15"/>
      <c r="QLZ45" s="125"/>
      <c r="QMA45" s="125"/>
      <c r="QMB45" s="14"/>
      <c r="QMC45" s="15"/>
      <c r="QMD45" s="125"/>
      <c r="QME45" s="125"/>
      <c r="QMF45" s="14"/>
      <c r="QMG45" s="15"/>
      <c r="QMH45" s="125"/>
      <c r="QMI45" s="125"/>
      <c r="QMJ45" s="14"/>
      <c r="QMK45" s="10"/>
      <c r="QML45" s="125"/>
      <c r="QMM45" s="125"/>
      <c r="QMN45" s="14"/>
      <c r="QMO45" s="15"/>
      <c r="QMP45" s="125"/>
      <c r="QMQ45" s="125"/>
      <c r="QMR45" s="14"/>
      <c r="QMS45" s="15"/>
      <c r="QMT45" s="125"/>
      <c r="QMU45" s="125"/>
      <c r="QMV45" s="14"/>
      <c r="QMW45" s="15"/>
      <c r="QMX45" s="125"/>
      <c r="QMY45" s="125"/>
      <c r="QMZ45" s="14"/>
      <c r="QNA45" s="10"/>
      <c r="QNB45" s="125"/>
      <c r="QNC45" s="125"/>
      <c r="QND45" s="14"/>
      <c r="QNE45" s="15"/>
      <c r="QNF45" s="125"/>
      <c r="QNG45" s="125"/>
      <c r="QNH45" s="14"/>
      <c r="QNI45" s="15"/>
      <c r="QNJ45" s="125"/>
      <c r="QNK45" s="125"/>
      <c r="QNL45" s="14"/>
      <c r="QNM45" s="15"/>
      <c r="QNN45" s="125"/>
      <c r="QNO45" s="125"/>
      <c r="QNP45" s="14"/>
      <c r="QNQ45" s="10"/>
      <c r="QNR45" s="125"/>
      <c r="QNS45" s="125"/>
      <c r="QNT45" s="14"/>
      <c r="QNU45" s="15"/>
      <c r="QNV45" s="125"/>
      <c r="QNW45" s="125"/>
      <c r="QNX45" s="14"/>
      <c r="QNY45" s="15"/>
      <c r="QNZ45" s="125"/>
      <c r="QOA45" s="125"/>
      <c r="QOB45" s="14"/>
      <c r="QOC45" s="15"/>
      <c r="QOD45" s="125"/>
      <c r="QOE45" s="125"/>
      <c r="QOF45" s="14"/>
      <c r="QOG45" s="10"/>
      <c r="QOH45" s="125"/>
      <c r="QOI45" s="125"/>
      <c r="QOJ45" s="14"/>
      <c r="QOK45" s="15"/>
      <c r="QOL45" s="125"/>
      <c r="QOM45" s="125"/>
      <c r="QON45" s="14"/>
      <c r="QOO45" s="15"/>
      <c r="QOP45" s="125"/>
      <c r="QOQ45" s="125"/>
      <c r="QOR45" s="14"/>
      <c r="QOS45" s="15"/>
      <c r="QOT45" s="125"/>
      <c r="QOU45" s="125"/>
      <c r="QOV45" s="14"/>
      <c r="QOW45" s="10"/>
      <c r="QOX45" s="125"/>
      <c r="QOY45" s="125"/>
      <c r="QOZ45" s="14"/>
      <c r="QPA45" s="15"/>
      <c r="QPB45" s="125"/>
      <c r="QPC45" s="125"/>
      <c r="QPD45" s="14"/>
      <c r="QPE45" s="15"/>
      <c r="QPF45" s="125"/>
      <c r="QPG45" s="125"/>
      <c r="QPH45" s="14"/>
      <c r="QPI45" s="15"/>
      <c r="QPJ45" s="125"/>
      <c r="QPK45" s="125"/>
      <c r="QPL45" s="14"/>
      <c r="QPM45" s="10"/>
      <c r="QPN45" s="125"/>
      <c r="QPO45" s="125"/>
      <c r="QPP45" s="14"/>
      <c r="QPQ45" s="15"/>
      <c r="QPR45" s="125"/>
      <c r="QPS45" s="125"/>
      <c r="QPT45" s="14"/>
      <c r="QPU45" s="15"/>
      <c r="QPV45" s="125"/>
      <c r="QPW45" s="125"/>
      <c r="QPX45" s="14"/>
      <c r="QPY45" s="15"/>
      <c r="QPZ45" s="125"/>
      <c r="QQA45" s="125"/>
      <c r="QQB45" s="14"/>
      <c r="QQC45" s="10"/>
      <c r="QQD45" s="125"/>
      <c r="QQE45" s="125"/>
      <c r="QQF45" s="14"/>
      <c r="QQG45" s="15"/>
      <c r="QQH45" s="125"/>
      <c r="QQI45" s="125"/>
      <c r="QQJ45" s="14"/>
      <c r="QQK45" s="15"/>
      <c r="QQL45" s="125"/>
      <c r="QQM45" s="125"/>
      <c r="QQN45" s="14"/>
      <c r="QQO45" s="15"/>
      <c r="QQP45" s="125"/>
      <c r="QQQ45" s="125"/>
      <c r="QQR45" s="14"/>
      <c r="QQS45" s="10"/>
      <c r="QQT45" s="125"/>
      <c r="QQU45" s="125"/>
      <c r="QQV45" s="14"/>
      <c r="QQW45" s="15"/>
      <c r="QQX45" s="125"/>
      <c r="QQY45" s="125"/>
      <c r="QQZ45" s="14"/>
      <c r="QRA45" s="15"/>
      <c r="QRB45" s="125"/>
      <c r="QRC45" s="125"/>
      <c r="QRD45" s="14"/>
      <c r="QRE45" s="15"/>
      <c r="QRF45" s="125"/>
      <c r="QRG45" s="125"/>
      <c r="QRH45" s="14"/>
      <c r="QRI45" s="10"/>
      <c r="QRJ45" s="125"/>
      <c r="QRK45" s="125"/>
      <c r="QRL45" s="14"/>
      <c r="QRM45" s="15"/>
      <c r="QRN45" s="125"/>
      <c r="QRO45" s="125"/>
      <c r="QRP45" s="14"/>
      <c r="QRQ45" s="15"/>
      <c r="QRR45" s="125"/>
      <c r="QRS45" s="125"/>
      <c r="QRT45" s="14"/>
      <c r="QRU45" s="15"/>
      <c r="QRV45" s="125"/>
      <c r="QRW45" s="125"/>
      <c r="QRX45" s="14"/>
      <c r="QRY45" s="10"/>
      <c r="QRZ45" s="125"/>
      <c r="QSA45" s="125"/>
      <c r="QSB45" s="14"/>
      <c r="QSC45" s="15"/>
      <c r="QSD45" s="125"/>
      <c r="QSE45" s="125"/>
      <c r="QSF45" s="14"/>
      <c r="QSG45" s="15"/>
      <c r="QSH45" s="125"/>
      <c r="QSI45" s="125"/>
      <c r="QSJ45" s="14"/>
      <c r="QSK45" s="15"/>
      <c r="QSL45" s="125"/>
      <c r="QSM45" s="125"/>
      <c r="QSN45" s="14"/>
      <c r="QSO45" s="10"/>
      <c r="QSP45" s="125"/>
      <c r="QSQ45" s="125"/>
      <c r="QSR45" s="14"/>
      <c r="QSS45" s="15"/>
      <c r="QST45" s="125"/>
      <c r="QSU45" s="125"/>
      <c r="QSV45" s="14"/>
      <c r="QSW45" s="15"/>
      <c r="QSX45" s="125"/>
      <c r="QSY45" s="125"/>
      <c r="QSZ45" s="14"/>
      <c r="QTA45" s="15"/>
      <c r="QTB45" s="125"/>
      <c r="QTC45" s="125"/>
      <c r="QTD45" s="14"/>
      <c r="QTE45" s="10"/>
      <c r="QTF45" s="125"/>
      <c r="QTG45" s="125"/>
      <c r="QTH45" s="14"/>
      <c r="QTI45" s="15"/>
      <c r="QTJ45" s="125"/>
      <c r="QTK45" s="125"/>
      <c r="QTL45" s="14"/>
      <c r="QTM45" s="15"/>
      <c r="QTN45" s="125"/>
      <c r="QTO45" s="125"/>
      <c r="QTP45" s="14"/>
      <c r="QTQ45" s="15"/>
      <c r="QTR45" s="125"/>
      <c r="QTS45" s="125"/>
      <c r="QTT45" s="14"/>
      <c r="QTU45" s="10"/>
      <c r="QTV45" s="125"/>
      <c r="QTW45" s="125"/>
      <c r="QTX45" s="14"/>
      <c r="QTY45" s="15"/>
      <c r="QTZ45" s="125"/>
      <c r="QUA45" s="125"/>
      <c r="QUB45" s="14"/>
      <c r="QUC45" s="15"/>
      <c r="QUD45" s="125"/>
      <c r="QUE45" s="125"/>
      <c r="QUF45" s="14"/>
      <c r="QUG45" s="15"/>
      <c r="QUH45" s="125"/>
      <c r="QUI45" s="125"/>
      <c r="QUJ45" s="14"/>
      <c r="QUK45" s="10"/>
      <c r="QUL45" s="125"/>
      <c r="QUM45" s="125"/>
      <c r="QUN45" s="14"/>
      <c r="QUO45" s="15"/>
      <c r="QUP45" s="125"/>
      <c r="QUQ45" s="125"/>
      <c r="QUR45" s="14"/>
      <c r="QUS45" s="15"/>
      <c r="QUT45" s="125"/>
      <c r="QUU45" s="125"/>
      <c r="QUV45" s="14"/>
      <c r="QUW45" s="15"/>
      <c r="QUX45" s="125"/>
      <c r="QUY45" s="125"/>
      <c r="QUZ45" s="14"/>
      <c r="QVA45" s="10"/>
      <c r="QVB45" s="125"/>
      <c r="QVC45" s="125"/>
      <c r="QVD45" s="14"/>
      <c r="QVE45" s="15"/>
      <c r="QVF45" s="125"/>
      <c r="QVG45" s="125"/>
      <c r="QVH45" s="14"/>
      <c r="QVI45" s="15"/>
      <c r="QVJ45" s="125"/>
      <c r="QVK45" s="125"/>
      <c r="QVL45" s="14"/>
      <c r="QVM45" s="15"/>
      <c r="QVN45" s="125"/>
      <c r="QVO45" s="125"/>
      <c r="QVP45" s="14"/>
      <c r="QVQ45" s="10"/>
      <c r="QVR45" s="125"/>
      <c r="QVS45" s="125"/>
      <c r="QVT45" s="14"/>
      <c r="QVU45" s="15"/>
      <c r="QVV45" s="125"/>
      <c r="QVW45" s="125"/>
      <c r="QVX45" s="14"/>
      <c r="QVY45" s="15"/>
      <c r="QVZ45" s="125"/>
      <c r="QWA45" s="125"/>
      <c r="QWB45" s="14"/>
      <c r="QWC45" s="15"/>
      <c r="QWD45" s="125"/>
      <c r="QWE45" s="125"/>
      <c r="QWF45" s="14"/>
      <c r="QWG45" s="10"/>
      <c r="QWH45" s="125"/>
      <c r="QWI45" s="125"/>
      <c r="QWJ45" s="14"/>
      <c r="QWK45" s="15"/>
      <c r="QWL45" s="125"/>
      <c r="QWM45" s="125"/>
      <c r="QWN45" s="14"/>
      <c r="QWO45" s="15"/>
      <c r="QWP45" s="125"/>
      <c r="QWQ45" s="125"/>
      <c r="QWR45" s="14"/>
      <c r="QWS45" s="15"/>
      <c r="QWT45" s="125"/>
      <c r="QWU45" s="125"/>
      <c r="QWV45" s="14"/>
      <c r="QWW45" s="10"/>
      <c r="QWX45" s="125"/>
      <c r="QWY45" s="125"/>
      <c r="QWZ45" s="14"/>
      <c r="QXA45" s="15"/>
      <c r="QXB45" s="125"/>
      <c r="QXC45" s="125"/>
      <c r="QXD45" s="14"/>
      <c r="QXE45" s="15"/>
      <c r="QXF45" s="125"/>
      <c r="QXG45" s="125"/>
      <c r="QXH45" s="14"/>
      <c r="QXI45" s="15"/>
      <c r="QXJ45" s="125"/>
      <c r="QXK45" s="125"/>
      <c r="QXL45" s="14"/>
      <c r="QXM45" s="10"/>
      <c r="QXN45" s="125"/>
      <c r="QXO45" s="125"/>
      <c r="QXP45" s="14"/>
      <c r="QXQ45" s="15"/>
      <c r="QXR45" s="125"/>
      <c r="QXS45" s="125"/>
      <c r="QXT45" s="14"/>
      <c r="QXU45" s="15"/>
      <c r="QXV45" s="125"/>
      <c r="QXW45" s="125"/>
      <c r="QXX45" s="14"/>
      <c r="QXY45" s="15"/>
      <c r="QXZ45" s="125"/>
      <c r="QYA45" s="125"/>
      <c r="QYB45" s="14"/>
      <c r="QYC45" s="10"/>
      <c r="QYD45" s="125"/>
      <c r="QYE45" s="125"/>
      <c r="QYF45" s="14"/>
      <c r="QYG45" s="15"/>
      <c r="QYH45" s="125"/>
      <c r="QYI45" s="125"/>
      <c r="QYJ45" s="14"/>
      <c r="QYK45" s="15"/>
      <c r="QYL45" s="125"/>
      <c r="QYM45" s="125"/>
      <c r="QYN45" s="14"/>
      <c r="QYO45" s="15"/>
      <c r="QYP45" s="125"/>
      <c r="QYQ45" s="125"/>
      <c r="QYR45" s="14"/>
      <c r="QYS45" s="10"/>
      <c r="QYT45" s="125"/>
      <c r="QYU45" s="125"/>
      <c r="QYV45" s="14"/>
      <c r="QYW45" s="15"/>
      <c r="QYX45" s="125"/>
      <c r="QYY45" s="125"/>
      <c r="QYZ45" s="14"/>
      <c r="QZA45" s="15"/>
      <c r="QZB45" s="125"/>
      <c r="QZC45" s="125"/>
      <c r="QZD45" s="14"/>
      <c r="QZE45" s="15"/>
      <c r="QZF45" s="125"/>
      <c r="QZG45" s="125"/>
      <c r="QZH45" s="14"/>
      <c r="QZI45" s="10"/>
      <c r="QZJ45" s="125"/>
      <c r="QZK45" s="125"/>
      <c r="QZL45" s="14"/>
      <c r="QZM45" s="15"/>
      <c r="QZN45" s="125"/>
      <c r="QZO45" s="125"/>
      <c r="QZP45" s="14"/>
      <c r="QZQ45" s="15"/>
      <c r="QZR45" s="125"/>
      <c r="QZS45" s="125"/>
      <c r="QZT45" s="14"/>
      <c r="QZU45" s="15"/>
      <c r="QZV45" s="125"/>
      <c r="QZW45" s="125"/>
      <c r="QZX45" s="14"/>
      <c r="QZY45" s="10"/>
      <c r="QZZ45" s="125"/>
      <c r="RAA45" s="125"/>
      <c r="RAB45" s="14"/>
      <c r="RAC45" s="15"/>
      <c r="RAD45" s="125"/>
      <c r="RAE45" s="125"/>
      <c r="RAF45" s="14"/>
      <c r="RAG45" s="15"/>
      <c r="RAH45" s="125"/>
      <c r="RAI45" s="125"/>
      <c r="RAJ45" s="14"/>
      <c r="RAK45" s="15"/>
      <c r="RAL45" s="125"/>
      <c r="RAM45" s="125"/>
      <c r="RAN45" s="14"/>
      <c r="RAO45" s="10"/>
      <c r="RAP45" s="125"/>
      <c r="RAQ45" s="125"/>
      <c r="RAR45" s="14"/>
      <c r="RAS45" s="15"/>
      <c r="RAT45" s="125"/>
      <c r="RAU45" s="125"/>
      <c r="RAV45" s="14"/>
      <c r="RAW45" s="15"/>
      <c r="RAX45" s="125"/>
      <c r="RAY45" s="125"/>
      <c r="RAZ45" s="14"/>
      <c r="RBA45" s="15"/>
      <c r="RBB45" s="125"/>
      <c r="RBC45" s="125"/>
      <c r="RBD45" s="14"/>
      <c r="RBE45" s="10"/>
      <c r="RBF45" s="125"/>
      <c r="RBG45" s="125"/>
      <c r="RBH45" s="14"/>
      <c r="RBI45" s="15"/>
      <c r="RBJ45" s="125"/>
      <c r="RBK45" s="125"/>
      <c r="RBL45" s="14"/>
      <c r="RBM45" s="15"/>
      <c r="RBN45" s="125"/>
      <c r="RBO45" s="125"/>
      <c r="RBP45" s="14"/>
      <c r="RBQ45" s="15"/>
      <c r="RBR45" s="125"/>
      <c r="RBS45" s="125"/>
      <c r="RBT45" s="14"/>
      <c r="RBU45" s="10"/>
      <c r="RBV45" s="125"/>
      <c r="RBW45" s="125"/>
      <c r="RBX45" s="14"/>
      <c r="RBY45" s="15"/>
      <c r="RBZ45" s="125"/>
      <c r="RCA45" s="125"/>
      <c r="RCB45" s="14"/>
      <c r="RCC45" s="15"/>
      <c r="RCD45" s="125"/>
      <c r="RCE45" s="125"/>
      <c r="RCF45" s="14"/>
      <c r="RCG45" s="15"/>
      <c r="RCH45" s="125"/>
      <c r="RCI45" s="125"/>
      <c r="RCJ45" s="14"/>
      <c r="RCK45" s="10"/>
      <c r="RCL45" s="125"/>
      <c r="RCM45" s="125"/>
      <c r="RCN45" s="14"/>
      <c r="RCO45" s="15"/>
      <c r="RCP45" s="125"/>
      <c r="RCQ45" s="125"/>
      <c r="RCR45" s="14"/>
      <c r="RCS45" s="15"/>
      <c r="RCT45" s="125"/>
      <c r="RCU45" s="125"/>
      <c r="RCV45" s="14"/>
      <c r="RCW45" s="15"/>
      <c r="RCX45" s="125"/>
      <c r="RCY45" s="125"/>
      <c r="RCZ45" s="14"/>
      <c r="RDA45" s="10"/>
      <c r="RDB45" s="125"/>
      <c r="RDC45" s="125"/>
      <c r="RDD45" s="14"/>
      <c r="RDE45" s="15"/>
      <c r="RDF45" s="125"/>
      <c r="RDG45" s="125"/>
      <c r="RDH45" s="14"/>
      <c r="RDI45" s="15"/>
      <c r="RDJ45" s="125"/>
      <c r="RDK45" s="125"/>
      <c r="RDL45" s="14"/>
      <c r="RDM45" s="15"/>
      <c r="RDN45" s="125"/>
      <c r="RDO45" s="125"/>
      <c r="RDP45" s="14"/>
      <c r="RDQ45" s="10"/>
      <c r="RDR45" s="125"/>
      <c r="RDS45" s="125"/>
      <c r="RDT45" s="14"/>
      <c r="RDU45" s="15"/>
      <c r="RDV45" s="125"/>
      <c r="RDW45" s="125"/>
      <c r="RDX45" s="14"/>
      <c r="RDY45" s="15"/>
      <c r="RDZ45" s="125"/>
      <c r="REA45" s="125"/>
      <c r="REB45" s="14"/>
      <c r="REC45" s="15"/>
      <c r="RED45" s="125"/>
      <c r="REE45" s="125"/>
      <c r="REF45" s="14"/>
      <c r="REG45" s="10"/>
      <c r="REH45" s="125"/>
      <c r="REI45" s="125"/>
      <c r="REJ45" s="14"/>
      <c r="REK45" s="15"/>
      <c r="REL45" s="125"/>
      <c r="REM45" s="125"/>
      <c r="REN45" s="14"/>
      <c r="REO45" s="15"/>
      <c r="REP45" s="125"/>
      <c r="REQ45" s="125"/>
      <c r="RER45" s="14"/>
      <c r="RES45" s="15"/>
      <c r="RET45" s="125"/>
      <c r="REU45" s="125"/>
      <c r="REV45" s="14"/>
      <c r="REW45" s="10"/>
      <c r="REX45" s="125"/>
      <c r="REY45" s="125"/>
      <c r="REZ45" s="14"/>
      <c r="RFA45" s="15"/>
      <c r="RFB45" s="125"/>
      <c r="RFC45" s="125"/>
      <c r="RFD45" s="14"/>
      <c r="RFE45" s="15"/>
      <c r="RFF45" s="125"/>
      <c r="RFG45" s="125"/>
      <c r="RFH45" s="14"/>
      <c r="RFI45" s="15"/>
      <c r="RFJ45" s="125"/>
      <c r="RFK45" s="125"/>
      <c r="RFL45" s="14"/>
      <c r="RFM45" s="10"/>
      <c r="RFN45" s="125"/>
      <c r="RFO45" s="125"/>
      <c r="RFP45" s="14"/>
      <c r="RFQ45" s="15"/>
      <c r="RFR45" s="125"/>
      <c r="RFS45" s="125"/>
      <c r="RFT45" s="14"/>
      <c r="RFU45" s="15"/>
      <c r="RFV45" s="125"/>
      <c r="RFW45" s="125"/>
      <c r="RFX45" s="14"/>
      <c r="RFY45" s="15"/>
      <c r="RFZ45" s="125"/>
      <c r="RGA45" s="125"/>
      <c r="RGB45" s="14"/>
      <c r="RGC45" s="10"/>
      <c r="RGD45" s="125"/>
      <c r="RGE45" s="125"/>
      <c r="RGF45" s="14"/>
      <c r="RGG45" s="15"/>
      <c r="RGH45" s="125"/>
      <c r="RGI45" s="125"/>
      <c r="RGJ45" s="14"/>
      <c r="RGK45" s="15"/>
      <c r="RGL45" s="125"/>
      <c r="RGM45" s="125"/>
      <c r="RGN45" s="14"/>
      <c r="RGO45" s="15"/>
      <c r="RGP45" s="125"/>
      <c r="RGQ45" s="125"/>
      <c r="RGR45" s="14"/>
      <c r="RGS45" s="10"/>
      <c r="RGT45" s="125"/>
      <c r="RGU45" s="125"/>
      <c r="RGV45" s="14"/>
      <c r="RGW45" s="15"/>
      <c r="RGX45" s="125"/>
      <c r="RGY45" s="125"/>
      <c r="RGZ45" s="14"/>
      <c r="RHA45" s="15"/>
      <c r="RHB45" s="125"/>
      <c r="RHC45" s="125"/>
      <c r="RHD45" s="14"/>
      <c r="RHE45" s="15"/>
      <c r="RHF45" s="125"/>
      <c r="RHG45" s="125"/>
      <c r="RHH45" s="14"/>
      <c r="RHI45" s="10"/>
      <c r="RHJ45" s="125"/>
      <c r="RHK45" s="125"/>
      <c r="RHL45" s="14"/>
      <c r="RHM45" s="15"/>
      <c r="RHN45" s="125"/>
      <c r="RHO45" s="125"/>
      <c r="RHP45" s="14"/>
      <c r="RHQ45" s="15"/>
      <c r="RHR45" s="125"/>
      <c r="RHS45" s="125"/>
      <c r="RHT45" s="14"/>
      <c r="RHU45" s="15"/>
      <c r="RHV45" s="125"/>
      <c r="RHW45" s="125"/>
      <c r="RHX45" s="14"/>
      <c r="RHY45" s="10"/>
      <c r="RHZ45" s="125"/>
      <c r="RIA45" s="125"/>
      <c r="RIB45" s="14"/>
      <c r="RIC45" s="15"/>
      <c r="RID45" s="125"/>
      <c r="RIE45" s="125"/>
      <c r="RIF45" s="14"/>
      <c r="RIG45" s="15"/>
      <c r="RIH45" s="125"/>
      <c r="RII45" s="125"/>
      <c r="RIJ45" s="14"/>
      <c r="RIK45" s="15"/>
      <c r="RIL45" s="125"/>
      <c r="RIM45" s="125"/>
      <c r="RIN45" s="14"/>
      <c r="RIO45" s="10"/>
      <c r="RIP45" s="125"/>
      <c r="RIQ45" s="125"/>
      <c r="RIR45" s="14"/>
      <c r="RIS45" s="15"/>
      <c r="RIT45" s="125"/>
      <c r="RIU45" s="125"/>
      <c r="RIV45" s="14"/>
      <c r="RIW45" s="15"/>
      <c r="RIX45" s="125"/>
      <c r="RIY45" s="125"/>
      <c r="RIZ45" s="14"/>
      <c r="RJA45" s="15"/>
      <c r="RJB45" s="125"/>
      <c r="RJC45" s="125"/>
      <c r="RJD45" s="14"/>
      <c r="RJE45" s="10"/>
      <c r="RJF45" s="125"/>
      <c r="RJG45" s="125"/>
      <c r="RJH45" s="14"/>
      <c r="RJI45" s="15"/>
      <c r="RJJ45" s="125"/>
      <c r="RJK45" s="125"/>
      <c r="RJL45" s="14"/>
      <c r="RJM45" s="15"/>
      <c r="RJN45" s="125"/>
      <c r="RJO45" s="125"/>
      <c r="RJP45" s="14"/>
      <c r="RJQ45" s="15"/>
      <c r="RJR45" s="125"/>
      <c r="RJS45" s="125"/>
      <c r="RJT45" s="14"/>
      <c r="RJU45" s="10"/>
      <c r="RJV45" s="125"/>
      <c r="RJW45" s="125"/>
      <c r="RJX45" s="14"/>
      <c r="RJY45" s="15"/>
      <c r="RJZ45" s="125"/>
      <c r="RKA45" s="125"/>
      <c r="RKB45" s="14"/>
      <c r="RKC45" s="15"/>
      <c r="RKD45" s="125"/>
      <c r="RKE45" s="125"/>
      <c r="RKF45" s="14"/>
      <c r="RKG45" s="15"/>
      <c r="RKH45" s="125"/>
      <c r="RKI45" s="125"/>
      <c r="RKJ45" s="14"/>
      <c r="RKK45" s="10"/>
      <c r="RKL45" s="125"/>
      <c r="RKM45" s="125"/>
      <c r="RKN45" s="14"/>
      <c r="RKO45" s="15"/>
      <c r="RKP45" s="125"/>
      <c r="RKQ45" s="125"/>
      <c r="RKR45" s="14"/>
      <c r="RKS45" s="15"/>
      <c r="RKT45" s="125"/>
      <c r="RKU45" s="125"/>
      <c r="RKV45" s="14"/>
      <c r="RKW45" s="15"/>
      <c r="RKX45" s="125"/>
      <c r="RKY45" s="125"/>
      <c r="RKZ45" s="14"/>
      <c r="RLA45" s="10"/>
      <c r="RLB45" s="125"/>
      <c r="RLC45" s="125"/>
      <c r="RLD45" s="14"/>
      <c r="RLE45" s="15"/>
      <c r="RLF45" s="125"/>
      <c r="RLG45" s="125"/>
      <c r="RLH45" s="14"/>
      <c r="RLI45" s="15"/>
      <c r="RLJ45" s="125"/>
      <c r="RLK45" s="125"/>
      <c r="RLL45" s="14"/>
      <c r="RLM45" s="15"/>
      <c r="RLN45" s="125"/>
      <c r="RLO45" s="125"/>
      <c r="RLP45" s="14"/>
      <c r="RLQ45" s="10"/>
      <c r="RLR45" s="125"/>
      <c r="RLS45" s="125"/>
      <c r="RLT45" s="14"/>
      <c r="RLU45" s="15"/>
      <c r="RLV45" s="125"/>
      <c r="RLW45" s="125"/>
      <c r="RLX45" s="14"/>
      <c r="RLY45" s="15"/>
      <c r="RLZ45" s="125"/>
      <c r="RMA45" s="125"/>
      <c r="RMB45" s="14"/>
      <c r="RMC45" s="15"/>
      <c r="RMD45" s="125"/>
      <c r="RME45" s="125"/>
      <c r="RMF45" s="14"/>
      <c r="RMG45" s="10"/>
      <c r="RMH45" s="125"/>
      <c r="RMI45" s="125"/>
      <c r="RMJ45" s="14"/>
      <c r="RMK45" s="15"/>
      <c r="RML45" s="125"/>
      <c r="RMM45" s="125"/>
      <c r="RMN45" s="14"/>
      <c r="RMO45" s="15"/>
      <c r="RMP45" s="125"/>
      <c r="RMQ45" s="125"/>
      <c r="RMR45" s="14"/>
      <c r="RMS45" s="15"/>
      <c r="RMT45" s="125"/>
      <c r="RMU45" s="125"/>
      <c r="RMV45" s="14"/>
      <c r="RMW45" s="10"/>
      <c r="RMX45" s="125"/>
      <c r="RMY45" s="125"/>
      <c r="RMZ45" s="14"/>
      <c r="RNA45" s="15"/>
      <c r="RNB45" s="125"/>
      <c r="RNC45" s="125"/>
      <c r="RND45" s="14"/>
      <c r="RNE45" s="15"/>
      <c r="RNF45" s="125"/>
      <c r="RNG45" s="125"/>
      <c r="RNH45" s="14"/>
      <c r="RNI45" s="15"/>
      <c r="RNJ45" s="125"/>
      <c r="RNK45" s="125"/>
      <c r="RNL45" s="14"/>
      <c r="RNM45" s="10"/>
      <c r="RNN45" s="125"/>
      <c r="RNO45" s="125"/>
      <c r="RNP45" s="14"/>
      <c r="RNQ45" s="15"/>
      <c r="RNR45" s="125"/>
      <c r="RNS45" s="125"/>
      <c r="RNT45" s="14"/>
      <c r="RNU45" s="15"/>
      <c r="RNV45" s="125"/>
      <c r="RNW45" s="125"/>
      <c r="RNX45" s="14"/>
      <c r="RNY45" s="15"/>
      <c r="RNZ45" s="125"/>
      <c r="ROA45" s="125"/>
      <c r="ROB45" s="14"/>
      <c r="ROC45" s="10"/>
      <c r="ROD45" s="125"/>
      <c r="ROE45" s="125"/>
      <c r="ROF45" s="14"/>
      <c r="ROG45" s="15"/>
      <c r="ROH45" s="125"/>
      <c r="ROI45" s="125"/>
      <c r="ROJ45" s="14"/>
      <c r="ROK45" s="15"/>
      <c r="ROL45" s="125"/>
      <c r="ROM45" s="125"/>
      <c r="RON45" s="14"/>
      <c r="ROO45" s="15"/>
      <c r="ROP45" s="125"/>
      <c r="ROQ45" s="125"/>
      <c r="ROR45" s="14"/>
      <c r="ROS45" s="10"/>
      <c r="ROT45" s="125"/>
      <c r="ROU45" s="125"/>
      <c r="ROV45" s="14"/>
      <c r="ROW45" s="15"/>
      <c r="ROX45" s="125"/>
      <c r="ROY45" s="125"/>
      <c r="ROZ45" s="14"/>
      <c r="RPA45" s="15"/>
      <c r="RPB45" s="125"/>
      <c r="RPC45" s="125"/>
      <c r="RPD45" s="14"/>
      <c r="RPE45" s="15"/>
      <c r="RPF45" s="125"/>
      <c r="RPG45" s="125"/>
      <c r="RPH45" s="14"/>
      <c r="RPI45" s="10"/>
      <c r="RPJ45" s="125"/>
      <c r="RPK45" s="125"/>
      <c r="RPL45" s="14"/>
      <c r="RPM45" s="15"/>
      <c r="RPN45" s="125"/>
      <c r="RPO45" s="125"/>
      <c r="RPP45" s="14"/>
      <c r="RPQ45" s="15"/>
      <c r="RPR45" s="125"/>
      <c r="RPS45" s="125"/>
      <c r="RPT45" s="14"/>
      <c r="RPU45" s="15"/>
      <c r="RPV45" s="125"/>
      <c r="RPW45" s="125"/>
      <c r="RPX45" s="14"/>
      <c r="RPY45" s="10"/>
      <c r="RPZ45" s="125"/>
      <c r="RQA45" s="125"/>
      <c r="RQB45" s="14"/>
      <c r="RQC45" s="15"/>
      <c r="RQD45" s="125"/>
      <c r="RQE45" s="125"/>
      <c r="RQF45" s="14"/>
      <c r="RQG45" s="15"/>
      <c r="RQH45" s="125"/>
      <c r="RQI45" s="125"/>
      <c r="RQJ45" s="14"/>
      <c r="RQK45" s="15"/>
      <c r="RQL45" s="125"/>
      <c r="RQM45" s="125"/>
      <c r="RQN45" s="14"/>
      <c r="RQO45" s="10"/>
      <c r="RQP45" s="125"/>
      <c r="RQQ45" s="125"/>
      <c r="RQR45" s="14"/>
      <c r="RQS45" s="15"/>
      <c r="RQT45" s="125"/>
      <c r="RQU45" s="125"/>
      <c r="RQV45" s="14"/>
      <c r="RQW45" s="15"/>
      <c r="RQX45" s="125"/>
      <c r="RQY45" s="125"/>
      <c r="RQZ45" s="14"/>
      <c r="RRA45" s="15"/>
      <c r="RRB45" s="125"/>
      <c r="RRC45" s="125"/>
      <c r="RRD45" s="14"/>
      <c r="RRE45" s="10"/>
      <c r="RRF45" s="125"/>
      <c r="RRG45" s="125"/>
      <c r="RRH45" s="14"/>
      <c r="RRI45" s="15"/>
      <c r="RRJ45" s="125"/>
      <c r="RRK45" s="125"/>
      <c r="RRL45" s="14"/>
      <c r="RRM45" s="15"/>
      <c r="RRN45" s="125"/>
      <c r="RRO45" s="125"/>
      <c r="RRP45" s="14"/>
      <c r="RRQ45" s="15"/>
      <c r="RRR45" s="125"/>
      <c r="RRS45" s="125"/>
      <c r="RRT45" s="14"/>
      <c r="RRU45" s="10"/>
      <c r="RRV45" s="125"/>
      <c r="RRW45" s="125"/>
      <c r="RRX45" s="14"/>
      <c r="RRY45" s="15"/>
      <c r="RRZ45" s="125"/>
      <c r="RSA45" s="125"/>
      <c r="RSB45" s="14"/>
      <c r="RSC45" s="15"/>
      <c r="RSD45" s="125"/>
      <c r="RSE45" s="125"/>
      <c r="RSF45" s="14"/>
      <c r="RSG45" s="15"/>
      <c r="RSH45" s="125"/>
      <c r="RSI45" s="125"/>
      <c r="RSJ45" s="14"/>
      <c r="RSK45" s="10"/>
      <c r="RSL45" s="125"/>
      <c r="RSM45" s="125"/>
      <c r="RSN45" s="14"/>
      <c r="RSO45" s="15"/>
      <c r="RSP45" s="125"/>
      <c r="RSQ45" s="125"/>
      <c r="RSR45" s="14"/>
      <c r="RSS45" s="15"/>
      <c r="RST45" s="125"/>
      <c r="RSU45" s="125"/>
      <c r="RSV45" s="14"/>
      <c r="RSW45" s="15"/>
      <c r="RSX45" s="125"/>
      <c r="RSY45" s="125"/>
      <c r="RSZ45" s="14"/>
      <c r="RTA45" s="10"/>
      <c r="RTB45" s="125"/>
      <c r="RTC45" s="125"/>
      <c r="RTD45" s="14"/>
      <c r="RTE45" s="15"/>
      <c r="RTF45" s="125"/>
      <c r="RTG45" s="125"/>
      <c r="RTH45" s="14"/>
      <c r="RTI45" s="15"/>
      <c r="RTJ45" s="125"/>
      <c r="RTK45" s="125"/>
      <c r="RTL45" s="14"/>
      <c r="RTM45" s="15"/>
      <c r="RTN45" s="125"/>
      <c r="RTO45" s="125"/>
      <c r="RTP45" s="14"/>
      <c r="RTQ45" s="10"/>
      <c r="RTR45" s="125"/>
      <c r="RTS45" s="125"/>
      <c r="RTT45" s="14"/>
      <c r="RTU45" s="15"/>
      <c r="RTV45" s="125"/>
      <c r="RTW45" s="125"/>
      <c r="RTX45" s="14"/>
      <c r="RTY45" s="15"/>
      <c r="RTZ45" s="125"/>
      <c r="RUA45" s="125"/>
      <c r="RUB45" s="14"/>
      <c r="RUC45" s="15"/>
      <c r="RUD45" s="125"/>
      <c r="RUE45" s="125"/>
      <c r="RUF45" s="14"/>
      <c r="RUG45" s="10"/>
      <c r="RUH45" s="125"/>
      <c r="RUI45" s="125"/>
      <c r="RUJ45" s="14"/>
      <c r="RUK45" s="15"/>
      <c r="RUL45" s="125"/>
      <c r="RUM45" s="125"/>
      <c r="RUN45" s="14"/>
      <c r="RUO45" s="15"/>
      <c r="RUP45" s="125"/>
      <c r="RUQ45" s="125"/>
      <c r="RUR45" s="14"/>
      <c r="RUS45" s="15"/>
      <c r="RUT45" s="125"/>
      <c r="RUU45" s="125"/>
      <c r="RUV45" s="14"/>
      <c r="RUW45" s="10"/>
      <c r="RUX45" s="125"/>
      <c r="RUY45" s="125"/>
      <c r="RUZ45" s="14"/>
      <c r="RVA45" s="15"/>
      <c r="RVB45" s="125"/>
      <c r="RVC45" s="125"/>
      <c r="RVD45" s="14"/>
      <c r="RVE45" s="15"/>
      <c r="RVF45" s="125"/>
      <c r="RVG45" s="125"/>
      <c r="RVH45" s="14"/>
      <c r="RVI45" s="15"/>
      <c r="RVJ45" s="125"/>
      <c r="RVK45" s="125"/>
      <c r="RVL45" s="14"/>
      <c r="RVM45" s="10"/>
      <c r="RVN45" s="125"/>
      <c r="RVO45" s="125"/>
      <c r="RVP45" s="14"/>
      <c r="RVQ45" s="15"/>
      <c r="RVR45" s="125"/>
      <c r="RVS45" s="125"/>
      <c r="RVT45" s="14"/>
      <c r="RVU45" s="15"/>
      <c r="RVV45" s="125"/>
      <c r="RVW45" s="125"/>
      <c r="RVX45" s="14"/>
      <c r="RVY45" s="15"/>
      <c r="RVZ45" s="125"/>
      <c r="RWA45" s="125"/>
      <c r="RWB45" s="14"/>
      <c r="RWC45" s="10"/>
      <c r="RWD45" s="125"/>
      <c r="RWE45" s="125"/>
      <c r="RWF45" s="14"/>
      <c r="RWG45" s="15"/>
      <c r="RWH45" s="125"/>
      <c r="RWI45" s="125"/>
      <c r="RWJ45" s="14"/>
      <c r="RWK45" s="15"/>
      <c r="RWL45" s="125"/>
      <c r="RWM45" s="125"/>
      <c r="RWN45" s="14"/>
      <c r="RWO45" s="15"/>
      <c r="RWP45" s="125"/>
      <c r="RWQ45" s="125"/>
      <c r="RWR45" s="14"/>
      <c r="RWS45" s="10"/>
      <c r="RWT45" s="125"/>
      <c r="RWU45" s="125"/>
      <c r="RWV45" s="14"/>
      <c r="RWW45" s="15"/>
      <c r="RWX45" s="125"/>
      <c r="RWY45" s="125"/>
      <c r="RWZ45" s="14"/>
      <c r="RXA45" s="15"/>
      <c r="RXB45" s="125"/>
      <c r="RXC45" s="125"/>
      <c r="RXD45" s="14"/>
      <c r="RXE45" s="15"/>
      <c r="RXF45" s="125"/>
      <c r="RXG45" s="125"/>
      <c r="RXH45" s="14"/>
      <c r="RXI45" s="10"/>
      <c r="RXJ45" s="125"/>
      <c r="RXK45" s="125"/>
      <c r="RXL45" s="14"/>
      <c r="RXM45" s="15"/>
      <c r="RXN45" s="125"/>
      <c r="RXO45" s="125"/>
      <c r="RXP45" s="14"/>
      <c r="RXQ45" s="15"/>
      <c r="RXR45" s="125"/>
      <c r="RXS45" s="125"/>
      <c r="RXT45" s="14"/>
      <c r="RXU45" s="15"/>
      <c r="RXV45" s="125"/>
      <c r="RXW45" s="125"/>
      <c r="RXX45" s="14"/>
      <c r="RXY45" s="10"/>
      <c r="RXZ45" s="125"/>
      <c r="RYA45" s="125"/>
      <c r="RYB45" s="14"/>
      <c r="RYC45" s="15"/>
      <c r="RYD45" s="125"/>
      <c r="RYE45" s="125"/>
      <c r="RYF45" s="14"/>
      <c r="RYG45" s="15"/>
      <c r="RYH45" s="125"/>
      <c r="RYI45" s="125"/>
      <c r="RYJ45" s="14"/>
      <c r="RYK45" s="15"/>
      <c r="RYL45" s="125"/>
      <c r="RYM45" s="125"/>
      <c r="RYN45" s="14"/>
      <c r="RYO45" s="10"/>
      <c r="RYP45" s="125"/>
      <c r="RYQ45" s="125"/>
      <c r="RYR45" s="14"/>
      <c r="RYS45" s="15"/>
      <c r="RYT45" s="125"/>
      <c r="RYU45" s="125"/>
      <c r="RYV45" s="14"/>
      <c r="RYW45" s="15"/>
      <c r="RYX45" s="125"/>
      <c r="RYY45" s="125"/>
      <c r="RYZ45" s="14"/>
      <c r="RZA45" s="15"/>
      <c r="RZB45" s="125"/>
      <c r="RZC45" s="125"/>
      <c r="RZD45" s="14"/>
      <c r="RZE45" s="10"/>
      <c r="RZF45" s="125"/>
      <c r="RZG45" s="125"/>
      <c r="RZH45" s="14"/>
      <c r="RZI45" s="15"/>
      <c r="RZJ45" s="125"/>
      <c r="RZK45" s="125"/>
      <c r="RZL45" s="14"/>
      <c r="RZM45" s="15"/>
      <c r="RZN45" s="125"/>
      <c r="RZO45" s="125"/>
      <c r="RZP45" s="14"/>
      <c r="RZQ45" s="15"/>
      <c r="RZR45" s="125"/>
      <c r="RZS45" s="125"/>
      <c r="RZT45" s="14"/>
      <c r="RZU45" s="10"/>
      <c r="RZV45" s="125"/>
      <c r="RZW45" s="125"/>
      <c r="RZX45" s="14"/>
      <c r="RZY45" s="15"/>
      <c r="RZZ45" s="125"/>
      <c r="SAA45" s="125"/>
      <c r="SAB45" s="14"/>
      <c r="SAC45" s="15"/>
      <c r="SAD45" s="125"/>
      <c r="SAE45" s="125"/>
      <c r="SAF45" s="14"/>
      <c r="SAG45" s="15"/>
      <c r="SAH45" s="125"/>
      <c r="SAI45" s="125"/>
      <c r="SAJ45" s="14"/>
      <c r="SAK45" s="10"/>
      <c r="SAL45" s="125"/>
      <c r="SAM45" s="125"/>
      <c r="SAN45" s="14"/>
      <c r="SAO45" s="15"/>
      <c r="SAP45" s="125"/>
      <c r="SAQ45" s="125"/>
      <c r="SAR45" s="14"/>
      <c r="SAS45" s="15"/>
      <c r="SAT45" s="125"/>
      <c r="SAU45" s="125"/>
      <c r="SAV45" s="14"/>
      <c r="SAW45" s="15"/>
      <c r="SAX45" s="125"/>
      <c r="SAY45" s="125"/>
      <c r="SAZ45" s="14"/>
      <c r="SBA45" s="10"/>
      <c r="SBB45" s="125"/>
      <c r="SBC45" s="125"/>
      <c r="SBD45" s="14"/>
      <c r="SBE45" s="15"/>
      <c r="SBF45" s="125"/>
      <c r="SBG45" s="125"/>
      <c r="SBH45" s="14"/>
      <c r="SBI45" s="15"/>
      <c r="SBJ45" s="125"/>
      <c r="SBK45" s="125"/>
      <c r="SBL45" s="14"/>
      <c r="SBM45" s="15"/>
      <c r="SBN45" s="125"/>
      <c r="SBO45" s="125"/>
      <c r="SBP45" s="14"/>
      <c r="SBQ45" s="10"/>
      <c r="SBR45" s="125"/>
      <c r="SBS45" s="125"/>
      <c r="SBT45" s="14"/>
      <c r="SBU45" s="15"/>
      <c r="SBV45" s="125"/>
      <c r="SBW45" s="125"/>
      <c r="SBX45" s="14"/>
      <c r="SBY45" s="15"/>
      <c r="SBZ45" s="125"/>
      <c r="SCA45" s="125"/>
      <c r="SCB45" s="14"/>
      <c r="SCC45" s="15"/>
      <c r="SCD45" s="125"/>
      <c r="SCE45" s="125"/>
      <c r="SCF45" s="14"/>
      <c r="SCG45" s="10"/>
      <c r="SCH45" s="125"/>
      <c r="SCI45" s="125"/>
      <c r="SCJ45" s="14"/>
      <c r="SCK45" s="15"/>
      <c r="SCL45" s="125"/>
      <c r="SCM45" s="125"/>
      <c r="SCN45" s="14"/>
      <c r="SCO45" s="15"/>
      <c r="SCP45" s="125"/>
      <c r="SCQ45" s="125"/>
      <c r="SCR45" s="14"/>
      <c r="SCS45" s="15"/>
      <c r="SCT45" s="125"/>
      <c r="SCU45" s="125"/>
      <c r="SCV45" s="14"/>
      <c r="SCW45" s="10"/>
      <c r="SCX45" s="125"/>
      <c r="SCY45" s="125"/>
      <c r="SCZ45" s="14"/>
      <c r="SDA45" s="15"/>
      <c r="SDB45" s="125"/>
      <c r="SDC45" s="125"/>
      <c r="SDD45" s="14"/>
      <c r="SDE45" s="15"/>
      <c r="SDF45" s="125"/>
      <c r="SDG45" s="125"/>
      <c r="SDH45" s="14"/>
      <c r="SDI45" s="15"/>
      <c r="SDJ45" s="125"/>
      <c r="SDK45" s="125"/>
      <c r="SDL45" s="14"/>
      <c r="SDM45" s="10"/>
      <c r="SDN45" s="125"/>
      <c r="SDO45" s="125"/>
      <c r="SDP45" s="14"/>
      <c r="SDQ45" s="15"/>
      <c r="SDR45" s="125"/>
      <c r="SDS45" s="125"/>
      <c r="SDT45" s="14"/>
      <c r="SDU45" s="15"/>
      <c r="SDV45" s="125"/>
      <c r="SDW45" s="125"/>
      <c r="SDX45" s="14"/>
      <c r="SDY45" s="15"/>
      <c r="SDZ45" s="125"/>
      <c r="SEA45" s="125"/>
      <c r="SEB45" s="14"/>
      <c r="SEC45" s="10"/>
      <c r="SED45" s="125"/>
      <c r="SEE45" s="125"/>
      <c r="SEF45" s="14"/>
      <c r="SEG45" s="15"/>
      <c r="SEH45" s="125"/>
      <c r="SEI45" s="125"/>
      <c r="SEJ45" s="14"/>
      <c r="SEK45" s="15"/>
      <c r="SEL45" s="125"/>
      <c r="SEM45" s="125"/>
      <c r="SEN45" s="14"/>
      <c r="SEO45" s="15"/>
      <c r="SEP45" s="125"/>
      <c r="SEQ45" s="125"/>
      <c r="SER45" s="14"/>
      <c r="SES45" s="10"/>
      <c r="SET45" s="125"/>
      <c r="SEU45" s="125"/>
      <c r="SEV45" s="14"/>
      <c r="SEW45" s="15"/>
      <c r="SEX45" s="125"/>
      <c r="SEY45" s="125"/>
      <c r="SEZ45" s="14"/>
      <c r="SFA45" s="15"/>
      <c r="SFB45" s="125"/>
      <c r="SFC45" s="125"/>
      <c r="SFD45" s="14"/>
      <c r="SFE45" s="15"/>
      <c r="SFF45" s="125"/>
      <c r="SFG45" s="125"/>
      <c r="SFH45" s="14"/>
      <c r="SFI45" s="10"/>
      <c r="SFJ45" s="125"/>
      <c r="SFK45" s="125"/>
      <c r="SFL45" s="14"/>
      <c r="SFM45" s="15"/>
      <c r="SFN45" s="125"/>
      <c r="SFO45" s="125"/>
      <c r="SFP45" s="14"/>
      <c r="SFQ45" s="15"/>
      <c r="SFR45" s="125"/>
      <c r="SFS45" s="125"/>
      <c r="SFT45" s="14"/>
      <c r="SFU45" s="15"/>
      <c r="SFV45" s="125"/>
      <c r="SFW45" s="125"/>
      <c r="SFX45" s="14"/>
      <c r="SFY45" s="10"/>
      <c r="SFZ45" s="125"/>
      <c r="SGA45" s="125"/>
      <c r="SGB45" s="14"/>
      <c r="SGC45" s="15"/>
      <c r="SGD45" s="125"/>
      <c r="SGE45" s="125"/>
      <c r="SGF45" s="14"/>
      <c r="SGG45" s="15"/>
      <c r="SGH45" s="125"/>
      <c r="SGI45" s="125"/>
      <c r="SGJ45" s="14"/>
      <c r="SGK45" s="15"/>
      <c r="SGL45" s="125"/>
      <c r="SGM45" s="125"/>
      <c r="SGN45" s="14"/>
      <c r="SGO45" s="10"/>
      <c r="SGP45" s="125"/>
      <c r="SGQ45" s="125"/>
      <c r="SGR45" s="14"/>
      <c r="SGS45" s="15"/>
      <c r="SGT45" s="125"/>
      <c r="SGU45" s="125"/>
      <c r="SGV45" s="14"/>
      <c r="SGW45" s="15"/>
      <c r="SGX45" s="125"/>
      <c r="SGY45" s="125"/>
      <c r="SGZ45" s="14"/>
      <c r="SHA45" s="15"/>
      <c r="SHB45" s="125"/>
      <c r="SHC45" s="125"/>
      <c r="SHD45" s="14"/>
      <c r="SHE45" s="10"/>
      <c r="SHF45" s="125"/>
      <c r="SHG45" s="125"/>
      <c r="SHH45" s="14"/>
      <c r="SHI45" s="15"/>
      <c r="SHJ45" s="125"/>
      <c r="SHK45" s="125"/>
      <c r="SHL45" s="14"/>
      <c r="SHM45" s="15"/>
      <c r="SHN45" s="125"/>
      <c r="SHO45" s="125"/>
      <c r="SHP45" s="14"/>
      <c r="SHQ45" s="15"/>
      <c r="SHR45" s="125"/>
      <c r="SHS45" s="125"/>
      <c r="SHT45" s="14"/>
      <c r="SHU45" s="10"/>
      <c r="SHV45" s="125"/>
      <c r="SHW45" s="125"/>
      <c r="SHX45" s="14"/>
      <c r="SHY45" s="15"/>
      <c r="SHZ45" s="125"/>
      <c r="SIA45" s="125"/>
      <c r="SIB45" s="14"/>
      <c r="SIC45" s="15"/>
      <c r="SID45" s="125"/>
      <c r="SIE45" s="125"/>
      <c r="SIF45" s="14"/>
      <c r="SIG45" s="15"/>
      <c r="SIH45" s="125"/>
      <c r="SII45" s="125"/>
      <c r="SIJ45" s="14"/>
      <c r="SIK45" s="10"/>
      <c r="SIL45" s="125"/>
      <c r="SIM45" s="125"/>
      <c r="SIN45" s="14"/>
      <c r="SIO45" s="15"/>
      <c r="SIP45" s="125"/>
      <c r="SIQ45" s="125"/>
      <c r="SIR45" s="14"/>
      <c r="SIS45" s="15"/>
      <c r="SIT45" s="125"/>
      <c r="SIU45" s="125"/>
      <c r="SIV45" s="14"/>
      <c r="SIW45" s="15"/>
      <c r="SIX45" s="125"/>
      <c r="SIY45" s="125"/>
      <c r="SIZ45" s="14"/>
      <c r="SJA45" s="10"/>
      <c r="SJB45" s="125"/>
      <c r="SJC45" s="125"/>
      <c r="SJD45" s="14"/>
      <c r="SJE45" s="15"/>
      <c r="SJF45" s="125"/>
      <c r="SJG45" s="125"/>
      <c r="SJH45" s="14"/>
      <c r="SJI45" s="15"/>
      <c r="SJJ45" s="125"/>
      <c r="SJK45" s="125"/>
      <c r="SJL45" s="14"/>
      <c r="SJM45" s="15"/>
      <c r="SJN45" s="125"/>
      <c r="SJO45" s="125"/>
      <c r="SJP45" s="14"/>
      <c r="SJQ45" s="10"/>
      <c r="SJR45" s="125"/>
      <c r="SJS45" s="125"/>
      <c r="SJT45" s="14"/>
      <c r="SJU45" s="15"/>
      <c r="SJV45" s="125"/>
      <c r="SJW45" s="125"/>
      <c r="SJX45" s="14"/>
      <c r="SJY45" s="15"/>
      <c r="SJZ45" s="125"/>
      <c r="SKA45" s="125"/>
      <c r="SKB45" s="14"/>
      <c r="SKC45" s="15"/>
      <c r="SKD45" s="125"/>
      <c r="SKE45" s="125"/>
      <c r="SKF45" s="14"/>
      <c r="SKG45" s="10"/>
      <c r="SKH45" s="125"/>
      <c r="SKI45" s="125"/>
      <c r="SKJ45" s="14"/>
      <c r="SKK45" s="15"/>
      <c r="SKL45" s="125"/>
      <c r="SKM45" s="125"/>
      <c r="SKN45" s="14"/>
      <c r="SKO45" s="15"/>
      <c r="SKP45" s="125"/>
      <c r="SKQ45" s="125"/>
      <c r="SKR45" s="14"/>
      <c r="SKS45" s="15"/>
      <c r="SKT45" s="125"/>
      <c r="SKU45" s="125"/>
      <c r="SKV45" s="14"/>
      <c r="SKW45" s="10"/>
      <c r="SKX45" s="125"/>
      <c r="SKY45" s="125"/>
      <c r="SKZ45" s="14"/>
      <c r="SLA45" s="15"/>
      <c r="SLB45" s="125"/>
      <c r="SLC45" s="125"/>
      <c r="SLD45" s="14"/>
      <c r="SLE45" s="15"/>
      <c r="SLF45" s="125"/>
      <c r="SLG45" s="125"/>
      <c r="SLH45" s="14"/>
      <c r="SLI45" s="15"/>
      <c r="SLJ45" s="125"/>
      <c r="SLK45" s="125"/>
      <c r="SLL45" s="14"/>
      <c r="SLM45" s="10"/>
      <c r="SLN45" s="125"/>
      <c r="SLO45" s="125"/>
      <c r="SLP45" s="14"/>
      <c r="SLQ45" s="15"/>
      <c r="SLR45" s="125"/>
      <c r="SLS45" s="125"/>
      <c r="SLT45" s="14"/>
      <c r="SLU45" s="15"/>
      <c r="SLV45" s="125"/>
      <c r="SLW45" s="125"/>
      <c r="SLX45" s="14"/>
      <c r="SLY45" s="15"/>
      <c r="SLZ45" s="125"/>
      <c r="SMA45" s="125"/>
      <c r="SMB45" s="14"/>
      <c r="SMC45" s="10"/>
      <c r="SMD45" s="125"/>
      <c r="SME45" s="125"/>
      <c r="SMF45" s="14"/>
      <c r="SMG45" s="15"/>
      <c r="SMH45" s="125"/>
      <c r="SMI45" s="125"/>
      <c r="SMJ45" s="14"/>
      <c r="SMK45" s="15"/>
      <c r="SML45" s="125"/>
      <c r="SMM45" s="125"/>
      <c r="SMN45" s="14"/>
      <c r="SMO45" s="15"/>
      <c r="SMP45" s="125"/>
      <c r="SMQ45" s="125"/>
      <c r="SMR45" s="14"/>
      <c r="SMS45" s="10"/>
      <c r="SMT45" s="125"/>
      <c r="SMU45" s="125"/>
      <c r="SMV45" s="14"/>
      <c r="SMW45" s="15"/>
      <c r="SMX45" s="125"/>
      <c r="SMY45" s="125"/>
      <c r="SMZ45" s="14"/>
      <c r="SNA45" s="15"/>
      <c r="SNB45" s="125"/>
      <c r="SNC45" s="125"/>
      <c r="SND45" s="14"/>
      <c r="SNE45" s="15"/>
      <c r="SNF45" s="125"/>
      <c r="SNG45" s="125"/>
      <c r="SNH45" s="14"/>
      <c r="SNI45" s="10"/>
      <c r="SNJ45" s="125"/>
      <c r="SNK45" s="125"/>
      <c r="SNL45" s="14"/>
      <c r="SNM45" s="15"/>
      <c r="SNN45" s="125"/>
      <c r="SNO45" s="125"/>
      <c r="SNP45" s="14"/>
      <c r="SNQ45" s="15"/>
      <c r="SNR45" s="125"/>
      <c r="SNS45" s="125"/>
      <c r="SNT45" s="14"/>
      <c r="SNU45" s="15"/>
      <c r="SNV45" s="125"/>
      <c r="SNW45" s="125"/>
      <c r="SNX45" s="14"/>
      <c r="SNY45" s="10"/>
      <c r="SNZ45" s="125"/>
      <c r="SOA45" s="125"/>
      <c r="SOB45" s="14"/>
      <c r="SOC45" s="15"/>
      <c r="SOD45" s="125"/>
      <c r="SOE45" s="125"/>
      <c r="SOF45" s="14"/>
      <c r="SOG45" s="15"/>
      <c r="SOH45" s="125"/>
      <c r="SOI45" s="125"/>
      <c r="SOJ45" s="14"/>
      <c r="SOK45" s="15"/>
      <c r="SOL45" s="125"/>
      <c r="SOM45" s="125"/>
      <c r="SON45" s="14"/>
      <c r="SOO45" s="10"/>
      <c r="SOP45" s="125"/>
      <c r="SOQ45" s="125"/>
      <c r="SOR45" s="14"/>
      <c r="SOS45" s="15"/>
      <c r="SOT45" s="125"/>
      <c r="SOU45" s="125"/>
      <c r="SOV45" s="14"/>
      <c r="SOW45" s="15"/>
      <c r="SOX45" s="125"/>
      <c r="SOY45" s="125"/>
      <c r="SOZ45" s="14"/>
      <c r="SPA45" s="15"/>
      <c r="SPB45" s="125"/>
      <c r="SPC45" s="125"/>
      <c r="SPD45" s="14"/>
      <c r="SPE45" s="10"/>
      <c r="SPF45" s="125"/>
      <c r="SPG45" s="125"/>
      <c r="SPH45" s="14"/>
      <c r="SPI45" s="15"/>
      <c r="SPJ45" s="125"/>
      <c r="SPK45" s="125"/>
      <c r="SPL45" s="14"/>
      <c r="SPM45" s="15"/>
      <c r="SPN45" s="125"/>
      <c r="SPO45" s="125"/>
      <c r="SPP45" s="14"/>
      <c r="SPQ45" s="15"/>
      <c r="SPR45" s="125"/>
      <c r="SPS45" s="125"/>
      <c r="SPT45" s="14"/>
      <c r="SPU45" s="10"/>
      <c r="SPV45" s="125"/>
      <c r="SPW45" s="125"/>
      <c r="SPX45" s="14"/>
      <c r="SPY45" s="15"/>
      <c r="SPZ45" s="125"/>
      <c r="SQA45" s="125"/>
      <c r="SQB45" s="14"/>
      <c r="SQC45" s="15"/>
      <c r="SQD45" s="125"/>
      <c r="SQE45" s="125"/>
      <c r="SQF45" s="14"/>
      <c r="SQG45" s="15"/>
      <c r="SQH45" s="125"/>
      <c r="SQI45" s="125"/>
      <c r="SQJ45" s="14"/>
      <c r="SQK45" s="10"/>
      <c r="SQL45" s="125"/>
      <c r="SQM45" s="125"/>
      <c r="SQN45" s="14"/>
      <c r="SQO45" s="15"/>
      <c r="SQP45" s="125"/>
      <c r="SQQ45" s="125"/>
      <c r="SQR45" s="14"/>
      <c r="SQS45" s="15"/>
      <c r="SQT45" s="125"/>
      <c r="SQU45" s="125"/>
      <c r="SQV45" s="14"/>
      <c r="SQW45" s="15"/>
      <c r="SQX45" s="125"/>
      <c r="SQY45" s="125"/>
      <c r="SQZ45" s="14"/>
      <c r="SRA45" s="10"/>
      <c r="SRB45" s="125"/>
      <c r="SRC45" s="125"/>
      <c r="SRD45" s="14"/>
      <c r="SRE45" s="15"/>
      <c r="SRF45" s="125"/>
      <c r="SRG45" s="125"/>
      <c r="SRH45" s="14"/>
      <c r="SRI45" s="15"/>
      <c r="SRJ45" s="125"/>
      <c r="SRK45" s="125"/>
      <c r="SRL45" s="14"/>
      <c r="SRM45" s="15"/>
      <c r="SRN45" s="125"/>
      <c r="SRO45" s="125"/>
      <c r="SRP45" s="14"/>
      <c r="SRQ45" s="10"/>
      <c r="SRR45" s="125"/>
      <c r="SRS45" s="125"/>
      <c r="SRT45" s="14"/>
      <c r="SRU45" s="15"/>
      <c r="SRV45" s="125"/>
      <c r="SRW45" s="125"/>
      <c r="SRX45" s="14"/>
      <c r="SRY45" s="15"/>
      <c r="SRZ45" s="125"/>
      <c r="SSA45" s="125"/>
      <c r="SSB45" s="14"/>
      <c r="SSC45" s="15"/>
      <c r="SSD45" s="125"/>
      <c r="SSE45" s="125"/>
      <c r="SSF45" s="14"/>
      <c r="SSG45" s="10"/>
      <c r="SSH45" s="125"/>
      <c r="SSI45" s="125"/>
      <c r="SSJ45" s="14"/>
      <c r="SSK45" s="15"/>
      <c r="SSL45" s="125"/>
      <c r="SSM45" s="125"/>
      <c r="SSN45" s="14"/>
      <c r="SSO45" s="15"/>
      <c r="SSP45" s="125"/>
      <c r="SSQ45" s="125"/>
      <c r="SSR45" s="14"/>
      <c r="SSS45" s="15"/>
      <c r="SST45" s="125"/>
      <c r="SSU45" s="125"/>
      <c r="SSV45" s="14"/>
      <c r="SSW45" s="10"/>
      <c r="SSX45" s="125"/>
      <c r="SSY45" s="125"/>
      <c r="SSZ45" s="14"/>
      <c r="STA45" s="15"/>
      <c r="STB45" s="125"/>
      <c r="STC45" s="125"/>
      <c r="STD45" s="14"/>
      <c r="STE45" s="15"/>
      <c r="STF45" s="125"/>
      <c r="STG45" s="125"/>
      <c r="STH45" s="14"/>
      <c r="STI45" s="15"/>
      <c r="STJ45" s="125"/>
      <c r="STK45" s="125"/>
      <c r="STL45" s="14"/>
      <c r="STM45" s="10"/>
      <c r="STN45" s="125"/>
      <c r="STO45" s="125"/>
      <c r="STP45" s="14"/>
      <c r="STQ45" s="15"/>
      <c r="STR45" s="125"/>
      <c r="STS45" s="125"/>
      <c r="STT45" s="14"/>
      <c r="STU45" s="15"/>
      <c r="STV45" s="125"/>
      <c r="STW45" s="125"/>
      <c r="STX45" s="14"/>
      <c r="STY45" s="15"/>
      <c r="STZ45" s="125"/>
      <c r="SUA45" s="125"/>
      <c r="SUB45" s="14"/>
      <c r="SUC45" s="10"/>
      <c r="SUD45" s="125"/>
      <c r="SUE45" s="125"/>
      <c r="SUF45" s="14"/>
      <c r="SUG45" s="15"/>
      <c r="SUH45" s="125"/>
      <c r="SUI45" s="125"/>
      <c r="SUJ45" s="14"/>
      <c r="SUK45" s="15"/>
      <c r="SUL45" s="125"/>
      <c r="SUM45" s="125"/>
      <c r="SUN45" s="14"/>
      <c r="SUO45" s="15"/>
      <c r="SUP45" s="125"/>
      <c r="SUQ45" s="125"/>
      <c r="SUR45" s="14"/>
      <c r="SUS45" s="10"/>
      <c r="SUT45" s="125"/>
      <c r="SUU45" s="125"/>
      <c r="SUV45" s="14"/>
      <c r="SUW45" s="15"/>
      <c r="SUX45" s="125"/>
      <c r="SUY45" s="125"/>
      <c r="SUZ45" s="14"/>
      <c r="SVA45" s="15"/>
      <c r="SVB45" s="125"/>
      <c r="SVC45" s="125"/>
      <c r="SVD45" s="14"/>
      <c r="SVE45" s="15"/>
      <c r="SVF45" s="125"/>
      <c r="SVG45" s="125"/>
      <c r="SVH45" s="14"/>
      <c r="SVI45" s="10"/>
      <c r="SVJ45" s="125"/>
      <c r="SVK45" s="125"/>
      <c r="SVL45" s="14"/>
      <c r="SVM45" s="15"/>
      <c r="SVN45" s="125"/>
      <c r="SVO45" s="125"/>
      <c r="SVP45" s="14"/>
      <c r="SVQ45" s="15"/>
      <c r="SVR45" s="125"/>
      <c r="SVS45" s="125"/>
      <c r="SVT45" s="14"/>
      <c r="SVU45" s="15"/>
      <c r="SVV45" s="125"/>
      <c r="SVW45" s="125"/>
      <c r="SVX45" s="14"/>
      <c r="SVY45" s="10"/>
      <c r="SVZ45" s="125"/>
      <c r="SWA45" s="125"/>
      <c r="SWB45" s="14"/>
      <c r="SWC45" s="15"/>
      <c r="SWD45" s="125"/>
      <c r="SWE45" s="125"/>
      <c r="SWF45" s="14"/>
      <c r="SWG45" s="15"/>
      <c r="SWH45" s="125"/>
      <c r="SWI45" s="125"/>
      <c r="SWJ45" s="14"/>
      <c r="SWK45" s="15"/>
      <c r="SWL45" s="125"/>
      <c r="SWM45" s="125"/>
      <c r="SWN45" s="14"/>
      <c r="SWO45" s="10"/>
      <c r="SWP45" s="125"/>
      <c r="SWQ45" s="125"/>
      <c r="SWR45" s="14"/>
      <c r="SWS45" s="15"/>
      <c r="SWT45" s="125"/>
      <c r="SWU45" s="125"/>
      <c r="SWV45" s="14"/>
      <c r="SWW45" s="15"/>
      <c r="SWX45" s="125"/>
      <c r="SWY45" s="125"/>
      <c r="SWZ45" s="14"/>
      <c r="SXA45" s="15"/>
      <c r="SXB45" s="125"/>
      <c r="SXC45" s="125"/>
      <c r="SXD45" s="14"/>
      <c r="SXE45" s="10"/>
      <c r="SXF45" s="125"/>
      <c r="SXG45" s="125"/>
      <c r="SXH45" s="14"/>
      <c r="SXI45" s="15"/>
      <c r="SXJ45" s="125"/>
      <c r="SXK45" s="125"/>
      <c r="SXL45" s="14"/>
      <c r="SXM45" s="15"/>
      <c r="SXN45" s="125"/>
      <c r="SXO45" s="125"/>
      <c r="SXP45" s="14"/>
      <c r="SXQ45" s="15"/>
      <c r="SXR45" s="125"/>
      <c r="SXS45" s="125"/>
      <c r="SXT45" s="14"/>
      <c r="SXU45" s="10"/>
      <c r="SXV45" s="125"/>
      <c r="SXW45" s="125"/>
      <c r="SXX45" s="14"/>
      <c r="SXY45" s="15"/>
      <c r="SXZ45" s="125"/>
      <c r="SYA45" s="125"/>
      <c r="SYB45" s="14"/>
      <c r="SYC45" s="15"/>
      <c r="SYD45" s="125"/>
      <c r="SYE45" s="125"/>
      <c r="SYF45" s="14"/>
      <c r="SYG45" s="15"/>
      <c r="SYH45" s="125"/>
      <c r="SYI45" s="125"/>
      <c r="SYJ45" s="14"/>
      <c r="SYK45" s="10"/>
      <c r="SYL45" s="125"/>
      <c r="SYM45" s="125"/>
      <c r="SYN45" s="14"/>
      <c r="SYO45" s="15"/>
      <c r="SYP45" s="125"/>
      <c r="SYQ45" s="125"/>
      <c r="SYR45" s="14"/>
      <c r="SYS45" s="15"/>
      <c r="SYT45" s="125"/>
      <c r="SYU45" s="125"/>
      <c r="SYV45" s="14"/>
      <c r="SYW45" s="15"/>
      <c r="SYX45" s="125"/>
      <c r="SYY45" s="125"/>
      <c r="SYZ45" s="14"/>
      <c r="SZA45" s="10"/>
      <c r="SZB45" s="125"/>
      <c r="SZC45" s="125"/>
      <c r="SZD45" s="14"/>
      <c r="SZE45" s="15"/>
      <c r="SZF45" s="125"/>
      <c r="SZG45" s="125"/>
      <c r="SZH45" s="14"/>
      <c r="SZI45" s="15"/>
      <c r="SZJ45" s="125"/>
      <c r="SZK45" s="125"/>
      <c r="SZL45" s="14"/>
      <c r="SZM45" s="15"/>
      <c r="SZN45" s="125"/>
      <c r="SZO45" s="125"/>
      <c r="SZP45" s="14"/>
      <c r="SZQ45" s="10"/>
      <c r="SZR45" s="125"/>
      <c r="SZS45" s="125"/>
      <c r="SZT45" s="14"/>
      <c r="SZU45" s="15"/>
      <c r="SZV45" s="125"/>
      <c r="SZW45" s="125"/>
      <c r="SZX45" s="14"/>
      <c r="SZY45" s="15"/>
      <c r="SZZ45" s="125"/>
      <c r="TAA45" s="125"/>
      <c r="TAB45" s="14"/>
      <c r="TAC45" s="15"/>
      <c r="TAD45" s="125"/>
      <c r="TAE45" s="125"/>
      <c r="TAF45" s="14"/>
      <c r="TAG45" s="10"/>
      <c r="TAH45" s="125"/>
      <c r="TAI45" s="125"/>
      <c r="TAJ45" s="14"/>
      <c r="TAK45" s="15"/>
      <c r="TAL45" s="125"/>
      <c r="TAM45" s="125"/>
      <c r="TAN45" s="14"/>
      <c r="TAO45" s="15"/>
      <c r="TAP45" s="125"/>
      <c r="TAQ45" s="125"/>
      <c r="TAR45" s="14"/>
      <c r="TAS45" s="15"/>
      <c r="TAT45" s="125"/>
      <c r="TAU45" s="125"/>
      <c r="TAV45" s="14"/>
      <c r="TAW45" s="10"/>
      <c r="TAX45" s="125"/>
      <c r="TAY45" s="125"/>
      <c r="TAZ45" s="14"/>
      <c r="TBA45" s="15"/>
      <c r="TBB45" s="125"/>
      <c r="TBC45" s="125"/>
      <c r="TBD45" s="14"/>
      <c r="TBE45" s="15"/>
      <c r="TBF45" s="125"/>
      <c r="TBG45" s="125"/>
      <c r="TBH45" s="14"/>
      <c r="TBI45" s="15"/>
      <c r="TBJ45" s="125"/>
      <c r="TBK45" s="125"/>
      <c r="TBL45" s="14"/>
      <c r="TBM45" s="10"/>
      <c r="TBN45" s="125"/>
      <c r="TBO45" s="125"/>
      <c r="TBP45" s="14"/>
      <c r="TBQ45" s="15"/>
      <c r="TBR45" s="125"/>
      <c r="TBS45" s="125"/>
      <c r="TBT45" s="14"/>
      <c r="TBU45" s="15"/>
      <c r="TBV45" s="125"/>
      <c r="TBW45" s="125"/>
      <c r="TBX45" s="14"/>
      <c r="TBY45" s="15"/>
      <c r="TBZ45" s="125"/>
      <c r="TCA45" s="125"/>
      <c r="TCB45" s="14"/>
      <c r="TCC45" s="10"/>
      <c r="TCD45" s="125"/>
      <c r="TCE45" s="125"/>
      <c r="TCF45" s="14"/>
      <c r="TCG45" s="15"/>
      <c r="TCH45" s="125"/>
      <c r="TCI45" s="125"/>
      <c r="TCJ45" s="14"/>
      <c r="TCK45" s="15"/>
      <c r="TCL45" s="125"/>
      <c r="TCM45" s="125"/>
      <c r="TCN45" s="14"/>
      <c r="TCO45" s="15"/>
      <c r="TCP45" s="125"/>
      <c r="TCQ45" s="125"/>
      <c r="TCR45" s="14"/>
      <c r="TCS45" s="10"/>
      <c r="TCT45" s="125"/>
      <c r="TCU45" s="125"/>
      <c r="TCV45" s="14"/>
      <c r="TCW45" s="15"/>
      <c r="TCX45" s="125"/>
      <c r="TCY45" s="125"/>
      <c r="TCZ45" s="14"/>
      <c r="TDA45" s="15"/>
      <c r="TDB45" s="125"/>
      <c r="TDC45" s="125"/>
      <c r="TDD45" s="14"/>
      <c r="TDE45" s="15"/>
      <c r="TDF45" s="125"/>
      <c r="TDG45" s="125"/>
      <c r="TDH45" s="14"/>
      <c r="TDI45" s="10"/>
      <c r="TDJ45" s="125"/>
      <c r="TDK45" s="125"/>
      <c r="TDL45" s="14"/>
      <c r="TDM45" s="15"/>
      <c r="TDN45" s="125"/>
      <c r="TDO45" s="125"/>
      <c r="TDP45" s="14"/>
      <c r="TDQ45" s="15"/>
      <c r="TDR45" s="125"/>
      <c r="TDS45" s="125"/>
      <c r="TDT45" s="14"/>
      <c r="TDU45" s="15"/>
      <c r="TDV45" s="125"/>
      <c r="TDW45" s="125"/>
      <c r="TDX45" s="14"/>
      <c r="TDY45" s="10"/>
      <c r="TDZ45" s="125"/>
      <c r="TEA45" s="125"/>
      <c r="TEB45" s="14"/>
      <c r="TEC45" s="15"/>
      <c r="TED45" s="125"/>
      <c r="TEE45" s="125"/>
      <c r="TEF45" s="14"/>
      <c r="TEG45" s="15"/>
      <c r="TEH45" s="125"/>
      <c r="TEI45" s="125"/>
      <c r="TEJ45" s="14"/>
      <c r="TEK45" s="15"/>
      <c r="TEL45" s="125"/>
      <c r="TEM45" s="125"/>
      <c r="TEN45" s="14"/>
      <c r="TEO45" s="10"/>
      <c r="TEP45" s="125"/>
      <c r="TEQ45" s="125"/>
      <c r="TER45" s="14"/>
      <c r="TES45" s="15"/>
      <c r="TET45" s="125"/>
      <c r="TEU45" s="125"/>
      <c r="TEV45" s="14"/>
      <c r="TEW45" s="15"/>
      <c r="TEX45" s="125"/>
      <c r="TEY45" s="125"/>
      <c r="TEZ45" s="14"/>
      <c r="TFA45" s="15"/>
      <c r="TFB45" s="125"/>
      <c r="TFC45" s="125"/>
      <c r="TFD45" s="14"/>
      <c r="TFE45" s="10"/>
      <c r="TFF45" s="125"/>
      <c r="TFG45" s="125"/>
      <c r="TFH45" s="14"/>
      <c r="TFI45" s="15"/>
      <c r="TFJ45" s="125"/>
      <c r="TFK45" s="125"/>
      <c r="TFL45" s="14"/>
      <c r="TFM45" s="15"/>
      <c r="TFN45" s="125"/>
      <c r="TFO45" s="125"/>
      <c r="TFP45" s="14"/>
      <c r="TFQ45" s="15"/>
      <c r="TFR45" s="125"/>
      <c r="TFS45" s="125"/>
      <c r="TFT45" s="14"/>
      <c r="TFU45" s="10"/>
      <c r="TFV45" s="125"/>
      <c r="TFW45" s="125"/>
      <c r="TFX45" s="14"/>
      <c r="TFY45" s="15"/>
      <c r="TFZ45" s="125"/>
      <c r="TGA45" s="125"/>
      <c r="TGB45" s="14"/>
      <c r="TGC45" s="15"/>
      <c r="TGD45" s="125"/>
      <c r="TGE45" s="125"/>
      <c r="TGF45" s="14"/>
      <c r="TGG45" s="15"/>
      <c r="TGH45" s="125"/>
      <c r="TGI45" s="125"/>
      <c r="TGJ45" s="14"/>
      <c r="TGK45" s="10"/>
      <c r="TGL45" s="125"/>
      <c r="TGM45" s="125"/>
      <c r="TGN45" s="14"/>
      <c r="TGO45" s="15"/>
      <c r="TGP45" s="125"/>
      <c r="TGQ45" s="125"/>
      <c r="TGR45" s="14"/>
      <c r="TGS45" s="15"/>
      <c r="TGT45" s="125"/>
      <c r="TGU45" s="125"/>
      <c r="TGV45" s="14"/>
      <c r="TGW45" s="15"/>
      <c r="TGX45" s="125"/>
      <c r="TGY45" s="125"/>
      <c r="TGZ45" s="14"/>
      <c r="THA45" s="10"/>
      <c r="THB45" s="125"/>
      <c r="THC45" s="125"/>
      <c r="THD45" s="14"/>
      <c r="THE45" s="15"/>
      <c r="THF45" s="125"/>
      <c r="THG45" s="125"/>
      <c r="THH45" s="14"/>
      <c r="THI45" s="15"/>
      <c r="THJ45" s="125"/>
      <c r="THK45" s="125"/>
      <c r="THL45" s="14"/>
      <c r="THM45" s="15"/>
      <c r="THN45" s="125"/>
      <c r="THO45" s="125"/>
      <c r="THP45" s="14"/>
      <c r="THQ45" s="10"/>
      <c r="THR45" s="125"/>
      <c r="THS45" s="125"/>
      <c r="THT45" s="14"/>
      <c r="THU45" s="15"/>
      <c r="THV45" s="125"/>
      <c r="THW45" s="125"/>
      <c r="THX45" s="14"/>
      <c r="THY45" s="15"/>
      <c r="THZ45" s="125"/>
      <c r="TIA45" s="125"/>
      <c r="TIB45" s="14"/>
      <c r="TIC45" s="15"/>
      <c r="TID45" s="125"/>
      <c r="TIE45" s="125"/>
      <c r="TIF45" s="14"/>
      <c r="TIG45" s="10"/>
      <c r="TIH45" s="125"/>
      <c r="TII45" s="125"/>
      <c r="TIJ45" s="14"/>
      <c r="TIK45" s="15"/>
      <c r="TIL45" s="125"/>
      <c r="TIM45" s="125"/>
      <c r="TIN45" s="14"/>
      <c r="TIO45" s="15"/>
      <c r="TIP45" s="125"/>
      <c r="TIQ45" s="125"/>
      <c r="TIR45" s="14"/>
      <c r="TIS45" s="15"/>
      <c r="TIT45" s="125"/>
      <c r="TIU45" s="125"/>
      <c r="TIV45" s="14"/>
      <c r="TIW45" s="10"/>
      <c r="TIX45" s="125"/>
      <c r="TIY45" s="125"/>
      <c r="TIZ45" s="14"/>
      <c r="TJA45" s="15"/>
      <c r="TJB45" s="125"/>
      <c r="TJC45" s="125"/>
      <c r="TJD45" s="14"/>
      <c r="TJE45" s="15"/>
      <c r="TJF45" s="125"/>
      <c r="TJG45" s="125"/>
      <c r="TJH45" s="14"/>
      <c r="TJI45" s="15"/>
      <c r="TJJ45" s="125"/>
      <c r="TJK45" s="125"/>
      <c r="TJL45" s="14"/>
      <c r="TJM45" s="10"/>
      <c r="TJN45" s="125"/>
      <c r="TJO45" s="125"/>
      <c r="TJP45" s="14"/>
      <c r="TJQ45" s="15"/>
      <c r="TJR45" s="125"/>
      <c r="TJS45" s="125"/>
      <c r="TJT45" s="14"/>
      <c r="TJU45" s="15"/>
      <c r="TJV45" s="125"/>
      <c r="TJW45" s="125"/>
      <c r="TJX45" s="14"/>
      <c r="TJY45" s="15"/>
      <c r="TJZ45" s="125"/>
      <c r="TKA45" s="125"/>
      <c r="TKB45" s="14"/>
      <c r="TKC45" s="10"/>
      <c r="TKD45" s="125"/>
      <c r="TKE45" s="125"/>
      <c r="TKF45" s="14"/>
      <c r="TKG45" s="15"/>
      <c r="TKH45" s="125"/>
      <c r="TKI45" s="125"/>
      <c r="TKJ45" s="14"/>
      <c r="TKK45" s="15"/>
      <c r="TKL45" s="125"/>
      <c r="TKM45" s="125"/>
      <c r="TKN45" s="14"/>
      <c r="TKO45" s="15"/>
      <c r="TKP45" s="125"/>
      <c r="TKQ45" s="125"/>
      <c r="TKR45" s="14"/>
      <c r="TKS45" s="10"/>
      <c r="TKT45" s="125"/>
      <c r="TKU45" s="125"/>
      <c r="TKV45" s="14"/>
      <c r="TKW45" s="15"/>
      <c r="TKX45" s="125"/>
      <c r="TKY45" s="125"/>
      <c r="TKZ45" s="14"/>
      <c r="TLA45" s="15"/>
      <c r="TLB45" s="125"/>
      <c r="TLC45" s="125"/>
      <c r="TLD45" s="14"/>
      <c r="TLE45" s="15"/>
      <c r="TLF45" s="125"/>
      <c r="TLG45" s="125"/>
      <c r="TLH45" s="14"/>
      <c r="TLI45" s="10"/>
      <c r="TLJ45" s="125"/>
      <c r="TLK45" s="125"/>
      <c r="TLL45" s="14"/>
      <c r="TLM45" s="15"/>
      <c r="TLN45" s="125"/>
      <c r="TLO45" s="125"/>
      <c r="TLP45" s="14"/>
      <c r="TLQ45" s="15"/>
      <c r="TLR45" s="125"/>
      <c r="TLS45" s="125"/>
      <c r="TLT45" s="14"/>
      <c r="TLU45" s="15"/>
      <c r="TLV45" s="125"/>
      <c r="TLW45" s="125"/>
      <c r="TLX45" s="14"/>
      <c r="TLY45" s="10"/>
      <c r="TLZ45" s="125"/>
      <c r="TMA45" s="125"/>
      <c r="TMB45" s="14"/>
      <c r="TMC45" s="15"/>
      <c r="TMD45" s="125"/>
      <c r="TME45" s="125"/>
      <c r="TMF45" s="14"/>
      <c r="TMG45" s="15"/>
      <c r="TMH45" s="125"/>
      <c r="TMI45" s="125"/>
      <c r="TMJ45" s="14"/>
      <c r="TMK45" s="15"/>
      <c r="TML45" s="125"/>
      <c r="TMM45" s="125"/>
      <c r="TMN45" s="14"/>
      <c r="TMO45" s="10"/>
      <c r="TMP45" s="125"/>
      <c r="TMQ45" s="125"/>
      <c r="TMR45" s="14"/>
      <c r="TMS45" s="15"/>
      <c r="TMT45" s="125"/>
      <c r="TMU45" s="125"/>
      <c r="TMV45" s="14"/>
      <c r="TMW45" s="15"/>
      <c r="TMX45" s="125"/>
      <c r="TMY45" s="125"/>
      <c r="TMZ45" s="14"/>
      <c r="TNA45" s="15"/>
      <c r="TNB45" s="125"/>
      <c r="TNC45" s="125"/>
      <c r="TND45" s="14"/>
      <c r="TNE45" s="10"/>
      <c r="TNF45" s="125"/>
      <c r="TNG45" s="125"/>
      <c r="TNH45" s="14"/>
      <c r="TNI45" s="15"/>
      <c r="TNJ45" s="125"/>
      <c r="TNK45" s="125"/>
      <c r="TNL45" s="14"/>
      <c r="TNM45" s="15"/>
      <c r="TNN45" s="125"/>
      <c r="TNO45" s="125"/>
      <c r="TNP45" s="14"/>
      <c r="TNQ45" s="15"/>
      <c r="TNR45" s="125"/>
      <c r="TNS45" s="125"/>
      <c r="TNT45" s="14"/>
      <c r="TNU45" s="10"/>
      <c r="TNV45" s="125"/>
      <c r="TNW45" s="125"/>
      <c r="TNX45" s="14"/>
      <c r="TNY45" s="15"/>
      <c r="TNZ45" s="125"/>
      <c r="TOA45" s="125"/>
      <c r="TOB45" s="14"/>
      <c r="TOC45" s="15"/>
      <c r="TOD45" s="125"/>
      <c r="TOE45" s="125"/>
      <c r="TOF45" s="14"/>
      <c r="TOG45" s="15"/>
      <c r="TOH45" s="125"/>
      <c r="TOI45" s="125"/>
      <c r="TOJ45" s="14"/>
      <c r="TOK45" s="10"/>
      <c r="TOL45" s="125"/>
      <c r="TOM45" s="125"/>
      <c r="TON45" s="14"/>
      <c r="TOO45" s="15"/>
      <c r="TOP45" s="125"/>
      <c r="TOQ45" s="125"/>
      <c r="TOR45" s="14"/>
      <c r="TOS45" s="15"/>
      <c r="TOT45" s="125"/>
      <c r="TOU45" s="125"/>
      <c r="TOV45" s="14"/>
      <c r="TOW45" s="15"/>
      <c r="TOX45" s="125"/>
      <c r="TOY45" s="125"/>
      <c r="TOZ45" s="14"/>
      <c r="TPA45" s="10"/>
      <c r="TPB45" s="125"/>
      <c r="TPC45" s="125"/>
      <c r="TPD45" s="14"/>
      <c r="TPE45" s="15"/>
      <c r="TPF45" s="125"/>
      <c r="TPG45" s="125"/>
      <c r="TPH45" s="14"/>
      <c r="TPI45" s="15"/>
      <c r="TPJ45" s="125"/>
      <c r="TPK45" s="125"/>
      <c r="TPL45" s="14"/>
      <c r="TPM45" s="15"/>
      <c r="TPN45" s="125"/>
      <c r="TPO45" s="125"/>
      <c r="TPP45" s="14"/>
      <c r="TPQ45" s="10"/>
      <c r="TPR45" s="125"/>
      <c r="TPS45" s="125"/>
      <c r="TPT45" s="14"/>
      <c r="TPU45" s="15"/>
      <c r="TPV45" s="125"/>
      <c r="TPW45" s="125"/>
      <c r="TPX45" s="14"/>
      <c r="TPY45" s="15"/>
      <c r="TPZ45" s="125"/>
      <c r="TQA45" s="125"/>
      <c r="TQB45" s="14"/>
      <c r="TQC45" s="15"/>
      <c r="TQD45" s="125"/>
      <c r="TQE45" s="125"/>
      <c r="TQF45" s="14"/>
      <c r="TQG45" s="10"/>
      <c r="TQH45" s="125"/>
      <c r="TQI45" s="125"/>
      <c r="TQJ45" s="14"/>
      <c r="TQK45" s="15"/>
      <c r="TQL45" s="125"/>
      <c r="TQM45" s="125"/>
      <c r="TQN45" s="14"/>
      <c r="TQO45" s="15"/>
      <c r="TQP45" s="125"/>
      <c r="TQQ45" s="125"/>
      <c r="TQR45" s="14"/>
      <c r="TQS45" s="15"/>
      <c r="TQT45" s="125"/>
      <c r="TQU45" s="125"/>
      <c r="TQV45" s="14"/>
      <c r="TQW45" s="10"/>
      <c r="TQX45" s="125"/>
      <c r="TQY45" s="125"/>
      <c r="TQZ45" s="14"/>
      <c r="TRA45" s="15"/>
      <c r="TRB45" s="125"/>
      <c r="TRC45" s="125"/>
      <c r="TRD45" s="14"/>
      <c r="TRE45" s="15"/>
      <c r="TRF45" s="125"/>
      <c r="TRG45" s="125"/>
      <c r="TRH45" s="14"/>
      <c r="TRI45" s="15"/>
      <c r="TRJ45" s="125"/>
      <c r="TRK45" s="125"/>
      <c r="TRL45" s="14"/>
      <c r="TRM45" s="10"/>
      <c r="TRN45" s="125"/>
      <c r="TRO45" s="125"/>
      <c r="TRP45" s="14"/>
      <c r="TRQ45" s="15"/>
      <c r="TRR45" s="125"/>
      <c r="TRS45" s="125"/>
      <c r="TRT45" s="14"/>
      <c r="TRU45" s="15"/>
      <c r="TRV45" s="125"/>
      <c r="TRW45" s="125"/>
      <c r="TRX45" s="14"/>
      <c r="TRY45" s="15"/>
      <c r="TRZ45" s="125"/>
      <c r="TSA45" s="125"/>
      <c r="TSB45" s="14"/>
      <c r="TSC45" s="10"/>
      <c r="TSD45" s="125"/>
      <c r="TSE45" s="125"/>
      <c r="TSF45" s="14"/>
      <c r="TSG45" s="15"/>
      <c r="TSH45" s="125"/>
      <c r="TSI45" s="125"/>
      <c r="TSJ45" s="14"/>
      <c r="TSK45" s="15"/>
      <c r="TSL45" s="125"/>
      <c r="TSM45" s="125"/>
      <c r="TSN45" s="14"/>
      <c r="TSO45" s="15"/>
      <c r="TSP45" s="125"/>
      <c r="TSQ45" s="125"/>
      <c r="TSR45" s="14"/>
      <c r="TSS45" s="10"/>
      <c r="TST45" s="125"/>
      <c r="TSU45" s="125"/>
      <c r="TSV45" s="14"/>
      <c r="TSW45" s="15"/>
      <c r="TSX45" s="125"/>
      <c r="TSY45" s="125"/>
      <c r="TSZ45" s="14"/>
      <c r="TTA45" s="15"/>
      <c r="TTB45" s="125"/>
      <c r="TTC45" s="125"/>
      <c r="TTD45" s="14"/>
      <c r="TTE45" s="15"/>
      <c r="TTF45" s="125"/>
      <c r="TTG45" s="125"/>
      <c r="TTH45" s="14"/>
      <c r="TTI45" s="10"/>
      <c r="TTJ45" s="125"/>
      <c r="TTK45" s="125"/>
      <c r="TTL45" s="14"/>
      <c r="TTM45" s="15"/>
      <c r="TTN45" s="125"/>
      <c r="TTO45" s="125"/>
      <c r="TTP45" s="14"/>
      <c r="TTQ45" s="15"/>
      <c r="TTR45" s="125"/>
      <c r="TTS45" s="125"/>
      <c r="TTT45" s="14"/>
      <c r="TTU45" s="15"/>
      <c r="TTV45" s="125"/>
      <c r="TTW45" s="125"/>
      <c r="TTX45" s="14"/>
      <c r="TTY45" s="10"/>
      <c r="TTZ45" s="125"/>
      <c r="TUA45" s="125"/>
      <c r="TUB45" s="14"/>
      <c r="TUC45" s="15"/>
      <c r="TUD45" s="125"/>
      <c r="TUE45" s="125"/>
      <c r="TUF45" s="14"/>
      <c r="TUG45" s="15"/>
      <c r="TUH45" s="125"/>
      <c r="TUI45" s="125"/>
      <c r="TUJ45" s="14"/>
      <c r="TUK45" s="15"/>
      <c r="TUL45" s="125"/>
      <c r="TUM45" s="125"/>
      <c r="TUN45" s="14"/>
      <c r="TUO45" s="10"/>
      <c r="TUP45" s="125"/>
      <c r="TUQ45" s="125"/>
      <c r="TUR45" s="14"/>
      <c r="TUS45" s="15"/>
      <c r="TUT45" s="125"/>
      <c r="TUU45" s="125"/>
      <c r="TUV45" s="14"/>
      <c r="TUW45" s="15"/>
      <c r="TUX45" s="125"/>
      <c r="TUY45" s="125"/>
      <c r="TUZ45" s="14"/>
      <c r="TVA45" s="15"/>
      <c r="TVB45" s="125"/>
      <c r="TVC45" s="125"/>
      <c r="TVD45" s="14"/>
      <c r="TVE45" s="10"/>
      <c r="TVF45" s="125"/>
      <c r="TVG45" s="125"/>
      <c r="TVH45" s="14"/>
      <c r="TVI45" s="15"/>
      <c r="TVJ45" s="125"/>
      <c r="TVK45" s="125"/>
      <c r="TVL45" s="14"/>
      <c r="TVM45" s="15"/>
      <c r="TVN45" s="125"/>
      <c r="TVO45" s="125"/>
      <c r="TVP45" s="14"/>
      <c r="TVQ45" s="15"/>
      <c r="TVR45" s="125"/>
      <c r="TVS45" s="125"/>
      <c r="TVT45" s="14"/>
      <c r="TVU45" s="10"/>
      <c r="TVV45" s="125"/>
      <c r="TVW45" s="125"/>
      <c r="TVX45" s="14"/>
      <c r="TVY45" s="15"/>
      <c r="TVZ45" s="125"/>
      <c r="TWA45" s="125"/>
      <c r="TWB45" s="14"/>
      <c r="TWC45" s="15"/>
      <c r="TWD45" s="125"/>
      <c r="TWE45" s="125"/>
      <c r="TWF45" s="14"/>
      <c r="TWG45" s="15"/>
      <c r="TWH45" s="125"/>
      <c r="TWI45" s="125"/>
      <c r="TWJ45" s="14"/>
      <c r="TWK45" s="10"/>
      <c r="TWL45" s="125"/>
      <c r="TWM45" s="125"/>
      <c r="TWN45" s="14"/>
      <c r="TWO45" s="15"/>
      <c r="TWP45" s="125"/>
      <c r="TWQ45" s="125"/>
      <c r="TWR45" s="14"/>
      <c r="TWS45" s="15"/>
      <c r="TWT45" s="125"/>
      <c r="TWU45" s="125"/>
      <c r="TWV45" s="14"/>
      <c r="TWW45" s="15"/>
      <c r="TWX45" s="125"/>
      <c r="TWY45" s="125"/>
      <c r="TWZ45" s="14"/>
      <c r="TXA45" s="10"/>
      <c r="TXB45" s="125"/>
      <c r="TXC45" s="125"/>
      <c r="TXD45" s="14"/>
      <c r="TXE45" s="15"/>
      <c r="TXF45" s="125"/>
      <c r="TXG45" s="125"/>
      <c r="TXH45" s="14"/>
      <c r="TXI45" s="15"/>
      <c r="TXJ45" s="125"/>
      <c r="TXK45" s="125"/>
      <c r="TXL45" s="14"/>
      <c r="TXM45" s="15"/>
      <c r="TXN45" s="125"/>
      <c r="TXO45" s="125"/>
      <c r="TXP45" s="14"/>
      <c r="TXQ45" s="10"/>
      <c r="TXR45" s="125"/>
      <c r="TXS45" s="125"/>
      <c r="TXT45" s="14"/>
      <c r="TXU45" s="15"/>
      <c r="TXV45" s="125"/>
      <c r="TXW45" s="125"/>
      <c r="TXX45" s="14"/>
      <c r="TXY45" s="15"/>
      <c r="TXZ45" s="125"/>
      <c r="TYA45" s="125"/>
      <c r="TYB45" s="14"/>
      <c r="TYC45" s="15"/>
      <c r="TYD45" s="125"/>
      <c r="TYE45" s="125"/>
      <c r="TYF45" s="14"/>
      <c r="TYG45" s="10"/>
      <c r="TYH45" s="125"/>
      <c r="TYI45" s="125"/>
      <c r="TYJ45" s="14"/>
      <c r="TYK45" s="15"/>
      <c r="TYL45" s="125"/>
      <c r="TYM45" s="125"/>
      <c r="TYN45" s="14"/>
      <c r="TYO45" s="15"/>
      <c r="TYP45" s="125"/>
      <c r="TYQ45" s="125"/>
      <c r="TYR45" s="14"/>
      <c r="TYS45" s="15"/>
      <c r="TYT45" s="125"/>
      <c r="TYU45" s="125"/>
      <c r="TYV45" s="14"/>
      <c r="TYW45" s="10"/>
      <c r="TYX45" s="125"/>
      <c r="TYY45" s="125"/>
      <c r="TYZ45" s="14"/>
      <c r="TZA45" s="15"/>
      <c r="TZB45" s="125"/>
      <c r="TZC45" s="125"/>
      <c r="TZD45" s="14"/>
      <c r="TZE45" s="15"/>
      <c r="TZF45" s="125"/>
      <c r="TZG45" s="125"/>
      <c r="TZH45" s="14"/>
      <c r="TZI45" s="15"/>
      <c r="TZJ45" s="125"/>
      <c r="TZK45" s="125"/>
      <c r="TZL45" s="14"/>
      <c r="TZM45" s="10"/>
      <c r="TZN45" s="125"/>
      <c r="TZO45" s="125"/>
      <c r="TZP45" s="14"/>
      <c r="TZQ45" s="15"/>
      <c r="TZR45" s="125"/>
      <c r="TZS45" s="125"/>
      <c r="TZT45" s="14"/>
      <c r="TZU45" s="15"/>
      <c r="TZV45" s="125"/>
      <c r="TZW45" s="125"/>
      <c r="TZX45" s="14"/>
      <c r="TZY45" s="15"/>
      <c r="TZZ45" s="125"/>
      <c r="UAA45" s="125"/>
      <c r="UAB45" s="14"/>
      <c r="UAC45" s="10"/>
      <c r="UAD45" s="125"/>
      <c r="UAE45" s="125"/>
      <c r="UAF45" s="14"/>
      <c r="UAG45" s="15"/>
      <c r="UAH45" s="125"/>
      <c r="UAI45" s="125"/>
      <c r="UAJ45" s="14"/>
      <c r="UAK45" s="15"/>
      <c r="UAL45" s="125"/>
      <c r="UAM45" s="125"/>
      <c r="UAN45" s="14"/>
      <c r="UAO45" s="15"/>
      <c r="UAP45" s="125"/>
      <c r="UAQ45" s="125"/>
      <c r="UAR45" s="14"/>
      <c r="UAS45" s="10"/>
      <c r="UAT45" s="125"/>
      <c r="UAU45" s="125"/>
      <c r="UAV45" s="14"/>
      <c r="UAW45" s="15"/>
      <c r="UAX45" s="125"/>
      <c r="UAY45" s="125"/>
      <c r="UAZ45" s="14"/>
      <c r="UBA45" s="15"/>
      <c r="UBB45" s="125"/>
      <c r="UBC45" s="125"/>
      <c r="UBD45" s="14"/>
      <c r="UBE45" s="15"/>
      <c r="UBF45" s="125"/>
      <c r="UBG45" s="125"/>
      <c r="UBH45" s="14"/>
      <c r="UBI45" s="10"/>
      <c r="UBJ45" s="125"/>
      <c r="UBK45" s="125"/>
      <c r="UBL45" s="14"/>
      <c r="UBM45" s="15"/>
      <c r="UBN45" s="125"/>
      <c r="UBO45" s="125"/>
      <c r="UBP45" s="14"/>
      <c r="UBQ45" s="15"/>
      <c r="UBR45" s="125"/>
      <c r="UBS45" s="125"/>
      <c r="UBT45" s="14"/>
      <c r="UBU45" s="15"/>
      <c r="UBV45" s="125"/>
      <c r="UBW45" s="125"/>
      <c r="UBX45" s="14"/>
      <c r="UBY45" s="10"/>
      <c r="UBZ45" s="125"/>
      <c r="UCA45" s="125"/>
      <c r="UCB45" s="14"/>
      <c r="UCC45" s="15"/>
      <c r="UCD45" s="125"/>
      <c r="UCE45" s="125"/>
      <c r="UCF45" s="14"/>
      <c r="UCG45" s="15"/>
      <c r="UCH45" s="125"/>
      <c r="UCI45" s="125"/>
      <c r="UCJ45" s="14"/>
      <c r="UCK45" s="15"/>
      <c r="UCL45" s="125"/>
      <c r="UCM45" s="125"/>
      <c r="UCN45" s="14"/>
      <c r="UCO45" s="10"/>
      <c r="UCP45" s="125"/>
      <c r="UCQ45" s="125"/>
      <c r="UCR45" s="14"/>
      <c r="UCS45" s="15"/>
      <c r="UCT45" s="125"/>
      <c r="UCU45" s="125"/>
      <c r="UCV45" s="14"/>
      <c r="UCW45" s="15"/>
      <c r="UCX45" s="125"/>
      <c r="UCY45" s="125"/>
      <c r="UCZ45" s="14"/>
      <c r="UDA45" s="15"/>
      <c r="UDB45" s="125"/>
      <c r="UDC45" s="125"/>
      <c r="UDD45" s="14"/>
      <c r="UDE45" s="10"/>
      <c r="UDF45" s="125"/>
      <c r="UDG45" s="125"/>
      <c r="UDH45" s="14"/>
      <c r="UDI45" s="15"/>
      <c r="UDJ45" s="125"/>
      <c r="UDK45" s="125"/>
      <c r="UDL45" s="14"/>
      <c r="UDM45" s="15"/>
      <c r="UDN45" s="125"/>
      <c r="UDO45" s="125"/>
      <c r="UDP45" s="14"/>
      <c r="UDQ45" s="15"/>
      <c r="UDR45" s="125"/>
      <c r="UDS45" s="125"/>
      <c r="UDT45" s="14"/>
      <c r="UDU45" s="10"/>
      <c r="UDV45" s="125"/>
      <c r="UDW45" s="125"/>
      <c r="UDX45" s="14"/>
      <c r="UDY45" s="15"/>
      <c r="UDZ45" s="125"/>
      <c r="UEA45" s="125"/>
      <c r="UEB45" s="14"/>
      <c r="UEC45" s="15"/>
      <c r="UED45" s="125"/>
      <c r="UEE45" s="125"/>
      <c r="UEF45" s="14"/>
      <c r="UEG45" s="15"/>
      <c r="UEH45" s="125"/>
      <c r="UEI45" s="125"/>
      <c r="UEJ45" s="14"/>
      <c r="UEK45" s="10"/>
      <c r="UEL45" s="125"/>
      <c r="UEM45" s="125"/>
      <c r="UEN45" s="14"/>
      <c r="UEO45" s="15"/>
      <c r="UEP45" s="125"/>
      <c r="UEQ45" s="125"/>
      <c r="UER45" s="14"/>
      <c r="UES45" s="15"/>
      <c r="UET45" s="125"/>
      <c r="UEU45" s="125"/>
      <c r="UEV45" s="14"/>
      <c r="UEW45" s="15"/>
      <c r="UEX45" s="125"/>
      <c r="UEY45" s="125"/>
      <c r="UEZ45" s="14"/>
      <c r="UFA45" s="10"/>
      <c r="UFB45" s="125"/>
      <c r="UFC45" s="125"/>
      <c r="UFD45" s="14"/>
      <c r="UFE45" s="15"/>
      <c r="UFF45" s="125"/>
      <c r="UFG45" s="125"/>
      <c r="UFH45" s="14"/>
      <c r="UFI45" s="15"/>
      <c r="UFJ45" s="125"/>
      <c r="UFK45" s="125"/>
      <c r="UFL45" s="14"/>
      <c r="UFM45" s="15"/>
      <c r="UFN45" s="125"/>
      <c r="UFO45" s="125"/>
      <c r="UFP45" s="14"/>
      <c r="UFQ45" s="10"/>
      <c r="UFR45" s="125"/>
      <c r="UFS45" s="125"/>
      <c r="UFT45" s="14"/>
      <c r="UFU45" s="15"/>
      <c r="UFV45" s="125"/>
      <c r="UFW45" s="125"/>
      <c r="UFX45" s="14"/>
      <c r="UFY45" s="15"/>
      <c r="UFZ45" s="125"/>
      <c r="UGA45" s="125"/>
      <c r="UGB45" s="14"/>
      <c r="UGC45" s="15"/>
      <c r="UGD45" s="125"/>
      <c r="UGE45" s="125"/>
      <c r="UGF45" s="14"/>
      <c r="UGG45" s="10"/>
      <c r="UGH45" s="125"/>
      <c r="UGI45" s="125"/>
      <c r="UGJ45" s="14"/>
      <c r="UGK45" s="15"/>
      <c r="UGL45" s="125"/>
      <c r="UGM45" s="125"/>
      <c r="UGN45" s="14"/>
      <c r="UGO45" s="15"/>
      <c r="UGP45" s="125"/>
      <c r="UGQ45" s="125"/>
      <c r="UGR45" s="14"/>
      <c r="UGS45" s="15"/>
      <c r="UGT45" s="125"/>
      <c r="UGU45" s="125"/>
      <c r="UGV45" s="14"/>
      <c r="UGW45" s="10"/>
      <c r="UGX45" s="125"/>
      <c r="UGY45" s="125"/>
      <c r="UGZ45" s="14"/>
      <c r="UHA45" s="15"/>
      <c r="UHB45" s="125"/>
      <c r="UHC45" s="125"/>
      <c r="UHD45" s="14"/>
      <c r="UHE45" s="15"/>
      <c r="UHF45" s="125"/>
      <c r="UHG45" s="125"/>
      <c r="UHH45" s="14"/>
      <c r="UHI45" s="15"/>
      <c r="UHJ45" s="125"/>
      <c r="UHK45" s="125"/>
      <c r="UHL45" s="14"/>
      <c r="UHM45" s="10"/>
      <c r="UHN45" s="125"/>
      <c r="UHO45" s="125"/>
      <c r="UHP45" s="14"/>
      <c r="UHQ45" s="15"/>
      <c r="UHR45" s="125"/>
      <c r="UHS45" s="125"/>
      <c r="UHT45" s="14"/>
      <c r="UHU45" s="15"/>
      <c r="UHV45" s="125"/>
      <c r="UHW45" s="125"/>
      <c r="UHX45" s="14"/>
      <c r="UHY45" s="15"/>
      <c r="UHZ45" s="125"/>
      <c r="UIA45" s="125"/>
      <c r="UIB45" s="14"/>
      <c r="UIC45" s="10"/>
      <c r="UID45" s="125"/>
      <c r="UIE45" s="125"/>
      <c r="UIF45" s="14"/>
      <c r="UIG45" s="15"/>
      <c r="UIH45" s="125"/>
      <c r="UII45" s="125"/>
      <c r="UIJ45" s="14"/>
      <c r="UIK45" s="15"/>
      <c r="UIL45" s="125"/>
      <c r="UIM45" s="125"/>
      <c r="UIN45" s="14"/>
      <c r="UIO45" s="15"/>
      <c r="UIP45" s="125"/>
      <c r="UIQ45" s="125"/>
      <c r="UIR45" s="14"/>
      <c r="UIS45" s="10"/>
      <c r="UIT45" s="125"/>
      <c r="UIU45" s="125"/>
      <c r="UIV45" s="14"/>
      <c r="UIW45" s="15"/>
      <c r="UIX45" s="125"/>
      <c r="UIY45" s="125"/>
      <c r="UIZ45" s="14"/>
      <c r="UJA45" s="15"/>
      <c r="UJB45" s="125"/>
      <c r="UJC45" s="125"/>
      <c r="UJD45" s="14"/>
      <c r="UJE45" s="15"/>
      <c r="UJF45" s="125"/>
      <c r="UJG45" s="125"/>
      <c r="UJH45" s="14"/>
      <c r="UJI45" s="10"/>
      <c r="UJJ45" s="125"/>
      <c r="UJK45" s="125"/>
      <c r="UJL45" s="14"/>
      <c r="UJM45" s="15"/>
      <c r="UJN45" s="125"/>
      <c r="UJO45" s="125"/>
      <c r="UJP45" s="14"/>
      <c r="UJQ45" s="15"/>
      <c r="UJR45" s="125"/>
      <c r="UJS45" s="125"/>
      <c r="UJT45" s="14"/>
      <c r="UJU45" s="15"/>
      <c r="UJV45" s="125"/>
      <c r="UJW45" s="125"/>
      <c r="UJX45" s="14"/>
      <c r="UJY45" s="10"/>
      <c r="UJZ45" s="125"/>
      <c r="UKA45" s="125"/>
      <c r="UKB45" s="14"/>
      <c r="UKC45" s="15"/>
      <c r="UKD45" s="125"/>
      <c r="UKE45" s="125"/>
      <c r="UKF45" s="14"/>
      <c r="UKG45" s="15"/>
      <c r="UKH45" s="125"/>
      <c r="UKI45" s="125"/>
      <c r="UKJ45" s="14"/>
      <c r="UKK45" s="15"/>
      <c r="UKL45" s="125"/>
      <c r="UKM45" s="125"/>
      <c r="UKN45" s="14"/>
      <c r="UKO45" s="10"/>
      <c r="UKP45" s="125"/>
      <c r="UKQ45" s="125"/>
      <c r="UKR45" s="14"/>
      <c r="UKS45" s="15"/>
      <c r="UKT45" s="125"/>
      <c r="UKU45" s="125"/>
      <c r="UKV45" s="14"/>
      <c r="UKW45" s="15"/>
      <c r="UKX45" s="125"/>
      <c r="UKY45" s="125"/>
      <c r="UKZ45" s="14"/>
      <c r="ULA45" s="15"/>
      <c r="ULB45" s="125"/>
      <c r="ULC45" s="125"/>
      <c r="ULD45" s="14"/>
      <c r="ULE45" s="10"/>
      <c r="ULF45" s="125"/>
      <c r="ULG45" s="125"/>
      <c r="ULH45" s="14"/>
      <c r="ULI45" s="15"/>
      <c r="ULJ45" s="125"/>
      <c r="ULK45" s="125"/>
      <c r="ULL45" s="14"/>
      <c r="ULM45" s="15"/>
      <c r="ULN45" s="125"/>
      <c r="ULO45" s="125"/>
      <c r="ULP45" s="14"/>
      <c r="ULQ45" s="15"/>
      <c r="ULR45" s="125"/>
      <c r="ULS45" s="125"/>
      <c r="ULT45" s="14"/>
      <c r="ULU45" s="10"/>
      <c r="ULV45" s="125"/>
      <c r="ULW45" s="125"/>
      <c r="ULX45" s="14"/>
      <c r="ULY45" s="15"/>
      <c r="ULZ45" s="125"/>
      <c r="UMA45" s="125"/>
      <c r="UMB45" s="14"/>
      <c r="UMC45" s="15"/>
      <c r="UMD45" s="125"/>
      <c r="UME45" s="125"/>
      <c r="UMF45" s="14"/>
      <c r="UMG45" s="15"/>
      <c r="UMH45" s="125"/>
      <c r="UMI45" s="125"/>
      <c r="UMJ45" s="14"/>
      <c r="UMK45" s="10"/>
      <c r="UML45" s="125"/>
      <c r="UMM45" s="125"/>
      <c r="UMN45" s="14"/>
      <c r="UMO45" s="15"/>
      <c r="UMP45" s="125"/>
      <c r="UMQ45" s="125"/>
      <c r="UMR45" s="14"/>
      <c r="UMS45" s="15"/>
      <c r="UMT45" s="125"/>
      <c r="UMU45" s="125"/>
      <c r="UMV45" s="14"/>
      <c r="UMW45" s="15"/>
      <c r="UMX45" s="125"/>
      <c r="UMY45" s="125"/>
      <c r="UMZ45" s="14"/>
      <c r="UNA45" s="10"/>
      <c r="UNB45" s="125"/>
      <c r="UNC45" s="125"/>
      <c r="UND45" s="14"/>
      <c r="UNE45" s="15"/>
      <c r="UNF45" s="125"/>
      <c r="UNG45" s="125"/>
      <c r="UNH45" s="14"/>
      <c r="UNI45" s="15"/>
      <c r="UNJ45" s="125"/>
      <c r="UNK45" s="125"/>
      <c r="UNL45" s="14"/>
      <c r="UNM45" s="15"/>
      <c r="UNN45" s="125"/>
      <c r="UNO45" s="125"/>
      <c r="UNP45" s="14"/>
      <c r="UNQ45" s="10"/>
      <c r="UNR45" s="125"/>
      <c r="UNS45" s="125"/>
      <c r="UNT45" s="14"/>
      <c r="UNU45" s="15"/>
      <c r="UNV45" s="125"/>
      <c r="UNW45" s="125"/>
      <c r="UNX45" s="14"/>
      <c r="UNY45" s="15"/>
      <c r="UNZ45" s="125"/>
      <c r="UOA45" s="125"/>
      <c r="UOB45" s="14"/>
      <c r="UOC45" s="15"/>
      <c r="UOD45" s="125"/>
      <c r="UOE45" s="125"/>
      <c r="UOF45" s="14"/>
      <c r="UOG45" s="10"/>
      <c r="UOH45" s="125"/>
      <c r="UOI45" s="125"/>
      <c r="UOJ45" s="14"/>
      <c r="UOK45" s="15"/>
      <c r="UOL45" s="125"/>
      <c r="UOM45" s="125"/>
      <c r="UON45" s="14"/>
      <c r="UOO45" s="15"/>
      <c r="UOP45" s="125"/>
      <c r="UOQ45" s="125"/>
      <c r="UOR45" s="14"/>
      <c r="UOS45" s="15"/>
      <c r="UOT45" s="125"/>
      <c r="UOU45" s="125"/>
      <c r="UOV45" s="14"/>
      <c r="UOW45" s="10"/>
      <c r="UOX45" s="125"/>
      <c r="UOY45" s="125"/>
      <c r="UOZ45" s="14"/>
      <c r="UPA45" s="15"/>
      <c r="UPB45" s="125"/>
      <c r="UPC45" s="125"/>
      <c r="UPD45" s="14"/>
      <c r="UPE45" s="15"/>
      <c r="UPF45" s="125"/>
      <c r="UPG45" s="125"/>
      <c r="UPH45" s="14"/>
      <c r="UPI45" s="15"/>
      <c r="UPJ45" s="125"/>
      <c r="UPK45" s="125"/>
      <c r="UPL45" s="14"/>
      <c r="UPM45" s="10"/>
      <c r="UPN45" s="125"/>
      <c r="UPO45" s="125"/>
      <c r="UPP45" s="14"/>
      <c r="UPQ45" s="15"/>
      <c r="UPR45" s="125"/>
      <c r="UPS45" s="125"/>
      <c r="UPT45" s="14"/>
      <c r="UPU45" s="15"/>
      <c r="UPV45" s="125"/>
      <c r="UPW45" s="125"/>
      <c r="UPX45" s="14"/>
      <c r="UPY45" s="15"/>
      <c r="UPZ45" s="125"/>
      <c r="UQA45" s="125"/>
      <c r="UQB45" s="14"/>
      <c r="UQC45" s="10"/>
      <c r="UQD45" s="125"/>
      <c r="UQE45" s="125"/>
      <c r="UQF45" s="14"/>
      <c r="UQG45" s="15"/>
      <c r="UQH45" s="125"/>
      <c r="UQI45" s="125"/>
      <c r="UQJ45" s="14"/>
      <c r="UQK45" s="15"/>
      <c r="UQL45" s="125"/>
      <c r="UQM45" s="125"/>
      <c r="UQN45" s="14"/>
      <c r="UQO45" s="15"/>
      <c r="UQP45" s="125"/>
      <c r="UQQ45" s="125"/>
      <c r="UQR45" s="14"/>
      <c r="UQS45" s="10"/>
      <c r="UQT45" s="125"/>
      <c r="UQU45" s="125"/>
      <c r="UQV45" s="14"/>
      <c r="UQW45" s="15"/>
      <c r="UQX45" s="125"/>
      <c r="UQY45" s="125"/>
      <c r="UQZ45" s="14"/>
      <c r="URA45" s="15"/>
      <c r="URB45" s="125"/>
      <c r="URC45" s="125"/>
      <c r="URD45" s="14"/>
      <c r="URE45" s="15"/>
      <c r="URF45" s="125"/>
      <c r="URG45" s="125"/>
      <c r="URH45" s="14"/>
      <c r="URI45" s="10"/>
      <c r="URJ45" s="125"/>
      <c r="URK45" s="125"/>
      <c r="URL45" s="14"/>
      <c r="URM45" s="15"/>
      <c r="URN45" s="125"/>
      <c r="URO45" s="125"/>
      <c r="URP45" s="14"/>
      <c r="URQ45" s="15"/>
      <c r="URR45" s="125"/>
      <c r="URS45" s="125"/>
      <c r="URT45" s="14"/>
      <c r="URU45" s="15"/>
      <c r="URV45" s="125"/>
      <c r="URW45" s="125"/>
      <c r="URX45" s="14"/>
      <c r="URY45" s="10"/>
      <c r="URZ45" s="125"/>
      <c r="USA45" s="125"/>
      <c r="USB45" s="14"/>
      <c r="USC45" s="15"/>
      <c r="USD45" s="125"/>
      <c r="USE45" s="125"/>
      <c r="USF45" s="14"/>
      <c r="USG45" s="15"/>
      <c r="USH45" s="125"/>
      <c r="USI45" s="125"/>
      <c r="USJ45" s="14"/>
      <c r="USK45" s="15"/>
      <c r="USL45" s="125"/>
      <c r="USM45" s="125"/>
      <c r="USN45" s="14"/>
      <c r="USO45" s="10"/>
      <c r="USP45" s="125"/>
      <c r="USQ45" s="125"/>
      <c r="USR45" s="14"/>
      <c r="USS45" s="15"/>
      <c r="UST45" s="125"/>
      <c r="USU45" s="125"/>
      <c r="USV45" s="14"/>
      <c r="USW45" s="15"/>
      <c r="USX45" s="125"/>
      <c r="USY45" s="125"/>
      <c r="USZ45" s="14"/>
      <c r="UTA45" s="15"/>
      <c r="UTB45" s="125"/>
      <c r="UTC45" s="125"/>
      <c r="UTD45" s="14"/>
      <c r="UTE45" s="10"/>
      <c r="UTF45" s="125"/>
      <c r="UTG45" s="125"/>
      <c r="UTH45" s="14"/>
      <c r="UTI45" s="15"/>
      <c r="UTJ45" s="125"/>
      <c r="UTK45" s="125"/>
      <c r="UTL45" s="14"/>
      <c r="UTM45" s="15"/>
      <c r="UTN45" s="125"/>
      <c r="UTO45" s="125"/>
      <c r="UTP45" s="14"/>
      <c r="UTQ45" s="15"/>
      <c r="UTR45" s="125"/>
      <c r="UTS45" s="125"/>
      <c r="UTT45" s="14"/>
      <c r="UTU45" s="10"/>
      <c r="UTV45" s="125"/>
      <c r="UTW45" s="125"/>
      <c r="UTX45" s="14"/>
      <c r="UTY45" s="15"/>
      <c r="UTZ45" s="125"/>
      <c r="UUA45" s="125"/>
      <c r="UUB45" s="14"/>
      <c r="UUC45" s="15"/>
      <c r="UUD45" s="125"/>
      <c r="UUE45" s="125"/>
      <c r="UUF45" s="14"/>
      <c r="UUG45" s="15"/>
      <c r="UUH45" s="125"/>
      <c r="UUI45" s="125"/>
      <c r="UUJ45" s="14"/>
      <c r="UUK45" s="10"/>
      <c r="UUL45" s="125"/>
      <c r="UUM45" s="125"/>
      <c r="UUN45" s="14"/>
      <c r="UUO45" s="15"/>
      <c r="UUP45" s="125"/>
      <c r="UUQ45" s="125"/>
      <c r="UUR45" s="14"/>
      <c r="UUS45" s="15"/>
      <c r="UUT45" s="125"/>
      <c r="UUU45" s="125"/>
      <c r="UUV45" s="14"/>
      <c r="UUW45" s="15"/>
      <c r="UUX45" s="125"/>
      <c r="UUY45" s="125"/>
      <c r="UUZ45" s="14"/>
      <c r="UVA45" s="10"/>
      <c r="UVB45" s="125"/>
      <c r="UVC45" s="125"/>
      <c r="UVD45" s="14"/>
      <c r="UVE45" s="15"/>
      <c r="UVF45" s="125"/>
      <c r="UVG45" s="125"/>
      <c r="UVH45" s="14"/>
      <c r="UVI45" s="15"/>
      <c r="UVJ45" s="125"/>
      <c r="UVK45" s="125"/>
      <c r="UVL45" s="14"/>
      <c r="UVM45" s="15"/>
      <c r="UVN45" s="125"/>
      <c r="UVO45" s="125"/>
      <c r="UVP45" s="14"/>
      <c r="UVQ45" s="10"/>
      <c r="UVR45" s="125"/>
      <c r="UVS45" s="125"/>
      <c r="UVT45" s="14"/>
      <c r="UVU45" s="15"/>
      <c r="UVV45" s="125"/>
      <c r="UVW45" s="125"/>
      <c r="UVX45" s="14"/>
      <c r="UVY45" s="15"/>
      <c r="UVZ45" s="125"/>
      <c r="UWA45" s="125"/>
      <c r="UWB45" s="14"/>
      <c r="UWC45" s="15"/>
      <c r="UWD45" s="125"/>
      <c r="UWE45" s="125"/>
      <c r="UWF45" s="14"/>
      <c r="UWG45" s="10"/>
      <c r="UWH45" s="125"/>
      <c r="UWI45" s="125"/>
      <c r="UWJ45" s="14"/>
      <c r="UWK45" s="15"/>
      <c r="UWL45" s="125"/>
      <c r="UWM45" s="125"/>
      <c r="UWN45" s="14"/>
      <c r="UWO45" s="15"/>
      <c r="UWP45" s="125"/>
      <c r="UWQ45" s="125"/>
      <c r="UWR45" s="14"/>
      <c r="UWS45" s="15"/>
      <c r="UWT45" s="125"/>
      <c r="UWU45" s="125"/>
      <c r="UWV45" s="14"/>
      <c r="UWW45" s="10"/>
      <c r="UWX45" s="125"/>
      <c r="UWY45" s="125"/>
      <c r="UWZ45" s="14"/>
      <c r="UXA45" s="15"/>
      <c r="UXB45" s="125"/>
      <c r="UXC45" s="125"/>
      <c r="UXD45" s="14"/>
      <c r="UXE45" s="15"/>
      <c r="UXF45" s="125"/>
      <c r="UXG45" s="125"/>
      <c r="UXH45" s="14"/>
      <c r="UXI45" s="15"/>
      <c r="UXJ45" s="125"/>
      <c r="UXK45" s="125"/>
      <c r="UXL45" s="14"/>
      <c r="UXM45" s="10"/>
      <c r="UXN45" s="125"/>
      <c r="UXO45" s="125"/>
      <c r="UXP45" s="14"/>
      <c r="UXQ45" s="15"/>
      <c r="UXR45" s="125"/>
      <c r="UXS45" s="125"/>
      <c r="UXT45" s="14"/>
      <c r="UXU45" s="15"/>
      <c r="UXV45" s="125"/>
      <c r="UXW45" s="125"/>
      <c r="UXX45" s="14"/>
      <c r="UXY45" s="15"/>
      <c r="UXZ45" s="125"/>
      <c r="UYA45" s="125"/>
      <c r="UYB45" s="14"/>
      <c r="UYC45" s="10"/>
      <c r="UYD45" s="125"/>
      <c r="UYE45" s="125"/>
      <c r="UYF45" s="14"/>
      <c r="UYG45" s="15"/>
      <c r="UYH45" s="125"/>
      <c r="UYI45" s="125"/>
      <c r="UYJ45" s="14"/>
      <c r="UYK45" s="15"/>
      <c r="UYL45" s="125"/>
      <c r="UYM45" s="125"/>
      <c r="UYN45" s="14"/>
      <c r="UYO45" s="15"/>
      <c r="UYP45" s="125"/>
      <c r="UYQ45" s="125"/>
      <c r="UYR45" s="14"/>
      <c r="UYS45" s="10"/>
      <c r="UYT45" s="125"/>
      <c r="UYU45" s="125"/>
      <c r="UYV45" s="14"/>
      <c r="UYW45" s="15"/>
      <c r="UYX45" s="125"/>
      <c r="UYY45" s="125"/>
      <c r="UYZ45" s="14"/>
      <c r="UZA45" s="15"/>
      <c r="UZB45" s="125"/>
      <c r="UZC45" s="125"/>
      <c r="UZD45" s="14"/>
      <c r="UZE45" s="15"/>
      <c r="UZF45" s="125"/>
      <c r="UZG45" s="125"/>
      <c r="UZH45" s="14"/>
      <c r="UZI45" s="10"/>
      <c r="UZJ45" s="125"/>
      <c r="UZK45" s="125"/>
      <c r="UZL45" s="14"/>
      <c r="UZM45" s="15"/>
      <c r="UZN45" s="125"/>
      <c r="UZO45" s="125"/>
      <c r="UZP45" s="14"/>
      <c r="UZQ45" s="15"/>
      <c r="UZR45" s="125"/>
      <c r="UZS45" s="125"/>
      <c r="UZT45" s="14"/>
      <c r="UZU45" s="15"/>
      <c r="UZV45" s="125"/>
      <c r="UZW45" s="125"/>
      <c r="UZX45" s="14"/>
      <c r="UZY45" s="10"/>
      <c r="UZZ45" s="125"/>
      <c r="VAA45" s="125"/>
      <c r="VAB45" s="14"/>
      <c r="VAC45" s="15"/>
      <c r="VAD45" s="125"/>
      <c r="VAE45" s="125"/>
      <c r="VAF45" s="14"/>
      <c r="VAG45" s="15"/>
      <c r="VAH45" s="125"/>
      <c r="VAI45" s="125"/>
      <c r="VAJ45" s="14"/>
      <c r="VAK45" s="15"/>
      <c r="VAL45" s="125"/>
      <c r="VAM45" s="125"/>
      <c r="VAN45" s="14"/>
      <c r="VAO45" s="10"/>
      <c r="VAP45" s="125"/>
      <c r="VAQ45" s="125"/>
      <c r="VAR45" s="14"/>
      <c r="VAS45" s="15"/>
      <c r="VAT45" s="125"/>
      <c r="VAU45" s="125"/>
      <c r="VAV45" s="14"/>
      <c r="VAW45" s="15"/>
      <c r="VAX45" s="125"/>
      <c r="VAY45" s="125"/>
      <c r="VAZ45" s="14"/>
      <c r="VBA45" s="15"/>
      <c r="VBB45" s="125"/>
      <c r="VBC45" s="125"/>
      <c r="VBD45" s="14"/>
      <c r="VBE45" s="10"/>
      <c r="VBF45" s="125"/>
      <c r="VBG45" s="125"/>
      <c r="VBH45" s="14"/>
      <c r="VBI45" s="15"/>
      <c r="VBJ45" s="125"/>
      <c r="VBK45" s="125"/>
      <c r="VBL45" s="14"/>
      <c r="VBM45" s="15"/>
      <c r="VBN45" s="125"/>
      <c r="VBO45" s="125"/>
      <c r="VBP45" s="14"/>
      <c r="VBQ45" s="15"/>
      <c r="VBR45" s="125"/>
      <c r="VBS45" s="125"/>
      <c r="VBT45" s="14"/>
      <c r="VBU45" s="10"/>
      <c r="VBV45" s="125"/>
      <c r="VBW45" s="125"/>
      <c r="VBX45" s="14"/>
      <c r="VBY45" s="15"/>
      <c r="VBZ45" s="125"/>
      <c r="VCA45" s="125"/>
      <c r="VCB45" s="14"/>
      <c r="VCC45" s="15"/>
      <c r="VCD45" s="125"/>
      <c r="VCE45" s="125"/>
      <c r="VCF45" s="14"/>
      <c r="VCG45" s="15"/>
      <c r="VCH45" s="125"/>
      <c r="VCI45" s="125"/>
      <c r="VCJ45" s="14"/>
      <c r="VCK45" s="10"/>
      <c r="VCL45" s="125"/>
      <c r="VCM45" s="125"/>
      <c r="VCN45" s="14"/>
      <c r="VCO45" s="15"/>
      <c r="VCP45" s="125"/>
      <c r="VCQ45" s="125"/>
      <c r="VCR45" s="14"/>
      <c r="VCS45" s="15"/>
      <c r="VCT45" s="125"/>
      <c r="VCU45" s="125"/>
      <c r="VCV45" s="14"/>
      <c r="VCW45" s="15"/>
      <c r="VCX45" s="125"/>
      <c r="VCY45" s="125"/>
      <c r="VCZ45" s="14"/>
      <c r="VDA45" s="10"/>
      <c r="VDB45" s="125"/>
      <c r="VDC45" s="125"/>
      <c r="VDD45" s="14"/>
      <c r="VDE45" s="15"/>
      <c r="VDF45" s="125"/>
      <c r="VDG45" s="125"/>
      <c r="VDH45" s="14"/>
      <c r="VDI45" s="15"/>
      <c r="VDJ45" s="125"/>
      <c r="VDK45" s="125"/>
      <c r="VDL45" s="14"/>
      <c r="VDM45" s="15"/>
      <c r="VDN45" s="125"/>
      <c r="VDO45" s="125"/>
      <c r="VDP45" s="14"/>
      <c r="VDQ45" s="10"/>
      <c r="VDR45" s="125"/>
      <c r="VDS45" s="125"/>
      <c r="VDT45" s="14"/>
      <c r="VDU45" s="15"/>
      <c r="VDV45" s="125"/>
      <c r="VDW45" s="125"/>
      <c r="VDX45" s="14"/>
      <c r="VDY45" s="15"/>
      <c r="VDZ45" s="125"/>
      <c r="VEA45" s="125"/>
      <c r="VEB45" s="14"/>
      <c r="VEC45" s="15"/>
      <c r="VED45" s="125"/>
      <c r="VEE45" s="125"/>
      <c r="VEF45" s="14"/>
      <c r="VEG45" s="10"/>
      <c r="VEH45" s="125"/>
      <c r="VEI45" s="125"/>
      <c r="VEJ45" s="14"/>
      <c r="VEK45" s="15"/>
      <c r="VEL45" s="125"/>
      <c r="VEM45" s="125"/>
      <c r="VEN45" s="14"/>
      <c r="VEO45" s="15"/>
      <c r="VEP45" s="125"/>
      <c r="VEQ45" s="125"/>
      <c r="VER45" s="14"/>
      <c r="VES45" s="15"/>
      <c r="VET45" s="125"/>
      <c r="VEU45" s="125"/>
      <c r="VEV45" s="14"/>
      <c r="VEW45" s="10"/>
      <c r="VEX45" s="125"/>
      <c r="VEY45" s="125"/>
      <c r="VEZ45" s="14"/>
      <c r="VFA45" s="15"/>
      <c r="VFB45" s="125"/>
      <c r="VFC45" s="125"/>
      <c r="VFD45" s="14"/>
      <c r="VFE45" s="15"/>
      <c r="VFF45" s="125"/>
      <c r="VFG45" s="125"/>
      <c r="VFH45" s="14"/>
      <c r="VFI45" s="15"/>
      <c r="VFJ45" s="125"/>
      <c r="VFK45" s="125"/>
      <c r="VFL45" s="14"/>
      <c r="VFM45" s="10"/>
      <c r="VFN45" s="125"/>
      <c r="VFO45" s="125"/>
      <c r="VFP45" s="14"/>
      <c r="VFQ45" s="15"/>
      <c r="VFR45" s="125"/>
      <c r="VFS45" s="125"/>
      <c r="VFT45" s="14"/>
      <c r="VFU45" s="15"/>
      <c r="VFV45" s="125"/>
      <c r="VFW45" s="125"/>
      <c r="VFX45" s="14"/>
      <c r="VFY45" s="15"/>
      <c r="VFZ45" s="125"/>
      <c r="VGA45" s="125"/>
      <c r="VGB45" s="14"/>
      <c r="VGC45" s="10"/>
      <c r="VGD45" s="125"/>
      <c r="VGE45" s="125"/>
      <c r="VGF45" s="14"/>
      <c r="VGG45" s="15"/>
      <c r="VGH45" s="125"/>
      <c r="VGI45" s="125"/>
      <c r="VGJ45" s="14"/>
      <c r="VGK45" s="15"/>
      <c r="VGL45" s="125"/>
      <c r="VGM45" s="125"/>
      <c r="VGN45" s="14"/>
      <c r="VGO45" s="15"/>
      <c r="VGP45" s="125"/>
      <c r="VGQ45" s="125"/>
      <c r="VGR45" s="14"/>
      <c r="VGS45" s="10"/>
      <c r="VGT45" s="125"/>
      <c r="VGU45" s="125"/>
      <c r="VGV45" s="14"/>
      <c r="VGW45" s="15"/>
      <c r="VGX45" s="125"/>
      <c r="VGY45" s="125"/>
      <c r="VGZ45" s="14"/>
      <c r="VHA45" s="15"/>
      <c r="VHB45" s="125"/>
      <c r="VHC45" s="125"/>
      <c r="VHD45" s="14"/>
      <c r="VHE45" s="15"/>
      <c r="VHF45" s="125"/>
      <c r="VHG45" s="125"/>
      <c r="VHH45" s="14"/>
      <c r="VHI45" s="10"/>
      <c r="VHJ45" s="125"/>
      <c r="VHK45" s="125"/>
      <c r="VHL45" s="14"/>
      <c r="VHM45" s="15"/>
      <c r="VHN45" s="125"/>
      <c r="VHO45" s="125"/>
      <c r="VHP45" s="14"/>
      <c r="VHQ45" s="15"/>
      <c r="VHR45" s="125"/>
      <c r="VHS45" s="125"/>
      <c r="VHT45" s="14"/>
      <c r="VHU45" s="15"/>
      <c r="VHV45" s="125"/>
      <c r="VHW45" s="125"/>
      <c r="VHX45" s="14"/>
      <c r="VHY45" s="10"/>
      <c r="VHZ45" s="125"/>
      <c r="VIA45" s="125"/>
      <c r="VIB45" s="14"/>
      <c r="VIC45" s="15"/>
      <c r="VID45" s="125"/>
      <c r="VIE45" s="125"/>
      <c r="VIF45" s="14"/>
      <c r="VIG45" s="15"/>
      <c r="VIH45" s="125"/>
      <c r="VII45" s="125"/>
      <c r="VIJ45" s="14"/>
      <c r="VIK45" s="15"/>
      <c r="VIL45" s="125"/>
      <c r="VIM45" s="125"/>
      <c r="VIN45" s="14"/>
      <c r="VIO45" s="10"/>
      <c r="VIP45" s="125"/>
      <c r="VIQ45" s="125"/>
      <c r="VIR45" s="14"/>
      <c r="VIS45" s="15"/>
      <c r="VIT45" s="125"/>
      <c r="VIU45" s="125"/>
      <c r="VIV45" s="14"/>
      <c r="VIW45" s="15"/>
      <c r="VIX45" s="125"/>
      <c r="VIY45" s="125"/>
      <c r="VIZ45" s="14"/>
      <c r="VJA45" s="15"/>
      <c r="VJB45" s="125"/>
      <c r="VJC45" s="125"/>
      <c r="VJD45" s="14"/>
      <c r="VJE45" s="10"/>
      <c r="VJF45" s="125"/>
      <c r="VJG45" s="125"/>
      <c r="VJH45" s="14"/>
      <c r="VJI45" s="15"/>
      <c r="VJJ45" s="125"/>
      <c r="VJK45" s="125"/>
      <c r="VJL45" s="14"/>
      <c r="VJM45" s="15"/>
      <c r="VJN45" s="125"/>
      <c r="VJO45" s="125"/>
      <c r="VJP45" s="14"/>
      <c r="VJQ45" s="15"/>
      <c r="VJR45" s="125"/>
      <c r="VJS45" s="125"/>
      <c r="VJT45" s="14"/>
      <c r="VJU45" s="10"/>
      <c r="VJV45" s="125"/>
      <c r="VJW45" s="125"/>
      <c r="VJX45" s="14"/>
      <c r="VJY45" s="15"/>
      <c r="VJZ45" s="125"/>
      <c r="VKA45" s="125"/>
      <c r="VKB45" s="14"/>
      <c r="VKC45" s="15"/>
      <c r="VKD45" s="125"/>
      <c r="VKE45" s="125"/>
      <c r="VKF45" s="14"/>
      <c r="VKG45" s="15"/>
      <c r="VKH45" s="125"/>
      <c r="VKI45" s="125"/>
      <c r="VKJ45" s="14"/>
      <c r="VKK45" s="10"/>
      <c r="VKL45" s="125"/>
      <c r="VKM45" s="125"/>
      <c r="VKN45" s="14"/>
      <c r="VKO45" s="15"/>
      <c r="VKP45" s="125"/>
      <c r="VKQ45" s="125"/>
      <c r="VKR45" s="14"/>
      <c r="VKS45" s="15"/>
      <c r="VKT45" s="125"/>
      <c r="VKU45" s="125"/>
      <c r="VKV45" s="14"/>
      <c r="VKW45" s="15"/>
      <c r="VKX45" s="125"/>
      <c r="VKY45" s="125"/>
      <c r="VKZ45" s="14"/>
      <c r="VLA45" s="10"/>
      <c r="VLB45" s="125"/>
      <c r="VLC45" s="125"/>
      <c r="VLD45" s="14"/>
      <c r="VLE45" s="15"/>
      <c r="VLF45" s="125"/>
      <c r="VLG45" s="125"/>
      <c r="VLH45" s="14"/>
      <c r="VLI45" s="15"/>
      <c r="VLJ45" s="125"/>
      <c r="VLK45" s="125"/>
      <c r="VLL45" s="14"/>
      <c r="VLM45" s="15"/>
      <c r="VLN45" s="125"/>
      <c r="VLO45" s="125"/>
      <c r="VLP45" s="14"/>
      <c r="VLQ45" s="10"/>
      <c r="VLR45" s="125"/>
      <c r="VLS45" s="125"/>
      <c r="VLT45" s="14"/>
      <c r="VLU45" s="15"/>
      <c r="VLV45" s="125"/>
      <c r="VLW45" s="125"/>
      <c r="VLX45" s="14"/>
      <c r="VLY45" s="15"/>
      <c r="VLZ45" s="125"/>
      <c r="VMA45" s="125"/>
      <c r="VMB45" s="14"/>
      <c r="VMC45" s="15"/>
      <c r="VMD45" s="125"/>
      <c r="VME45" s="125"/>
      <c r="VMF45" s="14"/>
      <c r="VMG45" s="10"/>
      <c r="VMH45" s="125"/>
      <c r="VMI45" s="125"/>
      <c r="VMJ45" s="14"/>
      <c r="VMK45" s="15"/>
      <c r="VML45" s="125"/>
      <c r="VMM45" s="125"/>
      <c r="VMN45" s="14"/>
      <c r="VMO45" s="15"/>
      <c r="VMP45" s="125"/>
      <c r="VMQ45" s="125"/>
      <c r="VMR45" s="14"/>
      <c r="VMS45" s="15"/>
      <c r="VMT45" s="125"/>
      <c r="VMU45" s="125"/>
      <c r="VMV45" s="14"/>
      <c r="VMW45" s="10"/>
      <c r="VMX45" s="125"/>
      <c r="VMY45" s="125"/>
      <c r="VMZ45" s="14"/>
      <c r="VNA45" s="15"/>
      <c r="VNB45" s="125"/>
      <c r="VNC45" s="125"/>
      <c r="VND45" s="14"/>
      <c r="VNE45" s="15"/>
      <c r="VNF45" s="125"/>
      <c r="VNG45" s="125"/>
      <c r="VNH45" s="14"/>
      <c r="VNI45" s="15"/>
      <c r="VNJ45" s="125"/>
      <c r="VNK45" s="125"/>
      <c r="VNL45" s="14"/>
      <c r="VNM45" s="10"/>
      <c r="VNN45" s="125"/>
      <c r="VNO45" s="125"/>
      <c r="VNP45" s="14"/>
      <c r="VNQ45" s="15"/>
      <c r="VNR45" s="125"/>
      <c r="VNS45" s="125"/>
      <c r="VNT45" s="14"/>
      <c r="VNU45" s="15"/>
      <c r="VNV45" s="125"/>
      <c r="VNW45" s="125"/>
      <c r="VNX45" s="14"/>
      <c r="VNY45" s="15"/>
      <c r="VNZ45" s="125"/>
      <c r="VOA45" s="125"/>
      <c r="VOB45" s="14"/>
      <c r="VOC45" s="10"/>
      <c r="VOD45" s="125"/>
      <c r="VOE45" s="125"/>
      <c r="VOF45" s="14"/>
      <c r="VOG45" s="15"/>
      <c r="VOH45" s="125"/>
      <c r="VOI45" s="125"/>
      <c r="VOJ45" s="14"/>
      <c r="VOK45" s="15"/>
      <c r="VOL45" s="125"/>
      <c r="VOM45" s="125"/>
      <c r="VON45" s="14"/>
      <c r="VOO45" s="15"/>
      <c r="VOP45" s="125"/>
      <c r="VOQ45" s="125"/>
      <c r="VOR45" s="14"/>
      <c r="VOS45" s="10"/>
      <c r="VOT45" s="125"/>
      <c r="VOU45" s="125"/>
      <c r="VOV45" s="14"/>
      <c r="VOW45" s="15"/>
      <c r="VOX45" s="125"/>
      <c r="VOY45" s="125"/>
      <c r="VOZ45" s="14"/>
      <c r="VPA45" s="15"/>
      <c r="VPB45" s="125"/>
      <c r="VPC45" s="125"/>
      <c r="VPD45" s="14"/>
      <c r="VPE45" s="15"/>
      <c r="VPF45" s="125"/>
      <c r="VPG45" s="125"/>
      <c r="VPH45" s="14"/>
      <c r="VPI45" s="10"/>
      <c r="VPJ45" s="125"/>
      <c r="VPK45" s="125"/>
      <c r="VPL45" s="14"/>
      <c r="VPM45" s="15"/>
      <c r="VPN45" s="125"/>
      <c r="VPO45" s="125"/>
      <c r="VPP45" s="14"/>
      <c r="VPQ45" s="15"/>
      <c r="VPR45" s="125"/>
      <c r="VPS45" s="125"/>
      <c r="VPT45" s="14"/>
      <c r="VPU45" s="15"/>
      <c r="VPV45" s="125"/>
      <c r="VPW45" s="125"/>
      <c r="VPX45" s="14"/>
      <c r="VPY45" s="10"/>
      <c r="VPZ45" s="125"/>
      <c r="VQA45" s="125"/>
      <c r="VQB45" s="14"/>
      <c r="VQC45" s="15"/>
      <c r="VQD45" s="125"/>
      <c r="VQE45" s="125"/>
      <c r="VQF45" s="14"/>
      <c r="VQG45" s="15"/>
      <c r="VQH45" s="125"/>
      <c r="VQI45" s="125"/>
      <c r="VQJ45" s="14"/>
      <c r="VQK45" s="15"/>
      <c r="VQL45" s="125"/>
      <c r="VQM45" s="125"/>
      <c r="VQN45" s="14"/>
      <c r="VQO45" s="10"/>
      <c r="VQP45" s="125"/>
      <c r="VQQ45" s="125"/>
      <c r="VQR45" s="14"/>
      <c r="VQS45" s="15"/>
      <c r="VQT45" s="125"/>
      <c r="VQU45" s="125"/>
      <c r="VQV45" s="14"/>
      <c r="VQW45" s="15"/>
      <c r="VQX45" s="125"/>
      <c r="VQY45" s="125"/>
      <c r="VQZ45" s="14"/>
      <c r="VRA45" s="15"/>
      <c r="VRB45" s="125"/>
      <c r="VRC45" s="125"/>
      <c r="VRD45" s="14"/>
      <c r="VRE45" s="10"/>
      <c r="VRF45" s="125"/>
      <c r="VRG45" s="125"/>
      <c r="VRH45" s="14"/>
      <c r="VRI45" s="15"/>
      <c r="VRJ45" s="125"/>
      <c r="VRK45" s="125"/>
      <c r="VRL45" s="14"/>
      <c r="VRM45" s="15"/>
      <c r="VRN45" s="125"/>
      <c r="VRO45" s="125"/>
      <c r="VRP45" s="14"/>
      <c r="VRQ45" s="15"/>
      <c r="VRR45" s="125"/>
      <c r="VRS45" s="125"/>
      <c r="VRT45" s="14"/>
      <c r="VRU45" s="10"/>
      <c r="VRV45" s="125"/>
      <c r="VRW45" s="125"/>
      <c r="VRX45" s="14"/>
      <c r="VRY45" s="15"/>
      <c r="VRZ45" s="125"/>
      <c r="VSA45" s="125"/>
      <c r="VSB45" s="14"/>
      <c r="VSC45" s="15"/>
      <c r="VSD45" s="125"/>
      <c r="VSE45" s="125"/>
      <c r="VSF45" s="14"/>
      <c r="VSG45" s="15"/>
      <c r="VSH45" s="125"/>
      <c r="VSI45" s="125"/>
      <c r="VSJ45" s="14"/>
      <c r="VSK45" s="10"/>
      <c r="VSL45" s="125"/>
      <c r="VSM45" s="125"/>
      <c r="VSN45" s="14"/>
      <c r="VSO45" s="15"/>
      <c r="VSP45" s="125"/>
      <c r="VSQ45" s="125"/>
      <c r="VSR45" s="14"/>
      <c r="VSS45" s="15"/>
      <c r="VST45" s="125"/>
      <c r="VSU45" s="125"/>
      <c r="VSV45" s="14"/>
      <c r="VSW45" s="15"/>
      <c r="VSX45" s="125"/>
      <c r="VSY45" s="125"/>
      <c r="VSZ45" s="14"/>
      <c r="VTA45" s="10"/>
      <c r="VTB45" s="125"/>
      <c r="VTC45" s="125"/>
      <c r="VTD45" s="14"/>
      <c r="VTE45" s="15"/>
      <c r="VTF45" s="125"/>
      <c r="VTG45" s="125"/>
      <c r="VTH45" s="14"/>
      <c r="VTI45" s="15"/>
      <c r="VTJ45" s="125"/>
      <c r="VTK45" s="125"/>
      <c r="VTL45" s="14"/>
      <c r="VTM45" s="15"/>
      <c r="VTN45" s="125"/>
      <c r="VTO45" s="125"/>
      <c r="VTP45" s="14"/>
      <c r="VTQ45" s="10"/>
      <c r="VTR45" s="125"/>
      <c r="VTS45" s="125"/>
      <c r="VTT45" s="14"/>
      <c r="VTU45" s="15"/>
      <c r="VTV45" s="125"/>
      <c r="VTW45" s="125"/>
      <c r="VTX45" s="14"/>
      <c r="VTY45" s="15"/>
      <c r="VTZ45" s="125"/>
      <c r="VUA45" s="125"/>
      <c r="VUB45" s="14"/>
      <c r="VUC45" s="15"/>
      <c r="VUD45" s="125"/>
      <c r="VUE45" s="125"/>
      <c r="VUF45" s="14"/>
      <c r="VUG45" s="10"/>
      <c r="VUH45" s="125"/>
      <c r="VUI45" s="125"/>
      <c r="VUJ45" s="14"/>
      <c r="VUK45" s="15"/>
      <c r="VUL45" s="125"/>
      <c r="VUM45" s="125"/>
      <c r="VUN45" s="14"/>
      <c r="VUO45" s="15"/>
      <c r="VUP45" s="125"/>
      <c r="VUQ45" s="125"/>
      <c r="VUR45" s="14"/>
      <c r="VUS45" s="15"/>
      <c r="VUT45" s="125"/>
      <c r="VUU45" s="125"/>
      <c r="VUV45" s="14"/>
      <c r="VUW45" s="10"/>
      <c r="VUX45" s="125"/>
      <c r="VUY45" s="125"/>
      <c r="VUZ45" s="14"/>
      <c r="VVA45" s="15"/>
      <c r="VVB45" s="125"/>
      <c r="VVC45" s="125"/>
      <c r="VVD45" s="14"/>
      <c r="VVE45" s="15"/>
      <c r="VVF45" s="125"/>
      <c r="VVG45" s="125"/>
      <c r="VVH45" s="14"/>
      <c r="VVI45" s="15"/>
      <c r="VVJ45" s="125"/>
      <c r="VVK45" s="125"/>
      <c r="VVL45" s="14"/>
      <c r="VVM45" s="10"/>
      <c r="VVN45" s="125"/>
      <c r="VVO45" s="125"/>
      <c r="VVP45" s="14"/>
      <c r="VVQ45" s="15"/>
      <c r="VVR45" s="125"/>
      <c r="VVS45" s="125"/>
      <c r="VVT45" s="14"/>
      <c r="VVU45" s="15"/>
      <c r="VVV45" s="125"/>
      <c r="VVW45" s="125"/>
      <c r="VVX45" s="14"/>
      <c r="VVY45" s="15"/>
      <c r="VVZ45" s="125"/>
      <c r="VWA45" s="125"/>
      <c r="VWB45" s="14"/>
      <c r="VWC45" s="10"/>
      <c r="VWD45" s="125"/>
      <c r="VWE45" s="125"/>
      <c r="VWF45" s="14"/>
      <c r="VWG45" s="15"/>
      <c r="VWH45" s="125"/>
      <c r="VWI45" s="125"/>
      <c r="VWJ45" s="14"/>
      <c r="VWK45" s="15"/>
      <c r="VWL45" s="125"/>
      <c r="VWM45" s="125"/>
      <c r="VWN45" s="14"/>
      <c r="VWO45" s="15"/>
      <c r="VWP45" s="125"/>
      <c r="VWQ45" s="125"/>
      <c r="VWR45" s="14"/>
      <c r="VWS45" s="10"/>
      <c r="VWT45" s="125"/>
      <c r="VWU45" s="125"/>
      <c r="VWV45" s="14"/>
      <c r="VWW45" s="15"/>
      <c r="VWX45" s="125"/>
      <c r="VWY45" s="125"/>
      <c r="VWZ45" s="14"/>
      <c r="VXA45" s="15"/>
      <c r="VXB45" s="125"/>
      <c r="VXC45" s="125"/>
      <c r="VXD45" s="14"/>
      <c r="VXE45" s="15"/>
      <c r="VXF45" s="125"/>
      <c r="VXG45" s="125"/>
      <c r="VXH45" s="14"/>
      <c r="VXI45" s="10"/>
      <c r="VXJ45" s="125"/>
      <c r="VXK45" s="125"/>
      <c r="VXL45" s="14"/>
      <c r="VXM45" s="15"/>
      <c r="VXN45" s="125"/>
      <c r="VXO45" s="125"/>
      <c r="VXP45" s="14"/>
      <c r="VXQ45" s="15"/>
      <c r="VXR45" s="125"/>
      <c r="VXS45" s="125"/>
      <c r="VXT45" s="14"/>
      <c r="VXU45" s="15"/>
      <c r="VXV45" s="125"/>
      <c r="VXW45" s="125"/>
      <c r="VXX45" s="14"/>
      <c r="VXY45" s="10"/>
      <c r="VXZ45" s="125"/>
      <c r="VYA45" s="125"/>
      <c r="VYB45" s="14"/>
      <c r="VYC45" s="15"/>
      <c r="VYD45" s="125"/>
      <c r="VYE45" s="125"/>
      <c r="VYF45" s="14"/>
      <c r="VYG45" s="15"/>
      <c r="VYH45" s="125"/>
      <c r="VYI45" s="125"/>
      <c r="VYJ45" s="14"/>
      <c r="VYK45" s="15"/>
      <c r="VYL45" s="125"/>
      <c r="VYM45" s="125"/>
      <c r="VYN45" s="14"/>
      <c r="VYO45" s="10"/>
      <c r="VYP45" s="125"/>
      <c r="VYQ45" s="125"/>
      <c r="VYR45" s="14"/>
      <c r="VYS45" s="15"/>
      <c r="VYT45" s="125"/>
      <c r="VYU45" s="125"/>
      <c r="VYV45" s="14"/>
      <c r="VYW45" s="15"/>
      <c r="VYX45" s="125"/>
      <c r="VYY45" s="125"/>
      <c r="VYZ45" s="14"/>
      <c r="VZA45" s="15"/>
      <c r="VZB45" s="125"/>
      <c r="VZC45" s="125"/>
      <c r="VZD45" s="14"/>
      <c r="VZE45" s="10"/>
      <c r="VZF45" s="125"/>
      <c r="VZG45" s="125"/>
      <c r="VZH45" s="14"/>
      <c r="VZI45" s="15"/>
      <c r="VZJ45" s="125"/>
      <c r="VZK45" s="125"/>
      <c r="VZL45" s="14"/>
      <c r="VZM45" s="15"/>
      <c r="VZN45" s="125"/>
      <c r="VZO45" s="125"/>
      <c r="VZP45" s="14"/>
      <c r="VZQ45" s="15"/>
      <c r="VZR45" s="125"/>
      <c r="VZS45" s="125"/>
      <c r="VZT45" s="14"/>
      <c r="VZU45" s="10"/>
      <c r="VZV45" s="125"/>
      <c r="VZW45" s="125"/>
      <c r="VZX45" s="14"/>
      <c r="VZY45" s="15"/>
      <c r="VZZ45" s="125"/>
      <c r="WAA45" s="125"/>
      <c r="WAB45" s="14"/>
      <c r="WAC45" s="15"/>
      <c r="WAD45" s="125"/>
      <c r="WAE45" s="125"/>
      <c r="WAF45" s="14"/>
      <c r="WAG45" s="15"/>
      <c r="WAH45" s="125"/>
      <c r="WAI45" s="125"/>
      <c r="WAJ45" s="14"/>
      <c r="WAK45" s="10"/>
      <c r="WAL45" s="125"/>
      <c r="WAM45" s="125"/>
      <c r="WAN45" s="14"/>
      <c r="WAO45" s="15"/>
      <c r="WAP45" s="125"/>
      <c r="WAQ45" s="125"/>
      <c r="WAR45" s="14"/>
      <c r="WAS45" s="15"/>
      <c r="WAT45" s="125"/>
      <c r="WAU45" s="125"/>
      <c r="WAV45" s="14"/>
      <c r="WAW45" s="15"/>
      <c r="WAX45" s="125"/>
      <c r="WAY45" s="125"/>
      <c r="WAZ45" s="14"/>
      <c r="WBA45" s="10"/>
      <c r="WBB45" s="125"/>
      <c r="WBC45" s="125"/>
      <c r="WBD45" s="14"/>
      <c r="WBE45" s="15"/>
      <c r="WBF45" s="125"/>
      <c r="WBG45" s="125"/>
      <c r="WBH45" s="14"/>
      <c r="WBI45" s="15"/>
      <c r="WBJ45" s="125"/>
      <c r="WBK45" s="125"/>
      <c r="WBL45" s="14"/>
      <c r="WBM45" s="15"/>
      <c r="WBN45" s="125"/>
      <c r="WBO45" s="125"/>
      <c r="WBP45" s="14"/>
      <c r="WBQ45" s="10"/>
      <c r="WBR45" s="125"/>
      <c r="WBS45" s="125"/>
      <c r="WBT45" s="14"/>
      <c r="WBU45" s="15"/>
      <c r="WBV45" s="125"/>
      <c r="WBW45" s="125"/>
      <c r="WBX45" s="14"/>
      <c r="WBY45" s="15"/>
      <c r="WBZ45" s="125"/>
      <c r="WCA45" s="125"/>
      <c r="WCB45" s="14"/>
      <c r="WCC45" s="15"/>
      <c r="WCD45" s="125"/>
      <c r="WCE45" s="125"/>
      <c r="WCF45" s="14"/>
      <c r="WCG45" s="10"/>
      <c r="WCH45" s="125"/>
      <c r="WCI45" s="125"/>
      <c r="WCJ45" s="14"/>
      <c r="WCK45" s="15"/>
      <c r="WCL45" s="125"/>
      <c r="WCM45" s="125"/>
      <c r="WCN45" s="14"/>
      <c r="WCO45" s="15"/>
      <c r="WCP45" s="125"/>
      <c r="WCQ45" s="125"/>
      <c r="WCR45" s="14"/>
      <c r="WCS45" s="15"/>
      <c r="WCT45" s="125"/>
      <c r="WCU45" s="125"/>
      <c r="WCV45" s="14"/>
      <c r="WCW45" s="10"/>
      <c r="WCX45" s="125"/>
      <c r="WCY45" s="125"/>
      <c r="WCZ45" s="14"/>
      <c r="WDA45" s="15"/>
      <c r="WDB45" s="125"/>
      <c r="WDC45" s="125"/>
      <c r="WDD45" s="14"/>
      <c r="WDE45" s="15"/>
      <c r="WDF45" s="125"/>
      <c r="WDG45" s="125"/>
      <c r="WDH45" s="14"/>
      <c r="WDI45" s="15"/>
      <c r="WDJ45" s="125"/>
      <c r="WDK45" s="125"/>
      <c r="WDL45" s="14"/>
      <c r="WDM45" s="10"/>
      <c r="WDN45" s="125"/>
      <c r="WDO45" s="125"/>
      <c r="WDP45" s="14"/>
      <c r="WDQ45" s="15"/>
      <c r="WDR45" s="125"/>
      <c r="WDS45" s="125"/>
      <c r="WDT45" s="14"/>
      <c r="WDU45" s="15"/>
      <c r="WDV45" s="125"/>
      <c r="WDW45" s="125"/>
      <c r="WDX45" s="14"/>
      <c r="WDY45" s="15"/>
      <c r="WDZ45" s="125"/>
      <c r="WEA45" s="125"/>
      <c r="WEB45" s="14"/>
      <c r="WEC45" s="10"/>
      <c r="WED45" s="125"/>
      <c r="WEE45" s="125"/>
      <c r="WEF45" s="14"/>
      <c r="WEG45" s="15"/>
      <c r="WEH45" s="125"/>
      <c r="WEI45" s="125"/>
      <c r="WEJ45" s="14"/>
      <c r="WEK45" s="15"/>
      <c r="WEL45" s="125"/>
      <c r="WEM45" s="125"/>
      <c r="WEN45" s="14"/>
      <c r="WEO45" s="15"/>
      <c r="WEP45" s="125"/>
      <c r="WEQ45" s="125"/>
      <c r="WER45" s="14"/>
      <c r="WES45" s="10"/>
      <c r="WET45" s="125"/>
      <c r="WEU45" s="125"/>
      <c r="WEV45" s="14"/>
      <c r="WEW45" s="15"/>
      <c r="WEX45" s="125"/>
      <c r="WEY45" s="125"/>
      <c r="WEZ45" s="14"/>
      <c r="WFA45" s="15"/>
      <c r="WFB45" s="125"/>
      <c r="WFC45" s="125"/>
      <c r="WFD45" s="14"/>
      <c r="WFE45" s="15"/>
      <c r="WFF45" s="125"/>
      <c r="WFG45" s="125"/>
      <c r="WFH45" s="14"/>
      <c r="WFI45" s="10"/>
      <c r="WFJ45" s="125"/>
      <c r="WFK45" s="125"/>
      <c r="WFL45" s="14"/>
      <c r="WFM45" s="15"/>
      <c r="WFN45" s="125"/>
      <c r="WFO45" s="125"/>
      <c r="WFP45" s="14"/>
      <c r="WFQ45" s="15"/>
      <c r="WFR45" s="125"/>
      <c r="WFS45" s="125"/>
      <c r="WFT45" s="14"/>
      <c r="WFU45" s="15"/>
      <c r="WFV45" s="125"/>
      <c r="WFW45" s="125"/>
      <c r="WFX45" s="14"/>
      <c r="WFY45" s="10"/>
      <c r="WFZ45" s="125"/>
      <c r="WGA45" s="125"/>
      <c r="WGB45" s="14"/>
      <c r="WGC45" s="15"/>
      <c r="WGD45" s="125"/>
      <c r="WGE45" s="125"/>
      <c r="WGF45" s="14"/>
      <c r="WGG45" s="15"/>
      <c r="WGH45" s="125"/>
      <c r="WGI45" s="125"/>
      <c r="WGJ45" s="14"/>
      <c r="WGK45" s="15"/>
      <c r="WGL45" s="125"/>
      <c r="WGM45" s="125"/>
      <c r="WGN45" s="14"/>
      <c r="WGO45" s="10"/>
      <c r="WGP45" s="125"/>
      <c r="WGQ45" s="125"/>
      <c r="WGR45" s="14"/>
      <c r="WGS45" s="15"/>
      <c r="WGT45" s="125"/>
      <c r="WGU45" s="125"/>
      <c r="WGV45" s="14"/>
      <c r="WGW45" s="15"/>
      <c r="WGX45" s="125"/>
      <c r="WGY45" s="125"/>
      <c r="WGZ45" s="14"/>
      <c r="WHA45" s="15"/>
      <c r="WHB45" s="125"/>
      <c r="WHC45" s="125"/>
      <c r="WHD45" s="14"/>
      <c r="WHE45" s="10"/>
      <c r="WHF45" s="125"/>
      <c r="WHG45" s="125"/>
      <c r="WHH45" s="14"/>
      <c r="WHI45" s="15"/>
      <c r="WHJ45" s="125"/>
      <c r="WHK45" s="125"/>
      <c r="WHL45" s="14"/>
      <c r="WHM45" s="15"/>
      <c r="WHN45" s="125"/>
      <c r="WHO45" s="125"/>
      <c r="WHP45" s="14"/>
      <c r="WHQ45" s="15"/>
      <c r="WHR45" s="125"/>
      <c r="WHS45" s="125"/>
      <c r="WHT45" s="14"/>
      <c r="WHU45" s="10"/>
      <c r="WHV45" s="125"/>
      <c r="WHW45" s="125"/>
      <c r="WHX45" s="14"/>
      <c r="WHY45" s="15"/>
      <c r="WHZ45" s="125"/>
      <c r="WIA45" s="125"/>
      <c r="WIB45" s="14"/>
      <c r="WIC45" s="15"/>
      <c r="WID45" s="125"/>
      <c r="WIE45" s="125"/>
      <c r="WIF45" s="14"/>
      <c r="WIG45" s="15"/>
      <c r="WIH45" s="125"/>
      <c r="WII45" s="125"/>
      <c r="WIJ45" s="14"/>
      <c r="WIK45" s="10"/>
      <c r="WIL45" s="125"/>
      <c r="WIM45" s="125"/>
      <c r="WIN45" s="14"/>
      <c r="WIO45" s="15"/>
      <c r="WIP45" s="125"/>
      <c r="WIQ45" s="125"/>
      <c r="WIR45" s="14"/>
      <c r="WIS45" s="15"/>
      <c r="WIT45" s="125"/>
      <c r="WIU45" s="125"/>
      <c r="WIV45" s="14"/>
      <c r="WIW45" s="15"/>
      <c r="WIX45" s="125"/>
      <c r="WIY45" s="125"/>
      <c r="WIZ45" s="14"/>
      <c r="WJA45" s="10"/>
      <c r="WJB45" s="125"/>
      <c r="WJC45" s="125"/>
      <c r="WJD45" s="14"/>
      <c r="WJE45" s="15"/>
      <c r="WJF45" s="125"/>
      <c r="WJG45" s="125"/>
      <c r="WJH45" s="14"/>
      <c r="WJI45" s="15"/>
      <c r="WJJ45" s="125"/>
      <c r="WJK45" s="125"/>
      <c r="WJL45" s="14"/>
      <c r="WJM45" s="15"/>
      <c r="WJN45" s="125"/>
      <c r="WJO45" s="125"/>
      <c r="WJP45" s="14"/>
      <c r="WJQ45" s="10"/>
      <c r="WJR45" s="125"/>
      <c r="WJS45" s="125"/>
      <c r="WJT45" s="14"/>
      <c r="WJU45" s="15"/>
      <c r="WJV45" s="125"/>
      <c r="WJW45" s="125"/>
      <c r="WJX45" s="14"/>
      <c r="WJY45" s="15"/>
      <c r="WJZ45" s="125"/>
      <c r="WKA45" s="125"/>
      <c r="WKB45" s="14"/>
      <c r="WKC45" s="15"/>
      <c r="WKD45" s="125"/>
      <c r="WKE45" s="125"/>
      <c r="WKF45" s="14"/>
      <c r="WKG45" s="10"/>
      <c r="WKH45" s="125"/>
      <c r="WKI45" s="125"/>
      <c r="WKJ45" s="14"/>
      <c r="WKK45" s="15"/>
      <c r="WKL45" s="125"/>
      <c r="WKM45" s="125"/>
      <c r="WKN45" s="14"/>
      <c r="WKO45" s="15"/>
      <c r="WKP45" s="125"/>
      <c r="WKQ45" s="125"/>
      <c r="WKR45" s="14"/>
      <c r="WKS45" s="15"/>
      <c r="WKT45" s="125"/>
      <c r="WKU45" s="125"/>
      <c r="WKV45" s="14"/>
      <c r="WKW45" s="10"/>
      <c r="WKX45" s="125"/>
      <c r="WKY45" s="125"/>
      <c r="WKZ45" s="14"/>
      <c r="WLA45" s="15"/>
      <c r="WLB45" s="125"/>
      <c r="WLC45" s="125"/>
      <c r="WLD45" s="14"/>
      <c r="WLE45" s="15"/>
      <c r="WLF45" s="125"/>
      <c r="WLG45" s="125"/>
      <c r="WLH45" s="14"/>
      <c r="WLI45" s="15"/>
      <c r="WLJ45" s="125"/>
      <c r="WLK45" s="125"/>
      <c r="WLL45" s="14"/>
      <c r="WLM45" s="10"/>
      <c r="WLN45" s="125"/>
      <c r="WLO45" s="125"/>
      <c r="WLP45" s="14"/>
      <c r="WLQ45" s="15"/>
      <c r="WLR45" s="125"/>
      <c r="WLS45" s="125"/>
      <c r="WLT45" s="14"/>
      <c r="WLU45" s="15"/>
      <c r="WLV45" s="125"/>
      <c r="WLW45" s="125"/>
      <c r="WLX45" s="14"/>
      <c r="WLY45" s="15"/>
      <c r="WLZ45" s="125"/>
      <c r="WMA45" s="125"/>
      <c r="WMB45" s="14"/>
      <c r="WMC45" s="10"/>
      <c r="WMD45" s="125"/>
      <c r="WME45" s="125"/>
      <c r="WMF45" s="14"/>
      <c r="WMG45" s="15"/>
      <c r="WMH45" s="125"/>
      <c r="WMI45" s="125"/>
      <c r="WMJ45" s="14"/>
      <c r="WMK45" s="15"/>
      <c r="WML45" s="125"/>
      <c r="WMM45" s="125"/>
      <c r="WMN45" s="14"/>
      <c r="WMO45" s="15"/>
      <c r="WMP45" s="125"/>
      <c r="WMQ45" s="125"/>
      <c r="WMR45" s="14"/>
      <c r="WMS45" s="10"/>
      <c r="WMT45" s="125"/>
      <c r="WMU45" s="125"/>
      <c r="WMV45" s="14"/>
      <c r="WMW45" s="15"/>
      <c r="WMX45" s="125"/>
      <c r="WMY45" s="125"/>
      <c r="WMZ45" s="14"/>
      <c r="WNA45" s="15"/>
      <c r="WNB45" s="125"/>
      <c r="WNC45" s="125"/>
      <c r="WND45" s="14"/>
      <c r="WNE45" s="15"/>
      <c r="WNF45" s="125"/>
      <c r="WNG45" s="125"/>
      <c r="WNH45" s="14"/>
      <c r="WNI45" s="10"/>
      <c r="WNJ45" s="125"/>
      <c r="WNK45" s="125"/>
      <c r="WNL45" s="14"/>
      <c r="WNM45" s="15"/>
      <c r="WNN45" s="125"/>
      <c r="WNO45" s="125"/>
      <c r="WNP45" s="14"/>
      <c r="WNQ45" s="15"/>
      <c r="WNR45" s="125"/>
      <c r="WNS45" s="125"/>
      <c r="WNT45" s="14"/>
      <c r="WNU45" s="15"/>
      <c r="WNV45" s="125"/>
      <c r="WNW45" s="125"/>
      <c r="WNX45" s="14"/>
      <c r="WNY45" s="10"/>
      <c r="WNZ45" s="125"/>
      <c r="WOA45" s="125"/>
      <c r="WOB45" s="14"/>
      <c r="WOC45" s="15"/>
      <c r="WOD45" s="125"/>
      <c r="WOE45" s="125"/>
      <c r="WOF45" s="14"/>
      <c r="WOG45" s="15"/>
      <c r="WOH45" s="125"/>
      <c r="WOI45" s="125"/>
      <c r="WOJ45" s="14"/>
      <c r="WOK45" s="15"/>
      <c r="WOL45" s="125"/>
      <c r="WOM45" s="125"/>
      <c r="WON45" s="14"/>
      <c r="WOO45" s="10"/>
      <c r="WOP45" s="125"/>
      <c r="WOQ45" s="125"/>
      <c r="WOR45" s="14"/>
      <c r="WOS45" s="15"/>
      <c r="WOT45" s="125"/>
      <c r="WOU45" s="125"/>
      <c r="WOV45" s="14"/>
      <c r="WOW45" s="15"/>
      <c r="WOX45" s="125"/>
      <c r="WOY45" s="125"/>
      <c r="WOZ45" s="14"/>
      <c r="WPA45" s="15"/>
      <c r="WPB45" s="125"/>
      <c r="WPC45" s="125"/>
      <c r="WPD45" s="14"/>
      <c r="WPE45" s="10"/>
      <c r="WPF45" s="125"/>
      <c r="WPG45" s="125"/>
      <c r="WPH45" s="14"/>
      <c r="WPI45" s="15"/>
      <c r="WPJ45" s="125"/>
      <c r="WPK45" s="125"/>
      <c r="WPL45" s="14"/>
      <c r="WPM45" s="15"/>
      <c r="WPN45" s="125"/>
      <c r="WPO45" s="125"/>
      <c r="WPP45" s="14"/>
      <c r="WPQ45" s="15"/>
      <c r="WPR45" s="125"/>
      <c r="WPS45" s="125"/>
      <c r="WPT45" s="14"/>
      <c r="WPU45" s="10"/>
      <c r="WPV45" s="125"/>
      <c r="WPW45" s="125"/>
      <c r="WPX45" s="14"/>
      <c r="WPY45" s="15"/>
      <c r="WPZ45" s="125"/>
      <c r="WQA45" s="125"/>
      <c r="WQB45" s="14"/>
      <c r="WQC45" s="15"/>
      <c r="WQD45" s="125"/>
      <c r="WQE45" s="125"/>
      <c r="WQF45" s="14"/>
      <c r="WQG45" s="15"/>
      <c r="WQH45" s="125"/>
      <c r="WQI45" s="125"/>
      <c r="WQJ45" s="14"/>
      <c r="WQK45" s="10"/>
      <c r="WQL45" s="125"/>
      <c r="WQM45" s="125"/>
      <c r="WQN45" s="14"/>
      <c r="WQO45" s="15"/>
      <c r="WQP45" s="125"/>
      <c r="WQQ45" s="125"/>
      <c r="WQR45" s="14"/>
      <c r="WQS45" s="15"/>
      <c r="WQT45" s="125"/>
      <c r="WQU45" s="125"/>
      <c r="WQV45" s="14"/>
      <c r="WQW45" s="15"/>
      <c r="WQX45" s="125"/>
      <c r="WQY45" s="125"/>
      <c r="WQZ45" s="14"/>
      <c r="WRA45" s="10"/>
      <c r="WRB45" s="125"/>
      <c r="WRC45" s="125"/>
      <c r="WRD45" s="14"/>
      <c r="WRE45" s="15"/>
      <c r="WRF45" s="125"/>
      <c r="WRG45" s="125"/>
      <c r="WRH45" s="14"/>
      <c r="WRI45" s="15"/>
      <c r="WRJ45" s="125"/>
      <c r="WRK45" s="125"/>
      <c r="WRL45" s="14"/>
      <c r="WRM45" s="15"/>
      <c r="WRN45" s="125"/>
      <c r="WRO45" s="125"/>
      <c r="WRP45" s="14"/>
      <c r="WRQ45" s="10"/>
      <c r="WRR45" s="125"/>
      <c r="WRS45" s="125"/>
      <c r="WRT45" s="14"/>
      <c r="WRU45" s="15"/>
      <c r="WRV45" s="125"/>
      <c r="WRW45" s="125"/>
      <c r="WRX45" s="14"/>
      <c r="WRY45" s="15"/>
      <c r="WRZ45" s="125"/>
      <c r="WSA45" s="125"/>
      <c r="WSB45" s="14"/>
      <c r="WSC45" s="15"/>
      <c r="WSD45" s="125"/>
      <c r="WSE45" s="125"/>
      <c r="WSF45" s="14"/>
      <c r="WSG45" s="10"/>
      <c r="WSH45" s="125"/>
      <c r="WSI45" s="125"/>
      <c r="WSJ45" s="14"/>
      <c r="WSK45" s="15"/>
      <c r="WSL45" s="125"/>
      <c r="WSM45" s="125"/>
      <c r="WSN45" s="14"/>
      <c r="WSO45" s="15"/>
      <c r="WSP45" s="125"/>
      <c r="WSQ45" s="125"/>
      <c r="WSR45" s="14"/>
      <c r="WSS45" s="15"/>
      <c r="WST45" s="125"/>
      <c r="WSU45" s="125"/>
      <c r="WSV45" s="14"/>
      <c r="WSW45" s="10"/>
      <c r="WSX45" s="125"/>
      <c r="WSY45" s="125"/>
      <c r="WSZ45" s="14"/>
      <c r="WTA45" s="15"/>
      <c r="WTB45" s="125"/>
      <c r="WTC45" s="125"/>
      <c r="WTD45" s="14"/>
      <c r="WTE45" s="15"/>
      <c r="WTF45" s="125"/>
      <c r="WTG45" s="125"/>
      <c r="WTH45" s="14"/>
      <c r="WTI45" s="15"/>
      <c r="WTJ45" s="125"/>
      <c r="WTK45" s="125"/>
      <c r="WTL45" s="14"/>
      <c r="WTM45" s="10"/>
      <c r="WTN45" s="125"/>
      <c r="WTO45" s="125"/>
      <c r="WTP45" s="14"/>
      <c r="WTQ45" s="15"/>
      <c r="WTR45" s="125"/>
      <c r="WTS45" s="125"/>
      <c r="WTT45" s="14"/>
      <c r="WTU45" s="15"/>
      <c r="WTV45" s="125"/>
      <c r="WTW45" s="125"/>
      <c r="WTX45" s="14"/>
      <c r="WTY45" s="15"/>
      <c r="WTZ45" s="125"/>
      <c r="WUA45" s="125"/>
      <c r="WUB45" s="14"/>
      <c r="WUC45" s="10"/>
      <c r="WUD45" s="125"/>
      <c r="WUE45" s="125"/>
      <c r="WUF45" s="14"/>
      <c r="WUG45" s="15"/>
      <c r="WUH45" s="125"/>
      <c r="WUI45" s="125"/>
      <c r="WUJ45" s="14"/>
      <c r="WUK45" s="15"/>
      <c r="WUL45" s="125"/>
      <c r="WUM45" s="125"/>
      <c r="WUN45" s="14"/>
      <c r="WUO45" s="15"/>
      <c r="WUP45" s="125"/>
      <c r="WUQ45" s="125"/>
      <c r="WUR45" s="14"/>
      <c r="WUS45" s="10"/>
      <c r="WUT45" s="125"/>
      <c r="WUU45" s="125"/>
      <c r="WUV45" s="14"/>
      <c r="WUW45" s="15"/>
      <c r="WUX45" s="125"/>
      <c r="WUY45" s="125"/>
      <c r="WUZ45" s="14"/>
      <c r="WVA45" s="15"/>
      <c r="WVB45" s="125"/>
      <c r="WVC45" s="125"/>
      <c r="WVD45" s="14"/>
      <c r="WVE45" s="15"/>
      <c r="WVF45" s="125"/>
      <c r="WVG45" s="125"/>
      <c r="WVH45" s="14"/>
      <c r="WVI45" s="10"/>
      <c r="WVJ45" s="125"/>
      <c r="WVK45" s="125"/>
      <c r="WVL45" s="14"/>
      <c r="WVM45" s="15"/>
      <c r="WVN45" s="125"/>
      <c r="WVO45" s="125"/>
      <c r="WVP45" s="14"/>
      <c r="WVQ45" s="15"/>
      <c r="WVR45" s="125"/>
      <c r="WVS45" s="125"/>
      <c r="WVT45" s="14"/>
      <c r="WVU45" s="15"/>
      <c r="WVV45" s="125"/>
      <c r="WVW45" s="125"/>
      <c r="WVX45" s="14"/>
      <c r="WVY45" s="10"/>
      <c r="WVZ45" s="125"/>
      <c r="WWA45" s="125"/>
      <c r="WWB45" s="14"/>
      <c r="WWC45" s="15"/>
      <c r="WWD45" s="125"/>
      <c r="WWE45" s="125"/>
      <c r="WWF45" s="14"/>
      <c r="WWG45" s="15"/>
      <c r="WWH45" s="125"/>
      <c r="WWI45" s="125"/>
      <c r="WWJ45" s="14"/>
      <c r="WWK45" s="15"/>
      <c r="WWL45" s="125"/>
      <c r="WWM45" s="125"/>
      <c r="WWN45" s="14"/>
      <c r="WWO45" s="10"/>
      <c r="WWP45" s="125"/>
      <c r="WWQ45" s="125"/>
      <c r="WWR45" s="14"/>
      <c r="WWS45" s="15"/>
      <c r="WWT45" s="125"/>
      <c r="WWU45" s="125"/>
      <c r="WWV45" s="14"/>
      <c r="WWW45" s="15"/>
      <c r="WWX45" s="125"/>
      <c r="WWY45" s="125"/>
      <c r="WWZ45" s="14"/>
      <c r="WXA45" s="15"/>
      <c r="WXB45" s="125"/>
      <c r="WXC45" s="125"/>
      <c r="WXD45" s="14"/>
      <c r="WXE45" s="10"/>
      <c r="WXF45" s="125"/>
      <c r="WXG45" s="125"/>
      <c r="WXH45" s="14"/>
      <c r="WXI45" s="15"/>
      <c r="WXJ45" s="125"/>
      <c r="WXK45" s="125"/>
      <c r="WXL45" s="14"/>
      <c r="WXM45" s="15"/>
      <c r="WXN45" s="125"/>
      <c r="WXO45" s="125"/>
      <c r="WXP45" s="14"/>
      <c r="WXQ45" s="15"/>
      <c r="WXR45" s="125"/>
      <c r="WXS45" s="125"/>
      <c r="WXT45" s="14"/>
      <c r="WXU45" s="10"/>
      <c r="WXV45" s="125"/>
      <c r="WXW45" s="125"/>
      <c r="WXX45" s="14"/>
      <c r="WXY45" s="15"/>
      <c r="WXZ45" s="125"/>
      <c r="WYA45" s="125"/>
      <c r="WYB45" s="14"/>
      <c r="WYC45" s="15"/>
      <c r="WYD45" s="125"/>
      <c r="WYE45" s="125"/>
      <c r="WYF45" s="14"/>
      <c r="WYG45" s="15"/>
      <c r="WYH45" s="125"/>
      <c r="WYI45" s="125"/>
      <c r="WYJ45" s="14"/>
      <c r="WYK45" s="10"/>
      <c r="WYL45" s="125"/>
      <c r="WYM45" s="125"/>
      <c r="WYN45" s="14"/>
      <c r="WYO45" s="15"/>
      <c r="WYP45" s="125"/>
      <c r="WYQ45" s="125"/>
      <c r="WYR45" s="14"/>
      <c r="WYS45" s="15"/>
      <c r="WYT45" s="125"/>
      <c r="WYU45" s="125"/>
      <c r="WYV45" s="14"/>
      <c r="WYW45" s="15"/>
      <c r="WYX45" s="125"/>
      <c r="WYY45" s="125"/>
      <c r="WYZ45" s="14"/>
      <c r="WZA45" s="10"/>
      <c r="WZB45" s="125"/>
      <c r="WZC45" s="125"/>
      <c r="WZD45" s="14"/>
      <c r="WZE45" s="15"/>
      <c r="WZF45" s="125"/>
      <c r="WZG45" s="125"/>
      <c r="WZH45" s="14"/>
      <c r="WZI45" s="15"/>
      <c r="WZJ45" s="125"/>
      <c r="WZK45" s="125"/>
      <c r="WZL45" s="14"/>
      <c r="WZM45" s="15"/>
      <c r="WZN45" s="125"/>
      <c r="WZO45" s="125"/>
      <c r="WZP45" s="14"/>
      <c r="WZQ45" s="10"/>
      <c r="WZR45" s="125"/>
      <c r="WZS45" s="125"/>
      <c r="WZT45" s="14"/>
      <c r="WZU45" s="15"/>
      <c r="WZV45" s="125"/>
      <c r="WZW45" s="125"/>
      <c r="WZX45" s="14"/>
      <c r="WZY45" s="15"/>
      <c r="WZZ45" s="125"/>
      <c r="XAA45" s="125"/>
      <c r="XAB45" s="14"/>
      <c r="XAC45" s="15"/>
      <c r="XAD45" s="125"/>
      <c r="XAE45" s="125"/>
      <c r="XAF45" s="14"/>
      <c r="XAG45" s="10"/>
      <c r="XAH45" s="125"/>
      <c r="XAI45" s="125"/>
      <c r="XAJ45" s="14"/>
      <c r="XAK45" s="15"/>
      <c r="XAL45" s="125"/>
      <c r="XAM45" s="125"/>
      <c r="XAN45" s="14"/>
      <c r="XAO45" s="15"/>
      <c r="XAP45" s="125"/>
      <c r="XAQ45" s="125"/>
      <c r="XAR45" s="14"/>
      <c r="XAS45" s="15"/>
      <c r="XAT45" s="125"/>
      <c r="XAU45" s="125"/>
      <c r="XAV45" s="14"/>
      <c r="XAW45" s="10"/>
      <c r="XAX45" s="125"/>
      <c r="XAY45" s="125"/>
      <c r="XAZ45" s="14"/>
      <c r="XBA45" s="15"/>
      <c r="XBB45" s="125"/>
      <c r="XBC45" s="125"/>
      <c r="XBD45" s="14"/>
      <c r="XBE45" s="15"/>
      <c r="XBF45" s="125"/>
      <c r="XBG45" s="125"/>
      <c r="XBH45" s="14"/>
      <c r="XBI45" s="15"/>
      <c r="XBJ45" s="125"/>
      <c r="XBK45" s="125"/>
      <c r="XBL45" s="14"/>
      <c r="XBM45" s="10"/>
      <c r="XBN45" s="125"/>
      <c r="XBO45" s="125"/>
      <c r="XBP45" s="14"/>
      <c r="XBQ45" s="15"/>
      <c r="XBR45" s="125"/>
      <c r="XBS45" s="125"/>
      <c r="XBT45" s="14"/>
      <c r="XBU45" s="15"/>
      <c r="XBV45" s="125"/>
      <c r="XBW45" s="125"/>
      <c r="XBX45" s="14"/>
      <c r="XBY45" s="15"/>
      <c r="XBZ45" s="125"/>
      <c r="XCA45" s="125"/>
      <c r="XCB45" s="14"/>
      <c r="XCC45" s="10"/>
      <c r="XCD45" s="125"/>
      <c r="XCE45" s="125"/>
      <c r="XCF45" s="14"/>
      <c r="XCG45" s="15"/>
      <c r="XCH45" s="125"/>
      <c r="XCI45" s="125"/>
      <c r="XCJ45" s="14"/>
      <c r="XCK45" s="15"/>
      <c r="XCL45" s="125"/>
      <c r="XCM45" s="125"/>
      <c r="XCN45" s="14"/>
      <c r="XCO45" s="15"/>
      <c r="XCP45" s="125"/>
      <c r="XCQ45" s="125"/>
      <c r="XCR45" s="14"/>
      <c r="XCS45" s="10"/>
      <c r="XCT45" s="125"/>
      <c r="XCU45" s="125"/>
      <c r="XCV45" s="14"/>
      <c r="XCW45" s="15"/>
      <c r="XCX45" s="125"/>
      <c r="XCY45" s="125"/>
      <c r="XCZ45" s="14"/>
      <c r="XDA45" s="15"/>
      <c r="XDB45" s="125"/>
      <c r="XDC45" s="125"/>
      <c r="XDD45" s="14"/>
      <c r="XDE45" s="15"/>
      <c r="XDF45" s="125"/>
      <c r="XDG45" s="125"/>
      <c r="XDH45" s="14"/>
      <c r="XDI45" s="10"/>
      <c r="XDJ45" s="125"/>
      <c r="XDK45" s="125"/>
      <c r="XDL45" s="14"/>
      <c r="XDM45" s="15"/>
      <c r="XDN45" s="125"/>
      <c r="XDO45" s="125"/>
      <c r="XDP45" s="14"/>
      <c r="XDQ45" s="15"/>
      <c r="XDR45" s="125"/>
      <c r="XDS45" s="125"/>
      <c r="XDT45" s="14"/>
      <c r="XDU45" s="15"/>
      <c r="XDV45" s="125"/>
      <c r="XDW45" s="125"/>
      <c r="XDX45" s="14"/>
      <c r="XDY45" s="10"/>
      <c r="XDZ45" s="125"/>
      <c r="XEA45" s="125"/>
      <c r="XEB45" s="14"/>
      <c r="XEC45" s="15"/>
      <c r="XED45" s="125"/>
      <c r="XEE45" s="125"/>
      <c r="XEF45" s="14"/>
      <c r="XEG45" s="15"/>
      <c r="XEH45" s="125"/>
      <c r="XEI45" s="125"/>
      <c r="XEJ45" s="14"/>
      <c r="XEK45" s="15"/>
      <c r="XEL45" s="125"/>
      <c r="XEM45" s="125"/>
      <c r="XEN45" s="14"/>
      <c r="XEO45" s="10"/>
      <c r="XEP45" s="125"/>
      <c r="XEQ45" s="125"/>
      <c r="XER45" s="14"/>
      <c r="XES45" s="15"/>
      <c r="XET45" s="125"/>
      <c r="XEU45" s="125"/>
      <c r="XEV45" s="14"/>
      <c r="XEW45" s="15"/>
      <c r="XEX45" s="125"/>
      <c r="XEY45" s="125"/>
      <c r="XEZ45" s="14"/>
      <c r="XFA45" s="15"/>
      <c r="XFB45" s="125"/>
      <c r="XFC45" s="125"/>
      <c r="XFD45" s="14"/>
    </row>
    <row r="46" spans="1:16384" customFormat="1">
      <c r="A46" s="10" t="s">
        <v>158</v>
      </c>
      <c r="B46" s="125" cm="1">
        <f t="array" ref="B46">SUM(SUMIFS(B$9:B$40,$A$9:$A$40,{"Angus","Dundee City","Fife","Perth and Kinross"}))</f>
        <v>21185</v>
      </c>
      <c r="C46" s="125" cm="1">
        <f t="array" ref="C46">SUM(SUMIFS(C$9:C$40,$A$9:$A$40,{"Angus","Dundee City","Fife","Perth and Kinross"}))</f>
        <v>493311.89083820663</v>
      </c>
      <c r="D46" s="14">
        <f t="shared" si="0"/>
        <v>4.2944434126661113</v>
      </c>
      <c r="E46" s="15"/>
      <c r="F46" s="125" cm="1">
        <f t="array" ref="F46">SUM(SUMIFS(F$9:F$40,$A$9:$A$40,{"Angus","Dundee City","Fife","Perth and Kinross"}))</f>
        <v>15620</v>
      </c>
      <c r="G46" s="125" cm="1">
        <f t="array" ref="G46">SUM(SUMIFS(G$9:G$40,$A$9:$A$40,{"Angus","Dundee City","Fife","Perth and Kinross"}))</f>
        <v>492539.82918617065</v>
      </c>
      <c r="H46" s="14">
        <f t="shared" si="1"/>
        <v>3.1713171350648146</v>
      </c>
      <c r="I46" s="15"/>
      <c r="J46" s="125" cm="1">
        <f t="array" ref="J46">SUM(SUMIFS(J$9:J$40,$A$9:$A$40,{"Angus","Dundee City","Fife","Perth and Kinross"}))</f>
        <v>15220</v>
      </c>
      <c r="K46" s="125" cm="1">
        <f t="array" ref="K46">SUM(SUMIFS(K$9:K$40,$A$9:$A$40,{"Angus","Dundee City","Fife","Perth and Kinross"}))</f>
        <v>488211.74139771698</v>
      </c>
      <c r="L46" s="14">
        <f t="shared" si="2"/>
        <v>3.1174997873722119</v>
      </c>
      <c r="M46" s="15"/>
      <c r="N46" s="125" cm="1">
        <f t="array" ref="N46">SUM(SUMIFS(N$9:N$40,$A$9:$A$40,{"Angus","Dundee City","Fife","Perth and Kinross"}))</f>
        <v>16050</v>
      </c>
      <c r="O46" s="125" cm="1">
        <f t="array" ref="O46">SUM(SUMIFS(O$9:O$40,$A$9:$A$40,{"Angus","Dundee City","Fife","Perth and Kinross"}))</f>
        <v>492525.92368871433</v>
      </c>
      <c r="P46" s="14">
        <f t="shared" si="3"/>
        <v>3.2587117201456994</v>
      </c>
      <c r="Q46" s="10"/>
      <c r="R46" s="125"/>
      <c r="S46" s="125"/>
      <c r="T46" s="14"/>
      <c r="U46" s="15"/>
      <c r="V46" s="125"/>
      <c r="W46" s="125"/>
      <c r="X46" s="14"/>
      <c r="Y46" s="15"/>
      <c r="Z46" s="125"/>
      <c r="AA46" s="125"/>
      <c r="AB46" s="14"/>
      <c r="AC46" s="15"/>
      <c r="AD46" s="125"/>
      <c r="AE46" s="125"/>
      <c r="AF46" s="14"/>
      <c r="AG46" s="10"/>
      <c r="AH46" s="125"/>
      <c r="AI46" s="125"/>
      <c r="AJ46" s="14"/>
      <c r="AK46" s="15"/>
      <c r="AL46" s="125"/>
      <c r="AM46" s="125"/>
      <c r="AN46" s="14"/>
      <c r="AO46" s="15"/>
      <c r="AP46" s="125"/>
      <c r="AQ46" s="125"/>
      <c r="AR46" s="14"/>
      <c r="AS46" s="15"/>
      <c r="AT46" s="125"/>
      <c r="AU46" s="125"/>
      <c r="AV46" s="14"/>
      <c r="AW46" s="10"/>
      <c r="AX46" s="125"/>
      <c r="AY46" s="125"/>
      <c r="AZ46" s="14"/>
      <c r="BA46" s="15"/>
      <c r="BB46" s="125"/>
      <c r="BC46" s="125"/>
      <c r="BD46" s="14"/>
      <c r="BE46" s="15"/>
      <c r="BF46" s="125"/>
      <c r="BG46" s="125"/>
      <c r="BH46" s="14"/>
      <c r="BI46" s="15"/>
      <c r="BJ46" s="125"/>
      <c r="BK46" s="125"/>
      <c r="BL46" s="14"/>
      <c r="BM46" s="10"/>
      <c r="BN46" s="125"/>
      <c r="BO46" s="125"/>
      <c r="BP46" s="14"/>
      <c r="BQ46" s="15"/>
      <c r="BR46" s="125"/>
      <c r="BS46" s="125"/>
      <c r="BT46" s="14"/>
      <c r="BU46" s="15"/>
      <c r="BV46" s="125"/>
      <c r="BW46" s="125"/>
      <c r="BX46" s="14"/>
      <c r="BY46" s="15"/>
      <c r="BZ46" s="125"/>
      <c r="CA46" s="125"/>
      <c r="CB46" s="14"/>
      <c r="CC46" s="10"/>
      <c r="CD46" s="125"/>
      <c r="CE46" s="125"/>
      <c r="CF46" s="14"/>
      <c r="CG46" s="15"/>
      <c r="CH46" s="125"/>
      <c r="CI46" s="125"/>
      <c r="CJ46" s="14"/>
      <c r="CK46" s="15"/>
      <c r="CL46" s="125"/>
      <c r="CM46" s="125"/>
      <c r="CN46" s="14"/>
      <c r="CO46" s="15"/>
      <c r="CP46" s="125"/>
      <c r="CQ46" s="125"/>
      <c r="CR46" s="14"/>
      <c r="CS46" s="10"/>
      <c r="CT46" s="125"/>
      <c r="CU46" s="125"/>
      <c r="CV46" s="14"/>
      <c r="CW46" s="15"/>
      <c r="CX46" s="125"/>
      <c r="CY46" s="125"/>
      <c r="CZ46" s="14"/>
      <c r="DA46" s="15"/>
      <c r="DB46" s="125"/>
      <c r="DC46" s="125"/>
      <c r="DD46" s="14"/>
      <c r="DE46" s="15"/>
      <c r="DF46" s="125"/>
      <c r="DG46" s="125"/>
      <c r="DH46" s="14"/>
      <c r="DI46" s="10"/>
      <c r="DJ46" s="125"/>
      <c r="DK46" s="125"/>
      <c r="DL46" s="14"/>
      <c r="DM46" s="15"/>
      <c r="DN46" s="125"/>
      <c r="DO46" s="125"/>
      <c r="DP46" s="14"/>
      <c r="DQ46" s="15"/>
      <c r="DR46" s="125"/>
      <c r="DS46" s="125"/>
      <c r="DT46" s="14"/>
      <c r="DU46" s="15"/>
      <c r="DV46" s="125"/>
      <c r="DW46" s="125"/>
      <c r="DX46" s="14"/>
      <c r="DY46" s="10"/>
      <c r="DZ46" s="125"/>
      <c r="EA46" s="125"/>
      <c r="EB46" s="14"/>
      <c r="EC46" s="15"/>
      <c r="ED46" s="125"/>
      <c r="EE46" s="125"/>
      <c r="EF46" s="14"/>
      <c r="EG46" s="15"/>
      <c r="EH46" s="125"/>
      <c r="EI46" s="125"/>
      <c r="EJ46" s="14"/>
      <c r="EK46" s="15"/>
      <c r="EL46" s="125"/>
      <c r="EM46" s="125"/>
      <c r="EN46" s="14"/>
      <c r="EO46" s="10"/>
      <c r="EP46" s="125"/>
      <c r="EQ46" s="125"/>
      <c r="ER46" s="14"/>
      <c r="ES46" s="15"/>
      <c r="ET46" s="125"/>
      <c r="EU46" s="125"/>
      <c r="EV46" s="14"/>
      <c r="EW46" s="15"/>
      <c r="EX46" s="125"/>
      <c r="EY46" s="125"/>
      <c r="EZ46" s="14"/>
      <c r="FA46" s="15"/>
      <c r="FB46" s="125"/>
      <c r="FC46" s="125"/>
      <c r="FD46" s="14"/>
      <c r="FE46" s="10"/>
      <c r="FF46" s="125"/>
      <c r="FG46" s="125"/>
      <c r="FH46" s="14"/>
      <c r="FI46" s="15"/>
      <c r="FJ46" s="125"/>
      <c r="FK46" s="125"/>
      <c r="FL46" s="14"/>
      <c r="FM46" s="15"/>
      <c r="FN46" s="125"/>
      <c r="FO46" s="125"/>
      <c r="FP46" s="14"/>
      <c r="FQ46" s="15"/>
      <c r="FR46" s="125"/>
      <c r="FS46" s="125"/>
      <c r="FT46" s="14"/>
      <c r="FU46" s="10"/>
      <c r="FV46" s="125"/>
      <c r="FW46" s="125"/>
      <c r="FX46" s="14"/>
      <c r="FY46" s="15"/>
      <c r="FZ46" s="125"/>
      <c r="GA46" s="125"/>
      <c r="GB46" s="14"/>
      <c r="GC46" s="15"/>
      <c r="GD46" s="125"/>
      <c r="GE46" s="125"/>
      <c r="GF46" s="14"/>
      <c r="GG46" s="15"/>
      <c r="GH46" s="125"/>
      <c r="GI46" s="125"/>
      <c r="GJ46" s="14"/>
      <c r="GK46" s="10"/>
      <c r="GL46" s="125"/>
      <c r="GM46" s="125"/>
      <c r="GN46" s="14"/>
      <c r="GO46" s="15"/>
      <c r="GP46" s="125"/>
      <c r="GQ46" s="125"/>
      <c r="GR46" s="14"/>
      <c r="GS46" s="15"/>
      <c r="GT46" s="125"/>
      <c r="GU46" s="125"/>
      <c r="GV46" s="14"/>
      <c r="GW46" s="15"/>
      <c r="GX46" s="125"/>
      <c r="GY46" s="125"/>
      <c r="GZ46" s="14"/>
      <c r="HA46" s="10"/>
      <c r="HB46" s="125"/>
      <c r="HC46" s="125"/>
      <c r="HD46" s="14"/>
      <c r="HE46" s="15"/>
      <c r="HF46" s="125"/>
      <c r="HG46" s="125"/>
      <c r="HH46" s="14"/>
      <c r="HI46" s="15"/>
      <c r="HJ46" s="125"/>
      <c r="HK46" s="125"/>
      <c r="HL46" s="14"/>
      <c r="HM46" s="15"/>
      <c r="HN46" s="125"/>
      <c r="HO46" s="125"/>
      <c r="HP46" s="14"/>
      <c r="HQ46" s="10"/>
      <c r="HR46" s="125"/>
      <c r="HS46" s="125"/>
      <c r="HT46" s="14"/>
      <c r="HU46" s="15"/>
      <c r="HV46" s="125"/>
      <c r="HW46" s="125"/>
      <c r="HX46" s="14"/>
      <c r="HY46" s="15"/>
      <c r="HZ46" s="125"/>
      <c r="IA46" s="125"/>
      <c r="IB46" s="14"/>
      <c r="IC46" s="15"/>
      <c r="ID46" s="125"/>
      <c r="IE46" s="125"/>
      <c r="IF46" s="14"/>
      <c r="IG46" s="10"/>
      <c r="IH46" s="125"/>
      <c r="II46" s="125"/>
      <c r="IJ46" s="14"/>
      <c r="IK46" s="15"/>
      <c r="IL46" s="125"/>
      <c r="IM46" s="125"/>
      <c r="IN46" s="14"/>
      <c r="IO46" s="15"/>
      <c r="IP46" s="125"/>
      <c r="IQ46" s="125"/>
      <c r="IR46" s="14"/>
      <c r="IS46" s="15"/>
      <c r="IT46" s="125"/>
      <c r="IU46" s="125"/>
      <c r="IV46" s="14"/>
      <c r="IW46" s="10"/>
      <c r="IX46" s="125"/>
      <c r="IY46" s="125"/>
      <c r="IZ46" s="14"/>
      <c r="JA46" s="15"/>
      <c r="JB46" s="125"/>
      <c r="JC46" s="125"/>
      <c r="JD46" s="14"/>
      <c r="JE46" s="15"/>
      <c r="JF46" s="125"/>
      <c r="JG46" s="125"/>
      <c r="JH46" s="14"/>
      <c r="JI46" s="15"/>
      <c r="JJ46" s="125"/>
      <c r="JK46" s="125"/>
      <c r="JL46" s="14"/>
      <c r="JM46" s="10"/>
      <c r="JN46" s="125"/>
      <c r="JO46" s="125"/>
      <c r="JP46" s="14"/>
      <c r="JQ46" s="15"/>
      <c r="JR46" s="125"/>
      <c r="JS46" s="125"/>
      <c r="JT46" s="14"/>
      <c r="JU46" s="15"/>
      <c r="JV46" s="125"/>
      <c r="JW46" s="125"/>
      <c r="JX46" s="14"/>
      <c r="JY46" s="15"/>
      <c r="JZ46" s="125"/>
      <c r="KA46" s="125"/>
      <c r="KB46" s="14"/>
      <c r="KC46" s="10"/>
      <c r="KD46" s="125"/>
      <c r="KE46" s="125"/>
      <c r="KF46" s="14"/>
      <c r="KG46" s="15"/>
      <c r="KH46" s="125"/>
      <c r="KI46" s="125"/>
      <c r="KJ46" s="14"/>
      <c r="KK46" s="15"/>
      <c r="KL46" s="125"/>
      <c r="KM46" s="125"/>
      <c r="KN46" s="14"/>
      <c r="KO46" s="15"/>
      <c r="KP46" s="125"/>
      <c r="KQ46" s="125"/>
      <c r="KR46" s="14"/>
      <c r="KS46" s="10"/>
      <c r="KT46" s="125"/>
      <c r="KU46" s="125"/>
      <c r="KV46" s="14"/>
      <c r="KW46" s="15"/>
      <c r="KX46" s="125"/>
      <c r="KY46" s="125"/>
      <c r="KZ46" s="14"/>
      <c r="LA46" s="15"/>
      <c r="LB46" s="125"/>
      <c r="LC46" s="125"/>
      <c r="LD46" s="14"/>
      <c r="LE46" s="15"/>
      <c r="LF46" s="125"/>
      <c r="LG46" s="125"/>
      <c r="LH46" s="14"/>
      <c r="LI46" s="10"/>
      <c r="LJ46" s="125"/>
      <c r="LK46" s="125"/>
      <c r="LL46" s="14"/>
      <c r="LM46" s="15"/>
      <c r="LN46" s="125"/>
      <c r="LO46" s="125"/>
      <c r="LP46" s="14"/>
      <c r="LQ46" s="15"/>
      <c r="LR46" s="125"/>
      <c r="LS46" s="125"/>
      <c r="LT46" s="14"/>
      <c r="LU46" s="15"/>
      <c r="LV46" s="125"/>
      <c r="LW46" s="125"/>
      <c r="LX46" s="14"/>
      <c r="LY46" s="10"/>
      <c r="LZ46" s="125"/>
      <c r="MA46" s="125"/>
      <c r="MB46" s="14"/>
      <c r="MC46" s="15"/>
      <c r="MD46" s="125"/>
      <c r="ME46" s="125"/>
      <c r="MF46" s="14"/>
      <c r="MG46" s="15"/>
      <c r="MH46" s="125"/>
      <c r="MI46" s="125"/>
      <c r="MJ46" s="14"/>
      <c r="MK46" s="15"/>
      <c r="ML46" s="125"/>
      <c r="MM46" s="125"/>
      <c r="MN46" s="14"/>
      <c r="MO46" s="10"/>
      <c r="MP46" s="125"/>
      <c r="MQ46" s="125"/>
      <c r="MR46" s="14"/>
      <c r="MS46" s="15"/>
      <c r="MT46" s="125"/>
      <c r="MU46" s="125"/>
      <c r="MV46" s="14"/>
      <c r="MW46" s="15"/>
      <c r="MX46" s="125"/>
      <c r="MY46" s="125"/>
      <c r="MZ46" s="14"/>
      <c r="NA46" s="15"/>
      <c r="NB46" s="125"/>
      <c r="NC46" s="125"/>
      <c r="ND46" s="14"/>
      <c r="NE46" s="10"/>
      <c r="NF46" s="125"/>
      <c r="NG46" s="125"/>
      <c r="NH46" s="14"/>
      <c r="NI46" s="15"/>
      <c r="NJ46" s="125"/>
      <c r="NK46" s="125"/>
      <c r="NL46" s="14"/>
      <c r="NM46" s="15"/>
      <c r="NN46" s="125"/>
      <c r="NO46" s="125"/>
      <c r="NP46" s="14"/>
      <c r="NQ46" s="15"/>
      <c r="NR46" s="125"/>
      <c r="NS46" s="125"/>
      <c r="NT46" s="14"/>
      <c r="NU46" s="10"/>
      <c r="NV46" s="125"/>
      <c r="NW46" s="125"/>
      <c r="NX46" s="14"/>
      <c r="NY46" s="15"/>
      <c r="NZ46" s="125"/>
      <c r="OA46" s="125"/>
      <c r="OB46" s="14"/>
      <c r="OC46" s="15"/>
      <c r="OD46" s="125"/>
      <c r="OE46" s="125"/>
      <c r="OF46" s="14"/>
      <c r="OG46" s="15"/>
      <c r="OH46" s="125"/>
      <c r="OI46" s="125"/>
      <c r="OJ46" s="14"/>
      <c r="OK46" s="10"/>
      <c r="OL46" s="125"/>
      <c r="OM46" s="125"/>
      <c r="ON46" s="14"/>
      <c r="OO46" s="15"/>
      <c r="OP46" s="125"/>
      <c r="OQ46" s="125"/>
      <c r="OR46" s="14"/>
      <c r="OS46" s="15"/>
      <c r="OT46" s="125"/>
      <c r="OU46" s="125"/>
      <c r="OV46" s="14"/>
      <c r="OW46" s="15"/>
      <c r="OX46" s="125"/>
      <c r="OY46" s="125"/>
      <c r="OZ46" s="14"/>
      <c r="PA46" s="10"/>
      <c r="PB46" s="125"/>
      <c r="PC46" s="125"/>
      <c r="PD46" s="14"/>
      <c r="PE46" s="15"/>
      <c r="PF46" s="125"/>
      <c r="PG46" s="125"/>
      <c r="PH46" s="14"/>
      <c r="PI46" s="15"/>
      <c r="PJ46" s="125"/>
      <c r="PK46" s="125"/>
      <c r="PL46" s="14"/>
      <c r="PM46" s="15"/>
      <c r="PN46" s="125"/>
      <c r="PO46" s="125"/>
      <c r="PP46" s="14"/>
      <c r="PQ46" s="10"/>
      <c r="PR46" s="125"/>
      <c r="PS46" s="125"/>
      <c r="PT46" s="14"/>
      <c r="PU46" s="15"/>
      <c r="PV46" s="125"/>
      <c r="PW46" s="125"/>
      <c r="PX46" s="14"/>
      <c r="PY46" s="15"/>
      <c r="PZ46" s="125"/>
      <c r="QA46" s="125"/>
      <c r="QB46" s="14"/>
      <c r="QC46" s="15"/>
      <c r="QD46" s="125"/>
      <c r="QE46" s="125"/>
      <c r="QF46" s="14"/>
      <c r="QG46" s="10"/>
      <c r="QH46" s="125"/>
      <c r="QI46" s="125"/>
      <c r="QJ46" s="14"/>
      <c r="QK46" s="15"/>
      <c r="QL46" s="125"/>
      <c r="QM46" s="125"/>
      <c r="QN46" s="14"/>
      <c r="QO46" s="15"/>
      <c r="QP46" s="125"/>
      <c r="QQ46" s="125"/>
      <c r="QR46" s="14"/>
      <c r="QS46" s="15"/>
      <c r="QT46" s="125"/>
      <c r="QU46" s="125"/>
      <c r="QV46" s="14"/>
      <c r="QW46" s="10"/>
      <c r="QX46" s="125"/>
      <c r="QY46" s="125"/>
      <c r="QZ46" s="14"/>
      <c r="RA46" s="15"/>
      <c r="RB46" s="125"/>
      <c r="RC46" s="125"/>
      <c r="RD46" s="14"/>
      <c r="RE46" s="15"/>
      <c r="RF46" s="125"/>
      <c r="RG46" s="125"/>
      <c r="RH46" s="14"/>
      <c r="RI46" s="15"/>
      <c r="RJ46" s="125"/>
      <c r="RK46" s="125"/>
      <c r="RL46" s="14"/>
      <c r="RM46" s="10"/>
      <c r="RN46" s="125"/>
      <c r="RO46" s="125"/>
      <c r="RP46" s="14"/>
      <c r="RQ46" s="15"/>
      <c r="RR46" s="125"/>
      <c r="RS46" s="125"/>
      <c r="RT46" s="14"/>
      <c r="RU46" s="15"/>
      <c r="RV46" s="125"/>
      <c r="RW46" s="125"/>
      <c r="RX46" s="14"/>
      <c r="RY46" s="15"/>
      <c r="RZ46" s="125"/>
      <c r="SA46" s="125"/>
      <c r="SB46" s="14"/>
      <c r="SC46" s="10"/>
      <c r="SD46" s="125"/>
      <c r="SE46" s="125"/>
      <c r="SF46" s="14"/>
      <c r="SG46" s="15"/>
      <c r="SH46" s="125"/>
      <c r="SI46" s="125"/>
      <c r="SJ46" s="14"/>
      <c r="SK46" s="15"/>
      <c r="SL46" s="125"/>
      <c r="SM46" s="125"/>
      <c r="SN46" s="14"/>
      <c r="SO46" s="15"/>
      <c r="SP46" s="125"/>
      <c r="SQ46" s="125"/>
      <c r="SR46" s="14"/>
      <c r="SS46" s="10"/>
      <c r="ST46" s="125"/>
      <c r="SU46" s="125"/>
      <c r="SV46" s="14"/>
      <c r="SW46" s="15"/>
      <c r="SX46" s="125"/>
      <c r="SY46" s="125"/>
      <c r="SZ46" s="14"/>
      <c r="TA46" s="15"/>
      <c r="TB46" s="125"/>
      <c r="TC46" s="125"/>
      <c r="TD46" s="14"/>
      <c r="TE46" s="15"/>
      <c r="TF46" s="125"/>
      <c r="TG46" s="125"/>
      <c r="TH46" s="14"/>
      <c r="TI46" s="10"/>
      <c r="TJ46" s="125"/>
      <c r="TK46" s="125"/>
      <c r="TL46" s="14"/>
      <c r="TM46" s="15"/>
      <c r="TN46" s="125"/>
      <c r="TO46" s="125"/>
      <c r="TP46" s="14"/>
      <c r="TQ46" s="15"/>
      <c r="TR46" s="125"/>
      <c r="TS46" s="125"/>
      <c r="TT46" s="14"/>
      <c r="TU46" s="15"/>
      <c r="TV46" s="125"/>
      <c r="TW46" s="125"/>
      <c r="TX46" s="14"/>
      <c r="TY46" s="10"/>
      <c r="TZ46" s="125"/>
      <c r="UA46" s="125"/>
      <c r="UB46" s="14"/>
      <c r="UC46" s="15"/>
      <c r="UD46" s="125"/>
      <c r="UE46" s="125"/>
      <c r="UF46" s="14"/>
      <c r="UG46" s="15"/>
      <c r="UH46" s="125"/>
      <c r="UI46" s="125"/>
      <c r="UJ46" s="14"/>
      <c r="UK46" s="15"/>
      <c r="UL46" s="125"/>
      <c r="UM46" s="125"/>
      <c r="UN46" s="14"/>
      <c r="UO46" s="10"/>
      <c r="UP46" s="125"/>
      <c r="UQ46" s="125"/>
      <c r="UR46" s="14"/>
      <c r="US46" s="15"/>
      <c r="UT46" s="125"/>
      <c r="UU46" s="125"/>
      <c r="UV46" s="14"/>
      <c r="UW46" s="15"/>
      <c r="UX46" s="125"/>
      <c r="UY46" s="125"/>
      <c r="UZ46" s="14"/>
      <c r="VA46" s="15"/>
      <c r="VB46" s="125"/>
      <c r="VC46" s="125"/>
      <c r="VD46" s="14"/>
      <c r="VE46" s="10"/>
      <c r="VF46" s="125"/>
      <c r="VG46" s="125"/>
      <c r="VH46" s="14"/>
      <c r="VI46" s="15"/>
      <c r="VJ46" s="125"/>
      <c r="VK46" s="125"/>
      <c r="VL46" s="14"/>
      <c r="VM46" s="15"/>
      <c r="VN46" s="125"/>
      <c r="VO46" s="125"/>
      <c r="VP46" s="14"/>
      <c r="VQ46" s="15"/>
      <c r="VR46" s="125"/>
      <c r="VS46" s="125"/>
      <c r="VT46" s="14"/>
      <c r="VU46" s="10"/>
      <c r="VV46" s="125"/>
      <c r="VW46" s="125"/>
      <c r="VX46" s="14"/>
      <c r="VY46" s="15"/>
      <c r="VZ46" s="125"/>
      <c r="WA46" s="125"/>
      <c r="WB46" s="14"/>
      <c r="WC46" s="15"/>
      <c r="WD46" s="125"/>
      <c r="WE46" s="125"/>
      <c r="WF46" s="14"/>
      <c r="WG46" s="15"/>
      <c r="WH46" s="125"/>
      <c r="WI46" s="125"/>
      <c r="WJ46" s="14"/>
      <c r="WK46" s="10"/>
      <c r="WL46" s="125"/>
      <c r="WM46" s="125"/>
      <c r="WN46" s="14"/>
      <c r="WO46" s="15"/>
      <c r="WP46" s="125"/>
      <c r="WQ46" s="125"/>
      <c r="WR46" s="14"/>
      <c r="WS46" s="15"/>
      <c r="WT46" s="125"/>
      <c r="WU46" s="125"/>
      <c r="WV46" s="14"/>
      <c r="WW46" s="15"/>
      <c r="WX46" s="125"/>
      <c r="WY46" s="125"/>
      <c r="WZ46" s="14"/>
      <c r="XA46" s="10"/>
      <c r="XB46" s="125"/>
      <c r="XC46" s="125"/>
      <c r="XD46" s="14"/>
      <c r="XE46" s="15"/>
      <c r="XF46" s="125"/>
      <c r="XG46" s="125"/>
      <c r="XH46" s="14"/>
      <c r="XI46" s="15"/>
      <c r="XJ46" s="125"/>
      <c r="XK46" s="125"/>
      <c r="XL46" s="14"/>
      <c r="XM46" s="15"/>
      <c r="XN46" s="125"/>
      <c r="XO46" s="125"/>
      <c r="XP46" s="14"/>
      <c r="XQ46" s="10"/>
      <c r="XR46" s="125"/>
      <c r="XS46" s="125"/>
      <c r="XT46" s="14"/>
      <c r="XU46" s="15"/>
      <c r="XV46" s="125"/>
      <c r="XW46" s="125"/>
      <c r="XX46" s="14"/>
      <c r="XY46" s="15"/>
      <c r="XZ46" s="125"/>
      <c r="YA46" s="125"/>
      <c r="YB46" s="14"/>
      <c r="YC46" s="15"/>
      <c r="YD46" s="125"/>
      <c r="YE46" s="125"/>
      <c r="YF46" s="14"/>
      <c r="YG46" s="10"/>
      <c r="YH46" s="125"/>
      <c r="YI46" s="125"/>
      <c r="YJ46" s="14"/>
      <c r="YK46" s="15"/>
      <c r="YL46" s="125"/>
      <c r="YM46" s="125"/>
      <c r="YN46" s="14"/>
      <c r="YO46" s="15"/>
      <c r="YP46" s="125"/>
      <c r="YQ46" s="125"/>
      <c r="YR46" s="14"/>
      <c r="YS46" s="15"/>
      <c r="YT46" s="125"/>
      <c r="YU46" s="125"/>
      <c r="YV46" s="14"/>
      <c r="YW46" s="10"/>
      <c r="YX46" s="125"/>
      <c r="YY46" s="125"/>
      <c r="YZ46" s="14"/>
      <c r="ZA46" s="15"/>
      <c r="ZB46" s="125"/>
      <c r="ZC46" s="125"/>
      <c r="ZD46" s="14"/>
      <c r="ZE46" s="15"/>
      <c r="ZF46" s="125"/>
      <c r="ZG46" s="125"/>
      <c r="ZH46" s="14"/>
      <c r="ZI46" s="15"/>
      <c r="ZJ46" s="125"/>
      <c r="ZK46" s="125"/>
      <c r="ZL46" s="14"/>
      <c r="ZM46" s="10"/>
      <c r="ZN46" s="125"/>
      <c r="ZO46" s="125"/>
      <c r="ZP46" s="14"/>
      <c r="ZQ46" s="15"/>
      <c r="ZR46" s="125"/>
      <c r="ZS46" s="125"/>
      <c r="ZT46" s="14"/>
      <c r="ZU46" s="15"/>
      <c r="ZV46" s="125"/>
      <c r="ZW46" s="125"/>
      <c r="ZX46" s="14"/>
      <c r="ZY46" s="15"/>
      <c r="ZZ46" s="125"/>
      <c r="AAA46" s="125"/>
      <c r="AAB46" s="14"/>
      <c r="AAC46" s="10"/>
      <c r="AAD46" s="125"/>
      <c r="AAE46" s="125"/>
      <c r="AAF46" s="14"/>
      <c r="AAG46" s="15"/>
      <c r="AAH46" s="125"/>
      <c r="AAI46" s="125"/>
      <c r="AAJ46" s="14"/>
      <c r="AAK46" s="15"/>
      <c r="AAL46" s="125"/>
      <c r="AAM46" s="125"/>
      <c r="AAN46" s="14"/>
      <c r="AAO46" s="15"/>
      <c r="AAP46" s="125"/>
      <c r="AAQ46" s="125"/>
      <c r="AAR46" s="14"/>
      <c r="AAS46" s="10"/>
      <c r="AAT46" s="125"/>
      <c r="AAU46" s="125"/>
      <c r="AAV46" s="14"/>
      <c r="AAW46" s="15"/>
      <c r="AAX46" s="125"/>
      <c r="AAY46" s="125"/>
      <c r="AAZ46" s="14"/>
      <c r="ABA46" s="15"/>
      <c r="ABB46" s="125"/>
      <c r="ABC46" s="125"/>
      <c r="ABD46" s="14"/>
      <c r="ABE46" s="15"/>
      <c r="ABF46" s="125"/>
      <c r="ABG46" s="125"/>
      <c r="ABH46" s="14"/>
      <c r="ABI46" s="10"/>
      <c r="ABJ46" s="125"/>
      <c r="ABK46" s="125"/>
      <c r="ABL46" s="14"/>
      <c r="ABM46" s="15"/>
      <c r="ABN46" s="125"/>
      <c r="ABO46" s="125"/>
      <c r="ABP46" s="14"/>
      <c r="ABQ46" s="15"/>
      <c r="ABR46" s="125"/>
      <c r="ABS46" s="125"/>
      <c r="ABT46" s="14"/>
      <c r="ABU46" s="15"/>
      <c r="ABV46" s="125"/>
      <c r="ABW46" s="125"/>
      <c r="ABX46" s="14"/>
      <c r="ABY46" s="10"/>
      <c r="ABZ46" s="125"/>
      <c r="ACA46" s="125"/>
      <c r="ACB46" s="14"/>
      <c r="ACC46" s="15"/>
      <c r="ACD46" s="125"/>
      <c r="ACE46" s="125"/>
      <c r="ACF46" s="14"/>
      <c r="ACG46" s="15"/>
      <c r="ACH46" s="125"/>
      <c r="ACI46" s="125"/>
      <c r="ACJ46" s="14"/>
      <c r="ACK46" s="15"/>
      <c r="ACL46" s="125"/>
      <c r="ACM46" s="125"/>
      <c r="ACN46" s="14"/>
      <c r="ACO46" s="10"/>
      <c r="ACP46" s="125"/>
      <c r="ACQ46" s="125"/>
      <c r="ACR46" s="14"/>
      <c r="ACS46" s="15"/>
      <c r="ACT46" s="125"/>
      <c r="ACU46" s="125"/>
      <c r="ACV46" s="14"/>
      <c r="ACW46" s="15"/>
      <c r="ACX46" s="125"/>
      <c r="ACY46" s="125"/>
      <c r="ACZ46" s="14"/>
      <c r="ADA46" s="15"/>
      <c r="ADB46" s="125"/>
      <c r="ADC46" s="125"/>
      <c r="ADD46" s="14"/>
      <c r="ADE46" s="10"/>
      <c r="ADF46" s="125"/>
      <c r="ADG46" s="125"/>
      <c r="ADH46" s="14"/>
      <c r="ADI46" s="15"/>
      <c r="ADJ46" s="125"/>
      <c r="ADK46" s="125"/>
      <c r="ADL46" s="14"/>
      <c r="ADM46" s="15"/>
      <c r="ADN46" s="125"/>
      <c r="ADO46" s="125"/>
      <c r="ADP46" s="14"/>
      <c r="ADQ46" s="15"/>
      <c r="ADR46" s="125"/>
      <c r="ADS46" s="125"/>
      <c r="ADT46" s="14"/>
      <c r="ADU46" s="10"/>
      <c r="ADV46" s="125"/>
      <c r="ADW46" s="125"/>
      <c r="ADX46" s="14"/>
      <c r="ADY46" s="15"/>
      <c r="ADZ46" s="125"/>
      <c r="AEA46" s="125"/>
      <c r="AEB46" s="14"/>
      <c r="AEC46" s="15"/>
      <c r="AED46" s="125"/>
      <c r="AEE46" s="125"/>
      <c r="AEF46" s="14"/>
      <c r="AEG46" s="15"/>
      <c r="AEH46" s="125"/>
      <c r="AEI46" s="125"/>
      <c r="AEJ46" s="14"/>
      <c r="AEK46" s="10"/>
      <c r="AEL46" s="125"/>
      <c r="AEM46" s="125"/>
      <c r="AEN46" s="14"/>
      <c r="AEO46" s="15"/>
      <c r="AEP46" s="125"/>
      <c r="AEQ46" s="125"/>
      <c r="AER46" s="14"/>
      <c r="AES46" s="15"/>
      <c r="AET46" s="125"/>
      <c r="AEU46" s="125"/>
      <c r="AEV46" s="14"/>
      <c r="AEW46" s="15"/>
      <c r="AEX46" s="125"/>
      <c r="AEY46" s="125"/>
      <c r="AEZ46" s="14"/>
      <c r="AFA46" s="10"/>
      <c r="AFB46" s="125"/>
      <c r="AFC46" s="125"/>
      <c r="AFD46" s="14"/>
      <c r="AFE46" s="15"/>
      <c r="AFF46" s="125"/>
      <c r="AFG46" s="125"/>
      <c r="AFH46" s="14"/>
      <c r="AFI46" s="15"/>
      <c r="AFJ46" s="125"/>
      <c r="AFK46" s="125"/>
      <c r="AFL46" s="14"/>
      <c r="AFM46" s="15"/>
      <c r="AFN46" s="125"/>
      <c r="AFO46" s="125"/>
      <c r="AFP46" s="14"/>
      <c r="AFQ46" s="10"/>
      <c r="AFR46" s="125"/>
      <c r="AFS46" s="125"/>
      <c r="AFT46" s="14"/>
      <c r="AFU46" s="15"/>
      <c r="AFV46" s="125"/>
      <c r="AFW46" s="125"/>
      <c r="AFX46" s="14"/>
      <c r="AFY46" s="15"/>
      <c r="AFZ46" s="125"/>
      <c r="AGA46" s="125"/>
      <c r="AGB46" s="14"/>
      <c r="AGC46" s="15"/>
      <c r="AGD46" s="125"/>
      <c r="AGE46" s="125"/>
      <c r="AGF46" s="14"/>
      <c r="AGG46" s="10"/>
      <c r="AGH46" s="125"/>
      <c r="AGI46" s="125"/>
      <c r="AGJ46" s="14"/>
      <c r="AGK46" s="15"/>
      <c r="AGL46" s="125"/>
      <c r="AGM46" s="125"/>
      <c r="AGN46" s="14"/>
      <c r="AGO46" s="15"/>
      <c r="AGP46" s="125"/>
      <c r="AGQ46" s="125"/>
      <c r="AGR46" s="14"/>
      <c r="AGS46" s="15"/>
      <c r="AGT46" s="125"/>
      <c r="AGU46" s="125"/>
      <c r="AGV46" s="14"/>
      <c r="AGW46" s="10"/>
      <c r="AGX46" s="125"/>
      <c r="AGY46" s="125"/>
      <c r="AGZ46" s="14"/>
      <c r="AHA46" s="15"/>
      <c r="AHB46" s="125"/>
      <c r="AHC46" s="125"/>
      <c r="AHD46" s="14"/>
      <c r="AHE46" s="15"/>
      <c r="AHF46" s="125"/>
      <c r="AHG46" s="125"/>
      <c r="AHH46" s="14"/>
      <c r="AHI46" s="15"/>
      <c r="AHJ46" s="125"/>
      <c r="AHK46" s="125"/>
      <c r="AHL46" s="14"/>
      <c r="AHM46" s="10"/>
      <c r="AHN46" s="125"/>
      <c r="AHO46" s="125"/>
      <c r="AHP46" s="14"/>
      <c r="AHQ46" s="15"/>
      <c r="AHR46" s="125"/>
      <c r="AHS46" s="125"/>
      <c r="AHT46" s="14"/>
      <c r="AHU46" s="15"/>
      <c r="AHV46" s="125"/>
      <c r="AHW46" s="125"/>
      <c r="AHX46" s="14"/>
      <c r="AHY46" s="15"/>
      <c r="AHZ46" s="125"/>
      <c r="AIA46" s="125"/>
      <c r="AIB46" s="14"/>
      <c r="AIC46" s="10"/>
      <c r="AID46" s="125"/>
      <c r="AIE46" s="125"/>
      <c r="AIF46" s="14"/>
      <c r="AIG46" s="15"/>
      <c r="AIH46" s="125"/>
      <c r="AII46" s="125"/>
      <c r="AIJ46" s="14"/>
      <c r="AIK46" s="15"/>
      <c r="AIL46" s="125"/>
      <c r="AIM46" s="125"/>
      <c r="AIN46" s="14"/>
      <c r="AIO46" s="15"/>
      <c r="AIP46" s="125"/>
      <c r="AIQ46" s="125"/>
      <c r="AIR46" s="14"/>
      <c r="AIS46" s="10"/>
      <c r="AIT46" s="125"/>
      <c r="AIU46" s="125"/>
      <c r="AIV46" s="14"/>
      <c r="AIW46" s="15"/>
      <c r="AIX46" s="125"/>
      <c r="AIY46" s="125"/>
      <c r="AIZ46" s="14"/>
      <c r="AJA46" s="15"/>
      <c r="AJB46" s="125"/>
      <c r="AJC46" s="125"/>
      <c r="AJD46" s="14"/>
      <c r="AJE46" s="15"/>
      <c r="AJF46" s="125"/>
      <c r="AJG46" s="125"/>
      <c r="AJH46" s="14"/>
      <c r="AJI46" s="10"/>
      <c r="AJJ46" s="125"/>
      <c r="AJK46" s="125"/>
      <c r="AJL46" s="14"/>
      <c r="AJM46" s="15"/>
      <c r="AJN46" s="125"/>
      <c r="AJO46" s="125"/>
      <c r="AJP46" s="14"/>
      <c r="AJQ46" s="15"/>
      <c r="AJR46" s="125"/>
      <c r="AJS46" s="125"/>
      <c r="AJT46" s="14"/>
      <c r="AJU46" s="15"/>
      <c r="AJV46" s="125"/>
      <c r="AJW46" s="125"/>
      <c r="AJX46" s="14"/>
      <c r="AJY46" s="10"/>
      <c r="AJZ46" s="125"/>
      <c r="AKA46" s="125"/>
      <c r="AKB46" s="14"/>
      <c r="AKC46" s="15"/>
      <c r="AKD46" s="125"/>
      <c r="AKE46" s="125"/>
      <c r="AKF46" s="14"/>
      <c r="AKG46" s="15"/>
      <c r="AKH46" s="125"/>
      <c r="AKI46" s="125"/>
      <c r="AKJ46" s="14"/>
      <c r="AKK46" s="15"/>
      <c r="AKL46" s="125"/>
      <c r="AKM46" s="125"/>
      <c r="AKN46" s="14"/>
      <c r="AKO46" s="10"/>
      <c r="AKP46" s="125"/>
      <c r="AKQ46" s="125"/>
      <c r="AKR46" s="14"/>
      <c r="AKS46" s="15"/>
      <c r="AKT46" s="125"/>
      <c r="AKU46" s="125"/>
      <c r="AKV46" s="14"/>
      <c r="AKW46" s="15"/>
      <c r="AKX46" s="125"/>
      <c r="AKY46" s="125"/>
      <c r="AKZ46" s="14"/>
      <c r="ALA46" s="15"/>
      <c r="ALB46" s="125"/>
      <c r="ALC46" s="125"/>
      <c r="ALD46" s="14"/>
      <c r="ALE46" s="10"/>
      <c r="ALF46" s="125"/>
      <c r="ALG46" s="125"/>
      <c r="ALH46" s="14"/>
      <c r="ALI46" s="15"/>
      <c r="ALJ46" s="125"/>
      <c r="ALK46" s="125"/>
      <c r="ALL46" s="14"/>
      <c r="ALM46" s="15"/>
      <c r="ALN46" s="125"/>
      <c r="ALO46" s="125"/>
      <c r="ALP46" s="14"/>
      <c r="ALQ46" s="15"/>
      <c r="ALR46" s="125"/>
      <c r="ALS46" s="125"/>
      <c r="ALT46" s="14"/>
      <c r="ALU46" s="10"/>
      <c r="ALV46" s="125"/>
      <c r="ALW46" s="125"/>
      <c r="ALX46" s="14"/>
      <c r="ALY46" s="15"/>
      <c r="ALZ46" s="125"/>
      <c r="AMA46" s="125"/>
      <c r="AMB46" s="14"/>
      <c r="AMC46" s="15"/>
      <c r="AMD46" s="125"/>
      <c r="AME46" s="125"/>
      <c r="AMF46" s="14"/>
      <c r="AMG46" s="15"/>
      <c r="AMH46" s="125"/>
      <c r="AMI46" s="125"/>
      <c r="AMJ46" s="14"/>
      <c r="AMK46" s="10"/>
      <c r="AML46" s="125"/>
      <c r="AMM46" s="125"/>
      <c r="AMN46" s="14"/>
      <c r="AMO46" s="15"/>
      <c r="AMP46" s="125"/>
      <c r="AMQ46" s="125"/>
      <c r="AMR46" s="14"/>
      <c r="AMS46" s="15"/>
      <c r="AMT46" s="125"/>
      <c r="AMU46" s="125"/>
      <c r="AMV46" s="14"/>
      <c r="AMW46" s="15"/>
      <c r="AMX46" s="125"/>
      <c r="AMY46" s="125"/>
      <c r="AMZ46" s="14"/>
      <c r="ANA46" s="10"/>
      <c r="ANB46" s="125"/>
      <c r="ANC46" s="125"/>
      <c r="AND46" s="14"/>
      <c r="ANE46" s="15"/>
      <c r="ANF46" s="125"/>
      <c r="ANG46" s="125"/>
      <c r="ANH46" s="14"/>
      <c r="ANI46" s="15"/>
      <c r="ANJ46" s="125"/>
      <c r="ANK46" s="125"/>
      <c r="ANL46" s="14"/>
      <c r="ANM46" s="15"/>
      <c r="ANN46" s="125"/>
      <c r="ANO46" s="125"/>
      <c r="ANP46" s="14"/>
      <c r="ANQ46" s="10"/>
      <c r="ANR46" s="125"/>
      <c r="ANS46" s="125"/>
      <c r="ANT46" s="14"/>
      <c r="ANU46" s="15"/>
      <c r="ANV46" s="125"/>
      <c r="ANW46" s="125"/>
      <c r="ANX46" s="14"/>
      <c r="ANY46" s="15"/>
      <c r="ANZ46" s="125"/>
      <c r="AOA46" s="125"/>
      <c r="AOB46" s="14"/>
      <c r="AOC46" s="15"/>
      <c r="AOD46" s="125"/>
      <c r="AOE46" s="125"/>
      <c r="AOF46" s="14"/>
      <c r="AOG46" s="10"/>
      <c r="AOH46" s="125"/>
      <c r="AOI46" s="125"/>
      <c r="AOJ46" s="14"/>
      <c r="AOK46" s="15"/>
      <c r="AOL46" s="125"/>
      <c r="AOM46" s="125"/>
      <c r="AON46" s="14"/>
      <c r="AOO46" s="15"/>
      <c r="AOP46" s="125"/>
      <c r="AOQ46" s="125"/>
      <c r="AOR46" s="14"/>
      <c r="AOS46" s="15"/>
      <c r="AOT46" s="125"/>
      <c r="AOU46" s="125"/>
      <c r="AOV46" s="14"/>
      <c r="AOW46" s="10"/>
      <c r="AOX46" s="125"/>
      <c r="AOY46" s="125"/>
      <c r="AOZ46" s="14"/>
      <c r="APA46" s="15"/>
      <c r="APB46" s="125"/>
      <c r="APC46" s="125"/>
      <c r="APD46" s="14"/>
      <c r="APE46" s="15"/>
      <c r="APF46" s="125"/>
      <c r="APG46" s="125"/>
      <c r="APH46" s="14"/>
      <c r="API46" s="15"/>
      <c r="APJ46" s="125"/>
      <c r="APK46" s="125"/>
      <c r="APL46" s="14"/>
      <c r="APM46" s="10"/>
      <c r="APN46" s="125"/>
      <c r="APO46" s="125"/>
      <c r="APP46" s="14"/>
      <c r="APQ46" s="15"/>
      <c r="APR46" s="125"/>
      <c r="APS46" s="125"/>
      <c r="APT46" s="14"/>
      <c r="APU46" s="15"/>
      <c r="APV46" s="125"/>
      <c r="APW46" s="125"/>
      <c r="APX46" s="14"/>
      <c r="APY46" s="15"/>
      <c r="APZ46" s="125"/>
      <c r="AQA46" s="125"/>
      <c r="AQB46" s="14"/>
      <c r="AQC46" s="10"/>
      <c r="AQD46" s="125"/>
      <c r="AQE46" s="125"/>
      <c r="AQF46" s="14"/>
      <c r="AQG46" s="15"/>
      <c r="AQH46" s="125"/>
      <c r="AQI46" s="125"/>
      <c r="AQJ46" s="14"/>
      <c r="AQK46" s="15"/>
      <c r="AQL46" s="125"/>
      <c r="AQM46" s="125"/>
      <c r="AQN46" s="14"/>
      <c r="AQO46" s="15"/>
      <c r="AQP46" s="125"/>
      <c r="AQQ46" s="125"/>
      <c r="AQR46" s="14"/>
      <c r="AQS46" s="10"/>
      <c r="AQT46" s="125"/>
      <c r="AQU46" s="125"/>
      <c r="AQV46" s="14"/>
      <c r="AQW46" s="15"/>
      <c r="AQX46" s="125"/>
      <c r="AQY46" s="125"/>
      <c r="AQZ46" s="14"/>
      <c r="ARA46" s="15"/>
      <c r="ARB46" s="125"/>
      <c r="ARC46" s="125"/>
      <c r="ARD46" s="14"/>
      <c r="ARE46" s="15"/>
      <c r="ARF46" s="125"/>
      <c r="ARG46" s="125"/>
      <c r="ARH46" s="14"/>
      <c r="ARI46" s="10"/>
      <c r="ARJ46" s="125"/>
      <c r="ARK46" s="125"/>
      <c r="ARL46" s="14"/>
      <c r="ARM46" s="15"/>
      <c r="ARN46" s="125"/>
      <c r="ARO46" s="125"/>
      <c r="ARP46" s="14"/>
      <c r="ARQ46" s="15"/>
      <c r="ARR46" s="125"/>
      <c r="ARS46" s="125"/>
      <c r="ART46" s="14"/>
      <c r="ARU46" s="15"/>
      <c r="ARV46" s="125"/>
      <c r="ARW46" s="125"/>
      <c r="ARX46" s="14"/>
      <c r="ARY46" s="10"/>
      <c r="ARZ46" s="125"/>
      <c r="ASA46" s="125"/>
      <c r="ASB46" s="14"/>
      <c r="ASC46" s="15"/>
      <c r="ASD46" s="125"/>
      <c r="ASE46" s="125"/>
      <c r="ASF46" s="14"/>
      <c r="ASG46" s="15"/>
      <c r="ASH46" s="125"/>
      <c r="ASI46" s="125"/>
      <c r="ASJ46" s="14"/>
      <c r="ASK46" s="15"/>
      <c r="ASL46" s="125"/>
      <c r="ASM46" s="125"/>
      <c r="ASN46" s="14"/>
      <c r="ASO46" s="10"/>
      <c r="ASP46" s="125"/>
      <c r="ASQ46" s="125"/>
      <c r="ASR46" s="14"/>
      <c r="ASS46" s="15"/>
      <c r="AST46" s="125"/>
      <c r="ASU46" s="125"/>
      <c r="ASV46" s="14"/>
      <c r="ASW46" s="15"/>
      <c r="ASX46" s="125"/>
      <c r="ASY46" s="125"/>
      <c r="ASZ46" s="14"/>
      <c r="ATA46" s="15"/>
      <c r="ATB46" s="125"/>
      <c r="ATC46" s="125"/>
      <c r="ATD46" s="14"/>
      <c r="ATE46" s="10"/>
      <c r="ATF46" s="125"/>
      <c r="ATG46" s="125"/>
      <c r="ATH46" s="14"/>
      <c r="ATI46" s="15"/>
      <c r="ATJ46" s="125"/>
      <c r="ATK46" s="125"/>
      <c r="ATL46" s="14"/>
      <c r="ATM46" s="15"/>
      <c r="ATN46" s="125"/>
      <c r="ATO46" s="125"/>
      <c r="ATP46" s="14"/>
      <c r="ATQ46" s="15"/>
      <c r="ATR46" s="125"/>
      <c r="ATS46" s="125"/>
      <c r="ATT46" s="14"/>
      <c r="ATU46" s="10"/>
      <c r="ATV46" s="125"/>
      <c r="ATW46" s="125"/>
      <c r="ATX46" s="14"/>
      <c r="ATY46" s="15"/>
      <c r="ATZ46" s="125"/>
      <c r="AUA46" s="125"/>
      <c r="AUB46" s="14"/>
      <c r="AUC46" s="15"/>
      <c r="AUD46" s="125"/>
      <c r="AUE46" s="125"/>
      <c r="AUF46" s="14"/>
      <c r="AUG46" s="15"/>
      <c r="AUH46" s="125"/>
      <c r="AUI46" s="125"/>
      <c r="AUJ46" s="14"/>
      <c r="AUK46" s="10"/>
      <c r="AUL46" s="125"/>
      <c r="AUM46" s="125"/>
      <c r="AUN46" s="14"/>
      <c r="AUO46" s="15"/>
      <c r="AUP46" s="125"/>
      <c r="AUQ46" s="125"/>
      <c r="AUR46" s="14"/>
      <c r="AUS46" s="15"/>
      <c r="AUT46" s="125"/>
      <c r="AUU46" s="125"/>
      <c r="AUV46" s="14"/>
      <c r="AUW46" s="15"/>
      <c r="AUX46" s="125"/>
      <c r="AUY46" s="125"/>
      <c r="AUZ46" s="14"/>
      <c r="AVA46" s="10"/>
      <c r="AVB46" s="125"/>
      <c r="AVC46" s="125"/>
      <c r="AVD46" s="14"/>
      <c r="AVE46" s="15"/>
      <c r="AVF46" s="125"/>
      <c r="AVG46" s="125"/>
      <c r="AVH46" s="14"/>
      <c r="AVI46" s="15"/>
      <c r="AVJ46" s="125"/>
      <c r="AVK46" s="125"/>
      <c r="AVL46" s="14"/>
      <c r="AVM46" s="15"/>
      <c r="AVN46" s="125"/>
      <c r="AVO46" s="125"/>
      <c r="AVP46" s="14"/>
      <c r="AVQ46" s="10"/>
      <c r="AVR46" s="125"/>
      <c r="AVS46" s="125"/>
      <c r="AVT46" s="14"/>
      <c r="AVU46" s="15"/>
      <c r="AVV46" s="125"/>
      <c r="AVW46" s="125"/>
      <c r="AVX46" s="14"/>
      <c r="AVY46" s="15"/>
      <c r="AVZ46" s="125"/>
      <c r="AWA46" s="125"/>
      <c r="AWB46" s="14"/>
      <c r="AWC46" s="15"/>
      <c r="AWD46" s="125"/>
      <c r="AWE46" s="125"/>
      <c r="AWF46" s="14"/>
      <c r="AWG46" s="10"/>
      <c r="AWH46" s="125"/>
      <c r="AWI46" s="125"/>
      <c r="AWJ46" s="14"/>
      <c r="AWK46" s="15"/>
      <c r="AWL46" s="125"/>
      <c r="AWM46" s="125"/>
      <c r="AWN46" s="14"/>
      <c r="AWO46" s="15"/>
      <c r="AWP46" s="125"/>
      <c r="AWQ46" s="125"/>
      <c r="AWR46" s="14"/>
      <c r="AWS46" s="15"/>
      <c r="AWT46" s="125"/>
      <c r="AWU46" s="125"/>
      <c r="AWV46" s="14"/>
      <c r="AWW46" s="10"/>
      <c r="AWX46" s="125"/>
      <c r="AWY46" s="125"/>
      <c r="AWZ46" s="14"/>
      <c r="AXA46" s="15"/>
      <c r="AXB46" s="125"/>
      <c r="AXC46" s="125"/>
      <c r="AXD46" s="14"/>
      <c r="AXE46" s="15"/>
      <c r="AXF46" s="125"/>
      <c r="AXG46" s="125"/>
      <c r="AXH46" s="14"/>
      <c r="AXI46" s="15"/>
      <c r="AXJ46" s="125"/>
      <c r="AXK46" s="125"/>
      <c r="AXL46" s="14"/>
      <c r="AXM46" s="10"/>
      <c r="AXN46" s="125"/>
      <c r="AXO46" s="125"/>
      <c r="AXP46" s="14"/>
      <c r="AXQ46" s="15"/>
      <c r="AXR46" s="125"/>
      <c r="AXS46" s="125"/>
      <c r="AXT46" s="14"/>
      <c r="AXU46" s="15"/>
      <c r="AXV46" s="125"/>
      <c r="AXW46" s="125"/>
      <c r="AXX46" s="14"/>
      <c r="AXY46" s="15"/>
      <c r="AXZ46" s="125"/>
      <c r="AYA46" s="125"/>
      <c r="AYB46" s="14"/>
      <c r="AYC46" s="10"/>
      <c r="AYD46" s="125"/>
      <c r="AYE46" s="125"/>
      <c r="AYF46" s="14"/>
      <c r="AYG46" s="15"/>
      <c r="AYH46" s="125"/>
      <c r="AYI46" s="125"/>
      <c r="AYJ46" s="14"/>
      <c r="AYK46" s="15"/>
      <c r="AYL46" s="125"/>
      <c r="AYM46" s="125"/>
      <c r="AYN46" s="14"/>
      <c r="AYO46" s="15"/>
      <c r="AYP46" s="125"/>
      <c r="AYQ46" s="125"/>
      <c r="AYR46" s="14"/>
      <c r="AYS46" s="10"/>
      <c r="AYT46" s="125"/>
      <c r="AYU46" s="125"/>
      <c r="AYV46" s="14"/>
      <c r="AYW46" s="15"/>
      <c r="AYX46" s="125"/>
      <c r="AYY46" s="125"/>
      <c r="AYZ46" s="14"/>
      <c r="AZA46" s="15"/>
      <c r="AZB46" s="125"/>
      <c r="AZC46" s="125"/>
      <c r="AZD46" s="14"/>
      <c r="AZE46" s="15"/>
      <c r="AZF46" s="125"/>
      <c r="AZG46" s="125"/>
      <c r="AZH46" s="14"/>
      <c r="AZI46" s="10"/>
      <c r="AZJ46" s="125"/>
      <c r="AZK46" s="125"/>
      <c r="AZL46" s="14"/>
      <c r="AZM46" s="15"/>
      <c r="AZN46" s="125"/>
      <c r="AZO46" s="125"/>
      <c r="AZP46" s="14"/>
      <c r="AZQ46" s="15"/>
      <c r="AZR46" s="125"/>
      <c r="AZS46" s="125"/>
      <c r="AZT46" s="14"/>
      <c r="AZU46" s="15"/>
      <c r="AZV46" s="125"/>
      <c r="AZW46" s="125"/>
      <c r="AZX46" s="14"/>
      <c r="AZY46" s="10"/>
      <c r="AZZ46" s="125"/>
      <c r="BAA46" s="125"/>
      <c r="BAB46" s="14"/>
      <c r="BAC46" s="15"/>
      <c r="BAD46" s="125"/>
      <c r="BAE46" s="125"/>
      <c r="BAF46" s="14"/>
      <c r="BAG46" s="15"/>
      <c r="BAH46" s="125"/>
      <c r="BAI46" s="125"/>
      <c r="BAJ46" s="14"/>
      <c r="BAK46" s="15"/>
      <c r="BAL46" s="125"/>
      <c r="BAM46" s="125"/>
      <c r="BAN46" s="14"/>
      <c r="BAO46" s="10"/>
      <c r="BAP46" s="125"/>
      <c r="BAQ46" s="125"/>
      <c r="BAR46" s="14"/>
      <c r="BAS46" s="15"/>
      <c r="BAT46" s="125"/>
      <c r="BAU46" s="125"/>
      <c r="BAV46" s="14"/>
      <c r="BAW46" s="15"/>
      <c r="BAX46" s="125"/>
      <c r="BAY46" s="125"/>
      <c r="BAZ46" s="14"/>
      <c r="BBA46" s="15"/>
      <c r="BBB46" s="125"/>
      <c r="BBC46" s="125"/>
      <c r="BBD46" s="14"/>
      <c r="BBE46" s="10"/>
      <c r="BBF46" s="125"/>
      <c r="BBG46" s="125"/>
      <c r="BBH46" s="14"/>
      <c r="BBI46" s="15"/>
      <c r="BBJ46" s="125"/>
      <c r="BBK46" s="125"/>
      <c r="BBL46" s="14"/>
      <c r="BBM46" s="15"/>
      <c r="BBN46" s="125"/>
      <c r="BBO46" s="125"/>
      <c r="BBP46" s="14"/>
      <c r="BBQ46" s="15"/>
      <c r="BBR46" s="125"/>
      <c r="BBS46" s="125"/>
      <c r="BBT46" s="14"/>
      <c r="BBU46" s="10"/>
      <c r="BBV46" s="125"/>
      <c r="BBW46" s="125"/>
      <c r="BBX46" s="14"/>
      <c r="BBY46" s="15"/>
      <c r="BBZ46" s="125"/>
      <c r="BCA46" s="125"/>
      <c r="BCB46" s="14"/>
      <c r="BCC46" s="15"/>
      <c r="BCD46" s="125"/>
      <c r="BCE46" s="125"/>
      <c r="BCF46" s="14"/>
      <c r="BCG46" s="15"/>
      <c r="BCH46" s="125"/>
      <c r="BCI46" s="125"/>
      <c r="BCJ46" s="14"/>
      <c r="BCK46" s="10"/>
      <c r="BCL46" s="125"/>
      <c r="BCM46" s="125"/>
      <c r="BCN46" s="14"/>
      <c r="BCO46" s="15"/>
      <c r="BCP46" s="125"/>
      <c r="BCQ46" s="125"/>
      <c r="BCR46" s="14"/>
      <c r="BCS46" s="15"/>
      <c r="BCT46" s="125"/>
      <c r="BCU46" s="125"/>
      <c r="BCV46" s="14"/>
      <c r="BCW46" s="15"/>
      <c r="BCX46" s="125"/>
      <c r="BCY46" s="125"/>
      <c r="BCZ46" s="14"/>
      <c r="BDA46" s="10"/>
      <c r="BDB46" s="125"/>
      <c r="BDC46" s="125"/>
      <c r="BDD46" s="14"/>
      <c r="BDE46" s="15"/>
      <c r="BDF46" s="125"/>
      <c r="BDG46" s="125"/>
      <c r="BDH46" s="14"/>
      <c r="BDI46" s="15"/>
      <c r="BDJ46" s="125"/>
      <c r="BDK46" s="125"/>
      <c r="BDL46" s="14"/>
      <c r="BDM46" s="15"/>
      <c r="BDN46" s="125"/>
      <c r="BDO46" s="125"/>
      <c r="BDP46" s="14"/>
      <c r="BDQ46" s="10"/>
      <c r="BDR46" s="125"/>
      <c r="BDS46" s="125"/>
      <c r="BDT46" s="14"/>
      <c r="BDU46" s="15"/>
      <c r="BDV46" s="125"/>
      <c r="BDW46" s="125"/>
      <c r="BDX46" s="14"/>
      <c r="BDY46" s="15"/>
      <c r="BDZ46" s="125"/>
      <c r="BEA46" s="125"/>
      <c r="BEB46" s="14"/>
      <c r="BEC46" s="15"/>
      <c r="BED46" s="125"/>
      <c r="BEE46" s="125"/>
      <c r="BEF46" s="14"/>
      <c r="BEG46" s="10"/>
      <c r="BEH46" s="125"/>
      <c r="BEI46" s="125"/>
      <c r="BEJ46" s="14"/>
      <c r="BEK46" s="15"/>
      <c r="BEL46" s="125"/>
      <c r="BEM46" s="125"/>
      <c r="BEN46" s="14"/>
      <c r="BEO46" s="15"/>
      <c r="BEP46" s="125"/>
      <c r="BEQ46" s="125"/>
      <c r="BER46" s="14"/>
      <c r="BES46" s="15"/>
      <c r="BET46" s="125"/>
      <c r="BEU46" s="125"/>
      <c r="BEV46" s="14"/>
      <c r="BEW46" s="10"/>
      <c r="BEX46" s="125"/>
      <c r="BEY46" s="125"/>
      <c r="BEZ46" s="14"/>
      <c r="BFA46" s="15"/>
      <c r="BFB46" s="125"/>
      <c r="BFC46" s="125"/>
      <c r="BFD46" s="14"/>
      <c r="BFE46" s="15"/>
      <c r="BFF46" s="125"/>
      <c r="BFG46" s="125"/>
      <c r="BFH46" s="14"/>
      <c r="BFI46" s="15"/>
      <c r="BFJ46" s="125"/>
      <c r="BFK46" s="125"/>
      <c r="BFL46" s="14"/>
      <c r="BFM46" s="10"/>
      <c r="BFN46" s="125"/>
      <c r="BFO46" s="125"/>
      <c r="BFP46" s="14"/>
      <c r="BFQ46" s="15"/>
      <c r="BFR46" s="125"/>
      <c r="BFS46" s="125"/>
      <c r="BFT46" s="14"/>
      <c r="BFU46" s="15"/>
      <c r="BFV46" s="125"/>
      <c r="BFW46" s="125"/>
      <c r="BFX46" s="14"/>
      <c r="BFY46" s="15"/>
      <c r="BFZ46" s="125"/>
      <c r="BGA46" s="125"/>
      <c r="BGB46" s="14"/>
      <c r="BGC46" s="10"/>
      <c r="BGD46" s="125"/>
      <c r="BGE46" s="125"/>
      <c r="BGF46" s="14"/>
      <c r="BGG46" s="15"/>
      <c r="BGH46" s="125"/>
      <c r="BGI46" s="125"/>
      <c r="BGJ46" s="14"/>
      <c r="BGK46" s="15"/>
      <c r="BGL46" s="125"/>
      <c r="BGM46" s="125"/>
      <c r="BGN46" s="14"/>
      <c r="BGO46" s="15"/>
      <c r="BGP46" s="125"/>
      <c r="BGQ46" s="125"/>
      <c r="BGR46" s="14"/>
      <c r="BGS46" s="10"/>
      <c r="BGT46" s="125"/>
      <c r="BGU46" s="125"/>
      <c r="BGV46" s="14"/>
      <c r="BGW46" s="15"/>
      <c r="BGX46" s="125"/>
      <c r="BGY46" s="125"/>
      <c r="BGZ46" s="14"/>
      <c r="BHA46" s="15"/>
      <c r="BHB46" s="125"/>
      <c r="BHC46" s="125"/>
      <c r="BHD46" s="14"/>
      <c r="BHE46" s="15"/>
      <c r="BHF46" s="125"/>
      <c r="BHG46" s="125"/>
      <c r="BHH46" s="14"/>
      <c r="BHI46" s="10"/>
      <c r="BHJ46" s="125"/>
      <c r="BHK46" s="125"/>
      <c r="BHL46" s="14"/>
      <c r="BHM46" s="15"/>
      <c r="BHN46" s="125"/>
      <c r="BHO46" s="125"/>
      <c r="BHP46" s="14"/>
      <c r="BHQ46" s="15"/>
      <c r="BHR46" s="125"/>
      <c r="BHS46" s="125"/>
      <c r="BHT46" s="14"/>
      <c r="BHU46" s="15"/>
      <c r="BHV46" s="125"/>
      <c r="BHW46" s="125"/>
      <c r="BHX46" s="14"/>
      <c r="BHY46" s="10"/>
      <c r="BHZ46" s="125"/>
      <c r="BIA46" s="125"/>
      <c r="BIB46" s="14"/>
      <c r="BIC46" s="15"/>
      <c r="BID46" s="125"/>
      <c r="BIE46" s="125"/>
      <c r="BIF46" s="14"/>
      <c r="BIG46" s="15"/>
      <c r="BIH46" s="125"/>
      <c r="BII46" s="125"/>
      <c r="BIJ46" s="14"/>
      <c r="BIK46" s="15"/>
      <c r="BIL46" s="125"/>
      <c r="BIM46" s="125"/>
      <c r="BIN46" s="14"/>
      <c r="BIO46" s="10"/>
      <c r="BIP46" s="125"/>
      <c r="BIQ46" s="125"/>
      <c r="BIR46" s="14"/>
      <c r="BIS46" s="15"/>
      <c r="BIT46" s="125"/>
      <c r="BIU46" s="125"/>
      <c r="BIV46" s="14"/>
      <c r="BIW46" s="15"/>
      <c r="BIX46" s="125"/>
      <c r="BIY46" s="125"/>
      <c r="BIZ46" s="14"/>
      <c r="BJA46" s="15"/>
      <c r="BJB46" s="125"/>
      <c r="BJC46" s="125"/>
      <c r="BJD46" s="14"/>
      <c r="BJE46" s="10"/>
      <c r="BJF46" s="125"/>
      <c r="BJG46" s="125"/>
      <c r="BJH46" s="14"/>
      <c r="BJI46" s="15"/>
      <c r="BJJ46" s="125"/>
      <c r="BJK46" s="125"/>
      <c r="BJL46" s="14"/>
      <c r="BJM46" s="15"/>
      <c r="BJN46" s="125"/>
      <c r="BJO46" s="125"/>
      <c r="BJP46" s="14"/>
      <c r="BJQ46" s="15"/>
      <c r="BJR46" s="125"/>
      <c r="BJS46" s="125"/>
      <c r="BJT46" s="14"/>
      <c r="BJU46" s="10"/>
      <c r="BJV46" s="125"/>
      <c r="BJW46" s="125"/>
      <c r="BJX46" s="14"/>
      <c r="BJY46" s="15"/>
      <c r="BJZ46" s="125"/>
      <c r="BKA46" s="125"/>
      <c r="BKB46" s="14"/>
      <c r="BKC46" s="15"/>
      <c r="BKD46" s="125"/>
      <c r="BKE46" s="125"/>
      <c r="BKF46" s="14"/>
      <c r="BKG46" s="15"/>
      <c r="BKH46" s="125"/>
      <c r="BKI46" s="125"/>
      <c r="BKJ46" s="14"/>
      <c r="BKK46" s="10"/>
      <c r="BKL46" s="125"/>
      <c r="BKM46" s="125"/>
      <c r="BKN46" s="14"/>
      <c r="BKO46" s="15"/>
      <c r="BKP46" s="125"/>
      <c r="BKQ46" s="125"/>
      <c r="BKR46" s="14"/>
      <c r="BKS46" s="15"/>
      <c r="BKT46" s="125"/>
      <c r="BKU46" s="125"/>
      <c r="BKV46" s="14"/>
      <c r="BKW46" s="15"/>
      <c r="BKX46" s="125"/>
      <c r="BKY46" s="125"/>
      <c r="BKZ46" s="14"/>
      <c r="BLA46" s="10"/>
      <c r="BLB46" s="125"/>
      <c r="BLC46" s="125"/>
      <c r="BLD46" s="14"/>
      <c r="BLE46" s="15"/>
      <c r="BLF46" s="125"/>
      <c r="BLG46" s="125"/>
      <c r="BLH46" s="14"/>
      <c r="BLI46" s="15"/>
      <c r="BLJ46" s="125"/>
      <c r="BLK46" s="125"/>
      <c r="BLL46" s="14"/>
      <c r="BLM46" s="15"/>
      <c r="BLN46" s="125"/>
      <c r="BLO46" s="125"/>
      <c r="BLP46" s="14"/>
      <c r="BLQ46" s="10"/>
      <c r="BLR46" s="125"/>
      <c r="BLS46" s="125"/>
      <c r="BLT46" s="14"/>
      <c r="BLU46" s="15"/>
      <c r="BLV46" s="125"/>
      <c r="BLW46" s="125"/>
      <c r="BLX46" s="14"/>
      <c r="BLY46" s="15"/>
      <c r="BLZ46" s="125"/>
      <c r="BMA46" s="125"/>
      <c r="BMB46" s="14"/>
      <c r="BMC46" s="15"/>
      <c r="BMD46" s="125"/>
      <c r="BME46" s="125"/>
      <c r="BMF46" s="14"/>
      <c r="BMG46" s="10"/>
      <c r="BMH46" s="125"/>
      <c r="BMI46" s="125"/>
      <c r="BMJ46" s="14"/>
      <c r="BMK46" s="15"/>
      <c r="BML46" s="125"/>
      <c r="BMM46" s="125"/>
      <c r="BMN46" s="14"/>
      <c r="BMO46" s="15"/>
      <c r="BMP46" s="125"/>
      <c r="BMQ46" s="125"/>
      <c r="BMR46" s="14"/>
      <c r="BMS46" s="15"/>
      <c r="BMT46" s="125"/>
      <c r="BMU46" s="125"/>
      <c r="BMV46" s="14"/>
      <c r="BMW46" s="10"/>
      <c r="BMX46" s="125"/>
      <c r="BMY46" s="125"/>
      <c r="BMZ46" s="14"/>
      <c r="BNA46" s="15"/>
      <c r="BNB46" s="125"/>
      <c r="BNC46" s="125"/>
      <c r="BND46" s="14"/>
      <c r="BNE46" s="15"/>
      <c r="BNF46" s="125"/>
      <c r="BNG46" s="125"/>
      <c r="BNH46" s="14"/>
      <c r="BNI46" s="15"/>
      <c r="BNJ46" s="125"/>
      <c r="BNK46" s="125"/>
      <c r="BNL46" s="14"/>
      <c r="BNM46" s="10"/>
      <c r="BNN46" s="125"/>
      <c r="BNO46" s="125"/>
      <c r="BNP46" s="14"/>
      <c r="BNQ46" s="15"/>
      <c r="BNR46" s="125"/>
      <c r="BNS46" s="125"/>
      <c r="BNT46" s="14"/>
      <c r="BNU46" s="15"/>
      <c r="BNV46" s="125"/>
      <c r="BNW46" s="125"/>
      <c r="BNX46" s="14"/>
      <c r="BNY46" s="15"/>
      <c r="BNZ46" s="125"/>
      <c r="BOA46" s="125"/>
      <c r="BOB46" s="14"/>
      <c r="BOC46" s="10"/>
      <c r="BOD46" s="125"/>
      <c r="BOE46" s="125"/>
      <c r="BOF46" s="14"/>
      <c r="BOG46" s="15"/>
      <c r="BOH46" s="125"/>
      <c r="BOI46" s="125"/>
      <c r="BOJ46" s="14"/>
      <c r="BOK46" s="15"/>
      <c r="BOL46" s="125"/>
      <c r="BOM46" s="125"/>
      <c r="BON46" s="14"/>
      <c r="BOO46" s="15"/>
      <c r="BOP46" s="125"/>
      <c r="BOQ46" s="125"/>
      <c r="BOR46" s="14"/>
      <c r="BOS46" s="10"/>
      <c r="BOT46" s="125"/>
      <c r="BOU46" s="125"/>
      <c r="BOV46" s="14"/>
      <c r="BOW46" s="15"/>
      <c r="BOX46" s="125"/>
      <c r="BOY46" s="125"/>
      <c r="BOZ46" s="14"/>
      <c r="BPA46" s="15"/>
      <c r="BPB46" s="125"/>
      <c r="BPC46" s="125"/>
      <c r="BPD46" s="14"/>
      <c r="BPE46" s="15"/>
      <c r="BPF46" s="125"/>
      <c r="BPG46" s="125"/>
      <c r="BPH46" s="14"/>
      <c r="BPI46" s="10"/>
      <c r="BPJ46" s="125"/>
      <c r="BPK46" s="125"/>
      <c r="BPL46" s="14"/>
      <c r="BPM46" s="15"/>
      <c r="BPN46" s="125"/>
      <c r="BPO46" s="125"/>
      <c r="BPP46" s="14"/>
      <c r="BPQ46" s="15"/>
      <c r="BPR46" s="125"/>
      <c r="BPS46" s="125"/>
      <c r="BPT46" s="14"/>
      <c r="BPU46" s="15"/>
      <c r="BPV46" s="125"/>
      <c r="BPW46" s="125"/>
      <c r="BPX46" s="14"/>
      <c r="BPY46" s="10"/>
      <c r="BPZ46" s="125"/>
      <c r="BQA46" s="125"/>
      <c r="BQB46" s="14"/>
      <c r="BQC46" s="15"/>
      <c r="BQD46" s="125"/>
      <c r="BQE46" s="125"/>
      <c r="BQF46" s="14"/>
      <c r="BQG46" s="15"/>
      <c r="BQH46" s="125"/>
      <c r="BQI46" s="125"/>
      <c r="BQJ46" s="14"/>
      <c r="BQK46" s="15"/>
      <c r="BQL46" s="125"/>
      <c r="BQM46" s="125"/>
      <c r="BQN46" s="14"/>
      <c r="BQO46" s="10"/>
      <c r="BQP46" s="125"/>
      <c r="BQQ46" s="125"/>
      <c r="BQR46" s="14"/>
      <c r="BQS46" s="15"/>
      <c r="BQT46" s="125"/>
      <c r="BQU46" s="125"/>
      <c r="BQV46" s="14"/>
      <c r="BQW46" s="15"/>
      <c r="BQX46" s="125"/>
      <c r="BQY46" s="125"/>
      <c r="BQZ46" s="14"/>
      <c r="BRA46" s="15"/>
      <c r="BRB46" s="125"/>
      <c r="BRC46" s="125"/>
      <c r="BRD46" s="14"/>
      <c r="BRE46" s="10"/>
      <c r="BRF46" s="125"/>
      <c r="BRG46" s="125"/>
      <c r="BRH46" s="14"/>
      <c r="BRI46" s="15"/>
      <c r="BRJ46" s="125"/>
      <c r="BRK46" s="125"/>
      <c r="BRL46" s="14"/>
      <c r="BRM46" s="15"/>
      <c r="BRN46" s="125"/>
      <c r="BRO46" s="125"/>
      <c r="BRP46" s="14"/>
      <c r="BRQ46" s="15"/>
      <c r="BRR46" s="125"/>
      <c r="BRS46" s="125"/>
      <c r="BRT46" s="14"/>
      <c r="BRU46" s="10"/>
      <c r="BRV46" s="125"/>
      <c r="BRW46" s="125"/>
      <c r="BRX46" s="14"/>
      <c r="BRY46" s="15"/>
      <c r="BRZ46" s="125"/>
      <c r="BSA46" s="125"/>
      <c r="BSB46" s="14"/>
      <c r="BSC46" s="15"/>
      <c r="BSD46" s="125"/>
      <c r="BSE46" s="125"/>
      <c r="BSF46" s="14"/>
      <c r="BSG46" s="15"/>
      <c r="BSH46" s="125"/>
      <c r="BSI46" s="125"/>
      <c r="BSJ46" s="14"/>
      <c r="BSK46" s="10"/>
      <c r="BSL46" s="125"/>
      <c r="BSM46" s="125"/>
      <c r="BSN46" s="14"/>
      <c r="BSO46" s="15"/>
      <c r="BSP46" s="125"/>
      <c r="BSQ46" s="125"/>
      <c r="BSR46" s="14"/>
      <c r="BSS46" s="15"/>
      <c r="BST46" s="125"/>
      <c r="BSU46" s="125"/>
      <c r="BSV46" s="14"/>
      <c r="BSW46" s="15"/>
      <c r="BSX46" s="125"/>
      <c r="BSY46" s="125"/>
      <c r="BSZ46" s="14"/>
      <c r="BTA46" s="10"/>
      <c r="BTB46" s="125"/>
      <c r="BTC46" s="125"/>
      <c r="BTD46" s="14"/>
      <c r="BTE46" s="15"/>
      <c r="BTF46" s="125"/>
      <c r="BTG46" s="125"/>
      <c r="BTH46" s="14"/>
      <c r="BTI46" s="15"/>
      <c r="BTJ46" s="125"/>
      <c r="BTK46" s="125"/>
      <c r="BTL46" s="14"/>
      <c r="BTM46" s="15"/>
      <c r="BTN46" s="125"/>
      <c r="BTO46" s="125"/>
      <c r="BTP46" s="14"/>
      <c r="BTQ46" s="10"/>
      <c r="BTR46" s="125"/>
      <c r="BTS46" s="125"/>
      <c r="BTT46" s="14"/>
      <c r="BTU46" s="15"/>
      <c r="BTV46" s="125"/>
      <c r="BTW46" s="125"/>
      <c r="BTX46" s="14"/>
      <c r="BTY46" s="15"/>
      <c r="BTZ46" s="125"/>
      <c r="BUA46" s="125"/>
      <c r="BUB46" s="14"/>
      <c r="BUC46" s="15"/>
      <c r="BUD46" s="125"/>
      <c r="BUE46" s="125"/>
      <c r="BUF46" s="14"/>
      <c r="BUG46" s="10"/>
      <c r="BUH46" s="125"/>
      <c r="BUI46" s="125"/>
      <c r="BUJ46" s="14"/>
      <c r="BUK46" s="15"/>
      <c r="BUL46" s="125"/>
      <c r="BUM46" s="125"/>
      <c r="BUN46" s="14"/>
      <c r="BUO46" s="15"/>
      <c r="BUP46" s="125"/>
      <c r="BUQ46" s="125"/>
      <c r="BUR46" s="14"/>
      <c r="BUS46" s="15"/>
      <c r="BUT46" s="125"/>
      <c r="BUU46" s="125"/>
      <c r="BUV46" s="14"/>
      <c r="BUW46" s="10"/>
      <c r="BUX46" s="125"/>
      <c r="BUY46" s="125"/>
      <c r="BUZ46" s="14"/>
      <c r="BVA46" s="15"/>
      <c r="BVB46" s="125"/>
      <c r="BVC46" s="125"/>
      <c r="BVD46" s="14"/>
      <c r="BVE46" s="15"/>
      <c r="BVF46" s="125"/>
      <c r="BVG46" s="125"/>
      <c r="BVH46" s="14"/>
      <c r="BVI46" s="15"/>
      <c r="BVJ46" s="125"/>
      <c r="BVK46" s="125"/>
      <c r="BVL46" s="14"/>
      <c r="BVM46" s="10"/>
      <c r="BVN46" s="125"/>
      <c r="BVO46" s="125"/>
      <c r="BVP46" s="14"/>
      <c r="BVQ46" s="15"/>
      <c r="BVR46" s="125"/>
      <c r="BVS46" s="125"/>
      <c r="BVT46" s="14"/>
      <c r="BVU46" s="15"/>
      <c r="BVV46" s="125"/>
      <c r="BVW46" s="125"/>
      <c r="BVX46" s="14"/>
      <c r="BVY46" s="15"/>
      <c r="BVZ46" s="125"/>
      <c r="BWA46" s="125"/>
      <c r="BWB46" s="14"/>
      <c r="BWC46" s="10"/>
      <c r="BWD46" s="125"/>
      <c r="BWE46" s="125"/>
      <c r="BWF46" s="14"/>
      <c r="BWG46" s="15"/>
      <c r="BWH46" s="125"/>
      <c r="BWI46" s="125"/>
      <c r="BWJ46" s="14"/>
      <c r="BWK46" s="15"/>
      <c r="BWL46" s="125"/>
      <c r="BWM46" s="125"/>
      <c r="BWN46" s="14"/>
      <c r="BWO46" s="15"/>
      <c r="BWP46" s="125"/>
      <c r="BWQ46" s="125"/>
      <c r="BWR46" s="14"/>
      <c r="BWS46" s="10"/>
      <c r="BWT46" s="125"/>
      <c r="BWU46" s="125"/>
      <c r="BWV46" s="14"/>
      <c r="BWW46" s="15"/>
      <c r="BWX46" s="125"/>
      <c r="BWY46" s="125"/>
      <c r="BWZ46" s="14"/>
      <c r="BXA46" s="15"/>
      <c r="BXB46" s="125"/>
      <c r="BXC46" s="125"/>
      <c r="BXD46" s="14"/>
      <c r="BXE46" s="15"/>
      <c r="BXF46" s="125"/>
      <c r="BXG46" s="125"/>
      <c r="BXH46" s="14"/>
      <c r="BXI46" s="10"/>
      <c r="BXJ46" s="125"/>
      <c r="BXK46" s="125"/>
      <c r="BXL46" s="14"/>
      <c r="BXM46" s="15"/>
      <c r="BXN46" s="125"/>
      <c r="BXO46" s="125"/>
      <c r="BXP46" s="14"/>
      <c r="BXQ46" s="15"/>
      <c r="BXR46" s="125"/>
      <c r="BXS46" s="125"/>
      <c r="BXT46" s="14"/>
      <c r="BXU46" s="15"/>
      <c r="BXV46" s="125"/>
      <c r="BXW46" s="125"/>
      <c r="BXX46" s="14"/>
      <c r="BXY46" s="10"/>
      <c r="BXZ46" s="125"/>
      <c r="BYA46" s="125"/>
      <c r="BYB46" s="14"/>
      <c r="BYC46" s="15"/>
      <c r="BYD46" s="125"/>
      <c r="BYE46" s="125"/>
      <c r="BYF46" s="14"/>
      <c r="BYG46" s="15"/>
      <c r="BYH46" s="125"/>
      <c r="BYI46" s="125"/>
      <c r="BYJ46" s="14"/>
      <c r="BYK46" s="15"/>
      <c r="BYL46" s="125"/>
      <c r="BYM46" s="125"/>
      <c r="BYN46" s="14"/>
      <c r="BYO46" s="10"/>
      <c r="BYP46" s="125"/>
      <c r="BYQ46" s="125"/>
      <c r="BYR46" s="14"/>
      <c r="BYS46" s="15"/>
      <c r="BYT46" s="125"/>
      <c r="BYU46" s="125"/>
      <c r="BYV46" s="14"/>
      <c r="BYW46" s="15"/>
      <c r="BYX46" s="125"/>
      <c r="BYY46" s="125"/>
      <c r="BYZ46" s="14"/>
      <c r="BZA46" s="15"/>
      <c r="BZB46" s="125"/>
      <c r="BZC46" s="125"/>
      <c r="BZD46" s="14"/>
      <c r="BZE46" s="10"/>
      <c r="BZF46" s="125"/>
      <c r="BZG46" s="125"/>
      <c r="BZH46" s="14"/>
      <c r="BZI46" s="15"/>
      <c r="BZJ46" s="125"/>
      <c r="BZK46" s="125"/>
      <c r="BZL46" s="14"/>
      <c r="BZM46" s="15"/>
      <c r="BZN46" s="125"/>
      <c r="BZO46" s="125"/>
      <c r="BZP46" s="14"/>
      <c r="BZQ46" s="15"/>
      <c r="BZR46" s="125"/>
      <c r="BZS46" s="125"/>
      <c r="BZT46" s="14"/>
      <c r="BZU46" s="10"/>
      <c r="BZV46" s="125"/>
      <c r="BZW46" s="125"/>
      <c r="BZX46" s="14"/>
      <c r="BZY46" s="15"/>
      <c r="BZZ46" s="125"/>
      <c r="CAA46" s="125"/>
      <c r="CAB46" s="14"/>
      <c r="CAC46" s="15"/>
      <c r="CAD46" s="125"/>
      <c r="CAE46" s="125"/>
      <c r="CAF46" s="14"/>
      <c r="CAG46" s="15"/>
      <c r="CAH46" s="125"/>
      <c r="CAI46" s="125"/>
      <c r="CAJ46" s="14"/>
      <c r="CAK46" s="10"/>
      <c r="CAL46" s="125"/>
      <c r="CAM46" s="125"/>
      <c r="CAN46" s="14"/>
      <c r="CAO46" s="15"/>
      <c r="CAP46" s="125"/>
      <c r="CAQ46" s="125"/>
      <c r="CAR46" s="14"/>
      <c r="CAS46" s="15"/>
      <c r="CAT46" s="125"/>
      <c r="CAU46" s="125"/>
      <c r="CAV46" s="14"/>
      <c r="CAW46" s="15"/>
      <c r="CAX46" s="125"/>
      <c r="CAY46" s="125"/>
      <c r="CAZ46" s="14"/>
      <c r="CBA46" s="10"/>
      <c r="CBB46" s="125"/>
      <c r="CBC46" s="125"/>
      <c r="CBD46" s="14"/>
      <c r="CBE46" s="15"/>
      <c r="CBF46" s="125"/>
      <c r="CBG46" s="125"/>
      <c r="CBH46" s="14"/>
      <c r="CBI46" s="15"/>
      <c r="CBJ46" s="125"/>
      <c r="CBK46" s="125"/>
      <c r="CBL46" s="14"/>
      <c r="CBM46" s="15"/>
      <c r="CBN46" s="125"/>
      <c r="CBO46" s="125"/>
      <c r="CBP46" s="14"/>
      <c r="CBQ46" s="10"/>
      <c r="CBR46" s="125"/>
      <c r="CBS46" s="125"/>
      <c r="CBT46" s="14"/>
      <c r="CBU46" s="15"/>
      <c r="CBV46" s="125"/>
      <c r="CBW46" s="125"/>
      <c r="CBX46" s="14"/>
      <c r="CBY46" s="15"/>
      <c r="CBZ46" s="125"/>
      <c r="CCA46" s="125"/>
      <c r="CCB46" s="14"/>
      <c r="CCC46" s="15"/>
      <c r="CCD46" s="125"/>
      <c r="CCE46" s="125"/>
      <c r="CCF46" s="14"/>
      <c r="CCG46" s="10"/>
      <c r="CCH46" s="125"/>
      <c r="CCI46" s="125"/>
      <c r="CCJ46" s="14"/>
      <c r="CCK46" s="15"/>
      <c r="CCL46" s="125"/>
      <c r="CCM46" s="125"/>
      <c r="CCN46" s="14"/>
      <c r="CCO46" s="15"/>
      <c r="CCP46" s="125"/>
      <c r="CCQ46" s="125"/>
      <c r="CCR46" s="14"/>
      <c r="CCS46" s="15"/>
      <c r="CCT46" s="125"/>
      <c r="CCU46" s="125"/>
      <c r="CCV46" s="14"/>
      <c r="CCW46" s="10"/>
      <c r="CCX46" s="125"/>
      <c r="CCY46" s="125"/>
      <c r="CCZ46" s="14"/>
      <c r="CDA46" s="15"/>
      <c r="CDB46" s="125"/>
      <c r="CDC46" s="125"/>
      <c r="CDD46" s="14"/>
      <c r="CDE46" s="15"/>
      <c r="CDF46" s="125"/>
      <c r="CDG46" s="125"/>
      <c r="CDH46" s="14"/>
      <c r="CDI46" s="15"/>
      <c r="CDJ46" s="125"/>
      <c r="CDK46" s="125"/>
      <c r="CDL46" s="14"/>
      <c r="CDM46" s="10"/>
      <c r="CDN46" s="125"/>
      <c r="CDO46" s="125"/>
      <c r="CDP46" s="14"/>
      <c r="CDQ46" s="15"/>
      <c r="CDR46" s="125"/>
      <c r="CDS46" s="125"/>
      <c r="CDT46" s="14"/>
      <c r="CDU46" s="15"/>
      <c r="CDV46" s="125"/>
      <c r="CDW46" s="125"/>
      <c r="CDX46" s="14"/>
      <c r="CDY46" s="15"/>
      <c r="CDZ46" s="125"/>
      <c r="CEA46" s="125"/>
      <c r="CEB46" s="14"/>
      <c r="CEC46" s="10"/>
      <c r="CED46" s="125"/>
      <c r="CEE46" s="125"/>
      <c r="CEF46" s="14"/>
      <c r="CEG46" s="15"/>
      <c r="CEH46" s="125"/>
      <c r="CEI46" s="125"/>
      <c r="CEJ46" s="14"/>
      <c r="CEK46" s="15"/>
      <c r="CEL46" s="125"/>
      <c r="CEM46" s="125"/>
      <c r="CEN46" s="14"/>
      <c r="CEO46" s="15"/>
      <c r="CEP46" s="125"/>
      <c r="CEQ46" s="125"/>
      <c r="CER46" s="14"/>
      <c r="CES46" s="10"/>
      <c r="CET46" s="125"/>
      <c r="CEU46" s="125"/>
      <c r="CEV46" s="14"/>
      <c r="CEW46" s="15"/>
      <c r="CEX46" s="125"/>
      <c r="CEY46" s="125"/>
      <c r="CEZ46" s="14"/>
      <c r="CFA46" s="15"/>
      <c r="CFB46" s="125"/>
      <c r="CFC46" s="125"/>
      <c r="CFD46" s="14"/>
      <c r="CFE46" s="15"/>
      <c r="CFF46" s="125"/>
      <c r="CFG46" s="125"/>
      <c r="CFH46" s="14"/>
      <c r="CFI46" s="10"/>
      <c r="CFJ46" s="125"/>
      <c r="CFK46" s="125"/>
      <c r="CFL46" s="14"/>
      <c r="CFM46" s="15"/>
      <c r="CFN46" s="125"/>
      <c r="CFO46" s="125"/>
      <c r="CFP46" s="14"/>
      <c r="CFQ46" s="15"/>
      <c r="CFR46" s="125"/>
      <c r="CFS46" s="125"/>
      <c r="CFT46" s="14"/>
      <c r="CFU46" s="15"/>
      <c r="CFV46" s="125"/>
      <c r="CFW46" s="125"/>
      <c r="CFX46" s="14"/>
      <c r="CFY46" s="10"/>
      <c r="CFZ46" s="125"/>
      <c r="CGA46" s="125"/>
      <c r="CGB46" s="14"/>
      <c r="CGC46" s="15"/>
      <c r="CGD46" s="125"/>
      <c r="CGE46" s="125"/>
      <c r="CGF46" s="14"/>
      <c r="CGG46" s="15"/>
      <c r="CGH46" s="125"/>
      <c r="CGI46" s="125"/>
      <c r="CGJ46" s="14"/>
      <c r="CGK46" s="15"/>
      <c r="CGL46" s="125"/>
      <c r="CGM46" s="125"/>
      <c r="CGN46" s="14"/>
      <c r="CGO46" s="10"/>
      <c r="CGP46" s="125"/>
      <c r="CGQ46" s="125"/>
      <c r="CGR46" s="14"/>
      <c r="CGS46" s="15"/>
      <c r="CGT46" s="125"/>
      <c r="CGU46" s="125"/>
      <c r="CGV46" s="14"/>
      <c r="CGW46" s="15"/>
      <c r="CGX46" s="125"/>
      <c r="CGY46" s="125"/>
      <c r="CGZ46" s="14"/>
      <c r="CHA46" s="15"/>
      <c r="CHB46" s="125"/>
      <c r="CHC46" s="125"/>
      <c r="CHD46" s="14"/>
      <c r="CHE46" s="10"/>
      <c r="CHF46" s="125"/>
      <c r="CHG46" s="125"/>
      <c r="CHH46" s="14"/>
      <c r="CHI46" s="15"/>
      <c r="CHJ46" s="125"/>
      <c r="CHK46" s="125"/>
      <c r="CHL46" s="14"/>
      <c r="CHM46" s="15"/>
      <c r="CHN46" s="125"/>
      <c r="CHO46" s="125"/>
      <c r="CHP46" s="14"/>
      <c r="CHQ46" s="15"/>
      <c r="CHR46" s="125"/>
      <c r="CHS46" s="125"/>
      <c r="CHT46" s="14"/>
      <c r="CHU46" s="10"/>
      <c r="CHV46" s="125"/>
      <c r="CHW46" s="125"/>
      <c r="CHX46" s="14"/>
      <c r="CHY46" s="15"/>
      <c r="CHZ46" s="125"/>
      <c r="CIA46" s="125"/>
      <c r="CIB46" s="14"/>
      <c r="CIC46" s="15"/>
      <c r="CID46" s="125"/>
      <c r="CIE46" s="125"/>
      <c r="CIF46" s="14"/>
      <c r="CIG46" s="15"/>
      <c r="CIH46" s="125"/>
      <c r="CII46" s="125"/>
      <c r="CIJ46" s="14"/>
      <c r="CIK46" s="10"/>
      <c r="CIL46" s="125"/>
      <c r="CIM46" s="125"/>
      <c r="CIN46" s="14"/>
      <c r="CIO46" s="15"/>
      <c r="CIP46" s="125"/>
      <c r="CIQ46" s="125"/>
      <c r="CIR46" s="14"/>
      <c r="CIS46" s="15"/>
      <c r="CIT46" s="125"/>
      <c r="CIU46" s="125"/>
      <c r="CIV46" s="14"/>
      <c r="CIW46" s="15"/>
      <c r="CIX46" s="125"/>
      <c r="CIY46" s="125"/>
      <c r="CIZ46" s="14"/>
      <c r="CJA46" s="10"/>
      <c r="CJB46" s="125"/>
      <c r="CJC46" s="125"/>
      <c r="CJD46" s="14"/>
      <c r="CJE46" s="15"/>
      <c r="CJF46" s="125"/>
      <c r="CJG46" s="125"/>
      <c r="CJH46" s="14"/>
      <c r="CJI46" s="15"/>
      <c r="CJJ46" s="125"/>
      <c r="CJK46" s="125"/>
      <c r="CJL46" s="14"/>
      <c r="CJM46" s="15"/>
      <c r="CJN46" s="125"/>
      <c r="CJO46" s="125"/>
      <c r="CJP46" s="14"/>
      <c r="CJQ46" s="10"/>
      <c r="CJR46" s="125"/>
      <c r="CJS46" s="125"/>
      <c r="CJT46" s="14"/>
      <c r="CJU46" s="15"/>
      <c r="CJV46" s="125"/>
      <c r="CJW46" s="125"/>
      <c r="CJX46" s="14"/>
      <c r="CJY46" s="15"/>
      <c r="CJZ46" s="125"/>
      <c r="CKA46" s="125"/>
      <c r="CKB46" s="14"/>
      <c r="CKC46" s="15"/>
      <c r="CKD46" s="125"/>
      <c r="CKE46" s="125"/>
      <c r="CKF46" s="14"/>
      <c r="CKG46" s="10"/>
      <c r="CKH46" s="125"/>
      <c r="CKI46" s="125"/>
      <c r="CKJ46" s="14"/>
      <c r="CKK46" s="15"/>
      <c r="CKL46" s="125"/>
      <c r="CKM46" s="125"/>
      <c r="CKN46" s="14"/>
      <c r="CKO46" s="15"/>
      <c r="CKP46" s="125"/>
      <c r="CKQ46" s="125"/>
      <c r="CKR46" s="14"/>
      <c r="CKS46" s="15"/>
      <c r="CKT46" s="125"/>
      <c r="CKU46" s="125"/>
      <c r="CKV46" s="14"/>
      <c r="CKW46" s="10"/>
      <c r="CKX46" s="125"/>
      <c r="CKY46" s="125"/>
      <c r="CKZ46" s="14"/>
      <c r="CLA46" s="15"/>
      <c r="CLB46" s="125"/>
      <c r="CLC46" s="125"/>
      <c r="CLD46" s="14"/>
      <c r="CLE46" s="15"/>
      <c r="CLF46" s="125"/>
      <c r="CLG46" s="125"/>
      <c r="CLH46" s="14"/>
      <c r="CLI46" s="15"/>
      <c r="CLJ46" s="125"/>
      <c r="CLK46" s="125"/>
      <c r="CLL46" s="14"/>
      <c r="CLM46" s="10"/>
      <c r="CLN46" s="125"/>
      <c r="CLO46" s="125"/>
      <c r="CLP46" s="14"/>
      <c r="CLQ46" s="15"/>
      <c r="CLR46" s="125"/>
      <c r="CLS46" s="125"/>
      <c r="CLT46" s="14"/>
      <c r="CLU46" s="15"/>
      <c r="CLV46" s="125"/>
      <c r="CLW46" s="125"/>
      <c r="CLX46" s="14"/>
      <c r="CLY46" s="15"/>
      <c r="CLZ46" s="125"/>
      <c r="CMA46" s="125"/>
      <c r="CMB46" s="14"/>
      <c r="CMC46" s="10"/>
      <c r="CMD46" s="125"/>
      <c r="CME46" s="125"/>
      <c r="CMF46" s="14"/>
      <c r="CMG46" s="15"/>
      <c r="CMH46" s="125"/>
      <c r="CMI46" s="125"/>
      <c r="CMJ46" s="14"/>
      <c r="CMK46" s="15"/>
      <c r="CML46" s="125"/>
      <c r="CMM46" s="125"/>
      <c r="CMN46" s="14"/>
      <c r="CMO46" s="15"/>
      <c r="CMP46" s="125"/>
      <c r="CMQ46" s="125"/>
      <c r="CMR46" s="14"/>
      <c r="CMS46" s="10"/>
      <c r="CMT46" s="125"/>
      <c r="CMU46" s="125"/>
      <c r="CMV46" s="14"/>
      <c r="CMW46" s="15"/>
      <c r="CMX46" s="125"/>
      <c r="CMY46" s="125"/>
      <c r="CMZ46" s="14"/>
      <c r="CNA46" s="15"/>
      <c r="CNB46" s="125"/>
      <c r="CNC46" s="125"/>
      <c r="CND46" s="14"/>
      <c r="CNE46" s="15"/>
      <c r="CNF46" s="125"/>
      <c r="CNG46" s="125"/>
      <c r="CNH46" s="14"/>
      <c r="CNI46" s="10"/>
      <c r="CNJ46" s="125"/>
      <c r="CNK46" s="125"/>
      <c r="CNL46" s="14"/>
      <c r="CNM46" s="15"/>
      <c r="CNN46" s="125"/>
      <c r="CNO46" s="125"/>
      <c r="CNP46" s="14"/>
      <c r="CNQ46" s="15"/>
      <c r="CNR46" s="125"/>
      <c r="CNS46" s="125"/>
      <c r="CNT46" s="14"/>
      <c r="CNU46" s="15"/>
      <c r="CNV46" s="125"/>
      <c r="CNW46" s="125"/>
      <c r="CNX46" s="14"/>
      <c r="CNY46" s="10"/>
      <c r="CNZ46" s="125"/>
      <c r="COA46" s="125"/>
      <c r="COB46" s="14"/>
      <c r="COC46" s="15"/>
      <c r="COD46" s="125"/>
      <c r="COE46" s="125"/>
      <c r="COF46" s="14"/>
      <c r="COG46" s="15"/>
      <c r="COH46" s="125"/>
      <c r="COI46" s="125"/>
      <c r="COJ46" s="14"/>
      <c r="COK46" s="15"/>
      <c r="COL46" s="125"/>
      <c r="COM46" s="125"/>
      <c r="CON46" s="14"/>
      <c r="COO46" s="10"/>
      <c r="COP46" s="125"/>
      <c r="COQ46" s="125"/>
      <c r="COR46" s="14"/>
      <c r="COS46" s="15"/>
      <c r="COT46" s="125"/>
      <c r="COU46" s="125"/>
      <c r="COV46" s="14"/>
      <c r="COW46" s="15"/>
      <c r="COX46" s="125"/>
      <c r="COY46" s="125"/>
      <c r="COZ46" s="14"/>
      <c r="CPA46" s="15"/>
      <c r="CPB46" s="125"/>
      <c r="CPC46" s="125"/>
      <c r="CPD46" s="14"/>
      <c r="CPE46" s="10"/>
      <c r="CPF46" s="125"/>
      <c r="CPG46" s="125"/>
      <c r="CPH46" s="14"/>
      <c r="CPI46" s="15"/>
      <c r="CPJ46" s="125"/>
      <c r="CPK46" s="125"/>
      <c r="CPL46" s="14"/>
      <c r="CPM46" s="15"/>
      <c r="CPN46" s="125"/>
      <c r="CPO46" s="125"/>
      <c r="CPP46" s="14"/>
      <c r="CPQ46" s="15"/>
      <c r="CPR46" s="125"/>
      <c r="CPS46" s="125"/>
      <c r="CPT46" s="14"/>
      <c r="CPU46" s="10"/>
      <c r="CPV46" s="125"/>
      <c r="CPW46" s="125"/>
      <c r="CPX46" s="14"/>
      <c r="CPY46" s="15"/>
      <c r="CPZ46" s="125"/>
      <c r="CQA46" s="125"/>
      <c r="CQB46" s="14"/>
      <c r="CQC46" s="15"/>
      <c r="CQD46" s="125"/>
      <c r="CQE46" s="125"/>
      <c r="CQF46" s="14"/>
      <c r="CQG46" s="15"/>
      <c r="CQH46" s="125"/>
      <c r="CQI46" s="125"/>
      <c r="CQJ46" s="14"/>
      <c r="CQK46" s="10"/>
      <c r="CQL46" s="125"/>
      <c r="CQM46" s="125"/>
      <c r="CQN46" s="14"/>
      <c r="CQO46" s="15"/>
      <c r="CQP46" s="125"/>
      <c r="CQQ46" s="125"/>
      <c r="CQR46" s="14"/>
      <c r="CQS46" s="15"/>
      <c r="CQT46" s="125"/>
      <c r="CQU46" s="125"/>
      <c r="CQV46" s="14"/>
      <c r="CQW46" s="15"/>
      <c r="CQX46" s="125"/>
      <c r="CQY46" s="125"/>
      <c r="CQZ46" s="14"/>
      <c r="CRA46" s="10"/>
      <c r="CRB46" s="125"/>
      <c r="CRC46" s="125"/>
      <c r="CRD46" s="14"/>
      <c r="CRE46" s="15"/>
      <c r="CRF46" s="125"/>
      <c r="CRG46" s="125"/>
      <c r="CRH46" s="14"/>
      <c r="CRI46" s="15"/>
      <c r="CRJ46" s="125"/>
      <c r="CRK46" s="125"/>
      <c r="CRL46" s="14"/>
      <c r="CRM46" s="15"/>
      <c r="CRN46" s="125"/>
      <c r="CRO46" s="125"/>
      <c r="CRP46" s="14"/>
      <c r="CRQ46" s="10"/>
      <c r="CRR46" s="125"/>
      <c r="CRS46" s="125"/>
      <c r="CRT46" s="14"/>
      <c r="CRU46" s="15"/>
      <c r="CRV46" s="125"/>
      <c r="CRW46" s="125"/>
      <c r="CRX46" s="14"/>
      <c r="CRY46" s="15"/>
      <c r="CRZ46" s="125"/>
      <c r="CSA46" s="125"/>
      <c r="CSB46" s="14"/>
      <c r="CSC46" s="15"/>
      <c r="CSD46" s="125"/>
      <c r="CSE46" s="125"/>
      <c r="CSF46" s="14"/>
      <c r="CSG46" s="10"/>
      <c r="CSH46" s="125"/>
      <c r="CSI46" s="125"/>
      <c r="CSJ46" s="14"/>
      <c r="CSK46" s="15"/>
      <c r="CSL46" s="125"/>
      <c r="CSM46" s="125"/>
      <c r="CSN46" s="14"/>
      <c r="CSO46" s="15"/>
      <c r="CSP46" s="125"/>
      <c r="CSQ46" s="125"/>
      <c r="CSR46" s="14"/>
      <c r="CSS46" s="15"/>
      <c r="CST46" s="125"/>
      <c r="CSU46" s="125"/>
      <c r="CSV46" s="14"/>
      <c r="CSW46" s="10"/>
      <c r="CSX46" s="125"/>
      <c r="CSY46" s="125"/>
      <c r="CSZ46" s="14"/>
      <c r="CTA46" s="15"/>
      <c r="CTB46" s="125"/>
      <c r="CTC46" s="125"/>
      <c r="CTD46" s="14"/>
      <c r="CTE46" s="15"/>
      <c r="CTF46" s="125"/>
      <c r="CTG46" s="125"/>
      <c r="CTH46" s="14"/>
      <c r="CTI46" s="15"/>
      <c r="CTJ46" s="125"/>
      <c r="CTK46" s="125"/>
      <c r="CTL46" s="14"/>
      <c r="CTM46" s="10"/>
      <c r="CTN46" s="125"/>
      <c r="CTO46" s="125"/>
      <c r="CTP46" s="14"/>
      <c r="CTQ46" s="15"/>
      <c r="CTR46" s="125"/>
      <c r="CTS46" s="125"/>
      <c r="CTT46" s="14"/>
      <c r="CTU46" s="15"/>
      <c r="CTV46" s="125"/>
      <c r="CTW46" s="125"/>
      <c r="CTX46" s="14"/>
      <c r="CTY46" s="15"/>
      <c r="CTZ46" s="125"/>
      <c r="CUA46" s="125"/>
      <c r="CUB46" s="14"/>
      <c r="CUC46" s="10"/>
      <c r="CUD46" s="125"/>
      <c r="CUE46" s="125"/>
      <c r="CUF46" s="14"/>
      <c r="CUG46" s="15"/>
      <c r="CUH46" s="125"/>
      <c r="CUI46" s="125"/>
      <c r="CUJ46" s="14"/>
      <c r="CUK46" s="15"/>
      <c r="CUL46" s="125"/>
      <c r="CUM46" s="125"/>
      <c r="CUN46" s="14"/>
      <c r="CUO46" s="15"/>
      <c r="CUP46" s="125"/>
      <c r="CUQ46" s="125"/>
      <c r="CUR46" s="14"/>
      <c r="CUS46" s="10"/>
      <c r="CUT46" s="125"/>
      <c r="CUU46" s="125"/>
      <c r="CUV46" s="14"/>
      <c r="CUW46" s="15"/>
      <c r="CUX46" s="125"/>
      <c r="CUY46" s="125"/>
      <c r="CUZ46" s="14"/>
      <c r="CVA46" s="15"/>
      <c r="CVB46" s="125"/>
      <c r="CVC46" s="125"/>
      <c r="CVD46" s="14"/>
      <c r="CVE46" s="15"/>
      <c r="CVF46" s="125"/>
      <c r="CVG46" s="125"/>
      <c r="CVH46" s="14"/>
      <c r="CVI46" s="10"/>
      <c r="CVJ46" s="125"/>
      <c r="CVK46" s="125"/>
      <c r="CVL46" s="14"/>
      <c r="CVM46" s="15"/>
      <c r="CVN46" s="125"/>
      <c r="CVO46" s="125"/>
      <c r="CVP46" s="14"/>
      <c r="CVQ46" s="15"/>
      <c r="CVR46" s="125"/>
      <c r="CVS46" s="125"/>
      <c r="CVT46" s="14"/>
      <c r="CVU46" s="15"/>
      <c r="CVV46" s="125"/>
      <c r="CVW46" s="125"/>
      <c r="CVX46" s="14"/>
      <c r="CVY46" s="10"/>
      <c r="CVZ46" s="125"/>
      <c r="CWA46" s="125"/>
      <c r="CWB46" s="14"/>
      <c r="CWC46" s="15"/>
      <c r="CWD46" s="125"/>
      <c r="CWE46" s="125"/>
      <c r="CWF46" s="14"/>
      <c r="CWG46" s="15"/>
      <c r="CWH46" s="125"/>
      <c r="CWI46" s="125"/>
      <c r="CWJ46" s="14"/>
      <c r="CWK46" s="15"/>
      <c r="CWL46" s="125"/>
      <c r="CWM46" s="125"/>
      <c r="CWN46" s="14"/>
      <c r="CWO46" s="10"/>
      <c r="CWP46" s="125"/>
      <c r="CWQ46" s="125"/>
      <c r="CWR46" s="14"/>
      <c r="CWS46" s="15"/>
      <c r="CWT46" s="125"/>
      <c r="CWU46" s="125"/>
      <c r="CWV46" s="14"/>
      <c r="CWW46" s="15"/>
      <c r="CWX46" s="125"/>
      <c r="CWY46" s="125"/>
      <c r="CWZ46" s="14"/>
      <c r="CXA46" s="15"/>
      <c r="CXB46" s="125"/>
      <c r="CXC46" s="125"/>
      <c r="CXD46" s="14"/>
      <c r="CXE46" s="10"/>
      <c r="CXF46" s="125"/>
      <c r="CXG46" s="125"/>
      <c r="CXH46" s="14"/>
      <c r="CXI46" s="15"/>
      <c r="CXJ46" s="125"/>
      <c r="CXK46" s="125"/>
      <c r="CXL46" s="14"/>
      <c r="CXM46" s="15"/>
      <c r="CXN46" s="125"/>
      <c r="CXO46" s="125"/>
      <c r="CXP46" s="14"/>
      <c r="CXQ46" s="15"/>
      <c r="CXR46" s="125"/>
      <c r="CXS46" s="125"/>
      <c r="CXT46" s="14"/>
      <c r="CXU46" s="10"/>
      <c r="CXV46" s="125"/>
      <c r="CXW46" s="125"/>
      <c r="CXX46" s="14"/>
      <c r="CXY46" s="15"/>
      <c r="CXZ46" s="125"/>
      <c r="CYA46" s="125"/>
      <c r="CYB46" s="14"/>
      <c r="CYC46" s="15"/>
      <c r="CYD46" s="125"/>
      <c r="CYE46" s="125"/>
      <c r="CYF46" s="14"/>
      <c r="CYG46" s="15"/>
      <c r="CYH46" s="125"/>
      <c r="CYI46" s="125"/>
      <c r="CYJ46" s="14"/>
      <c r="CYK46" s="10"/>
      <c r="CYL46" s="125"/>
      <c r="CYM46" s="125"/>
      <c r="CYN46" s="14"/>
      <c r="CYO46" s="15"/>
      <c r="CYP46" s="125"/>
      <c r="CYQ46" s="125"/>
      <c r="CYR46" s="14"/>
      <c r="CYS46" s="15"/>
      <c r="CYT46" s="125"/>
      <c r="CYU46" s="125"/>
      <c r="CYV46" s="14"/>
      <c r="CYW46" s="15"/>
      <c r="CYX46" s="125"/>
      <c r="CYY46" s="125"/>
      <c r="CYZ46" s="14"/>
      <c r="CZA46" s="10"/>
      <c r="CZB46" s="125"/>
      <c r="CZC46" s="125"/>
      <c r="CZD46" s="14"/>
      <c r="CZE46" s="15"/>
      <c r="CZF46" s="125"/>
      <c r="CZG46" s="125"/>
      <c r="CZH46" s="14"/>
      <c r="CZI46" s="15"/>
      <c r="CZJ46" s="125"/>
      <c r="CZK46" s="125"/>
      <c r="CZL46" s="14"/>
      <c r="CZM46" s="15"/>
      <c r="CZN46" s="125"/>
      <c r="CZO46" s="125"/>
      <c r="CZP46" s="14"/>
      <c r="CZQ46" s="10"/>
      <c r="CZR46" s="125"/>
      <c r="CZS46" s="125"/>
      <c r="CZT46" s="14"/>
      <c r="CZU46" s="15"/>
      <c r="CZV46" s="125"/>
      <c r="CZW46" s="125"/>
      <c r="CZX46" s="14"/>
      <c r="CZY46" s="15"/>
      <c r="CZZ46" s="125"/>
      <c r="DAA46" s="125"/>
      <c r="DAB46" s="14"/>
      <c r="DAC46" s="15"/>
      <c r="DAD46" s="125"/>
      <c r="DAE46" s="125"/>
      <c r="DAF46" s="14"/>
      <c r="DAG46" s="10"/>
      <c r="DAH46" s="125"/>
      <c r="DAI46" s="125"/>
      <c r="DAJ46" s="14"/>
      <c r="DAK46" s="15"/>
      <c r="DAL46" s="125"/>
      <c r="DAM46" s="125"/>
      <c r="DAN46" s="14"/>
      <c r="DAO46" s="15"/>
      <c r="DAP46" s="125"/>
      <c r="DAQ46" s="125"/>
      <c r="DAR46" s="14"/>
      <c r="DAS46" s="15"/>
      <c r="DAT46" s="125"/>
      <c r="DAU46" s="125"/>
      <c r="DAV46" s="14"/>
      <c r="DAW46" s="10"/>
      <c r="DAX46" s="125"/>
      <c r="DAY46" s="125"/>
      <c r="DAZ46" s="14"/>
      <c r="DBA46" s="15"/>
      <c r="DBB46" s="125"/>
      <c r="DBC46" s="125"/>
      <c r="DBD46" s="14"/>
      <c r="DBE46" s="15"/>
      <c r="DBF46" s="125"/>
      <c r="DBG46" s="125"/>
      <c r="DBH46" s="14"/>
      <c r="DBI46" s="15"/>
      <c r="DBJ46" s="125"/>
      <c r="DBK46" s="125"/>
      <c r="DBL46" s="14"/>
      <c r="DBM46" s="10"/>
      <c r="DBN46" s="125"/>
      <c r="DBO46" s="125"/>
      <c r="DBP46" s="14"/>
      <c r="DBQ46" s="15"/>
      <c r="DBR46" s="125"/>
      <c r="DBS46" s="125"/>
      <c r="DBT46" s="14"/>
      <c r="DBU46" s="15"/>
      <c r="DBV46" s="125"/>
      <c r="DBW46" s="125"/>
      <c r="DBX46" s="14"/>
      <c r="DBY46" s="15"/>
      <c r="DBZ46" s="125"/>
      <c r="DCA46" s="125"/>
      <c r="DCB46" s="14"/>
      <c r="DCC46" s="10"/>
      <c r="DCD46" s="125"/>
      <c r="DCE46" s="125"/>
      <c r="DCF46" s="14"/>
      <c r="DCG46" s="15"/>
      <c r="DCH46" s="125"/>
      <c r="DCI46" s="125"/>
      <c r="DCJ46" s="14"/>
      <c r="DCK46" s="15"/>
      <c r="DCL46" s="125"/>
      <c r="DCM46" s="125"/>
      <c r="DCN46" s="14"/>
      <c r="DCO46" s="15"/>
      <c r="DCP46" s="125"/>
      <c r="DCQ46" s="125"/>
      <c r="DCR46" s="14"/>
      <c r="DCS46" s="10"/>
      <c r="DCT46" s="125"/>
      <c r="DCU46" s="125"/>
      <c r="DCV46" s="14"/>
      <c r="DCW46" s="15"/>
      <c r="DCX46" s="125"/>
      <c r="DCY46" s="125"/>
      <c r="DCZ46" s="14"/>
      <c r="DDA46" s="15"/>
      <c r="DDB46" s="125"/>
      <c r="DDC46" s="125"/>
      <c r="DDD46" s="14"/>
      <c r="DDE46" s="15"/>
      <c r="DDF46" s="125"/>
      <c r="DDG46" s="125"/>
      <c r="DDH46" s="14"/>
      <c r="DDI46" s="10"/>
      <c r="DDJ46" s="125"/>
      <c r="DDK46" s="125"/>
      <c r="DDL46" s="14"/>
      <c r="DDM46" s="15"/>
      <c r="DDN46" s="125"/>
      <c r="DDO46" s="125"/>
      <c r="DDP46" s="14"/>
      <c r="DDQ46" s="15"/>
      <c r="DDR46" s="125"/>
      <c r="DDS46" s="125"/>
      <c r="DDT46" s="14"/>
      <c r="DDU46" s="15"/>
      <c r="DDV46" s="125"/>
      <c r="DDW46" s="125"/>
      <c r="DDX46" s="14"/>
      <c r="DDY46" s="10"/>
      <c r="DDZ46" s="125"/>
      <c r="DEA46" s="125"/>
      <c r="DEB46" s="14"/>
      <c r="DEC46" s="15"/>
      <c r="DED46" s="125"/>
      <c r="DEE46" s="125"/>
      <c r="DEF46" s="14"/>
      <c r="DEG46" s="15"/>
      <c r="DEH46" s="125"/>
      <c r="DEI46" s="125"/>
      <c r="DEJ46" s="14"/>
      <c r="DEK46" s="15"/>
      <c r="DEL46" s="125"/>
      <c r="DEM46" s="125"/>
      <c r="DEN46" s="14"/>
      <c r="DEO46" s="10"/>
      <c r="DEP46" s="125"/>
      <c r="DEQ46" s="125"/>
      <c r="DER46" s="14"/>
      <c r="DES46" s="15"/>
      <c r="DET46" s="125"/>
      <c r="DEU46" s="125"/>
      <c r="DEV46" s="14"/>
      <c r="DEW46" s="15"/>
      <c r="DEX46" s="125"/>
      <c r="DEY46" s="125"/>
      <c r="DEZ46" s="14"/>
      <c r="DFA46" s="15"/>
      <c r="DFB46" s="125"/>
      <c r="DFC46" s="125"/>
      <c r="DFD46" s="14"/>
      <c r="DFE46" s="10"/>
      <c r="DFF46" s="125"/>
      <c r="DFG46" s="125"/>
      <c r="DFH46" s="14"/>
      <c r="DFI46" s="15"/>
      <c r="DFJ46" s="125"/>
      <c r="DFK46" s="125"/>
      <c r="DFL46" s="14"/>
      <c r="DFM46" s="15"/>
      <c r="DFN46" s="125"/>
      <c r="DFO46" s="125"/>
      <c r="DFP46" s="14"/>
      <c r="DFQ46" s="15"/>
      <c r="DFR46" s="125"/>
      <c r="DFS46" s="125"/>
      <c r="DFT46" s="14"/>
      <c r="DFU46" s="10"/>
      <c r="DFV46" s="125"/>
      <c r="DFW46" s="125"/>
      <c r="DFX46" s="14"/>
      <c r="DFY46" s="15"/>
      <c r="DFZ46" s="125"/>
      <c r="DGA46" s="125"/>
      <c r="DGB46" s="14"/>
      <c r="DGC46" s="15"/>
      <c r="DGD46" s="125"/>
      <c r="DGE46" s="125"/>
      <c r="DGF46" s="14"/>
      <c r="DGG46" s="15"/>
      <c r="DGH46" s="125"/>
      <c r="DGI46" s="125"/>
      <c r="DGJ46" s="14"/>
      <c r="DGK46" s="10"/>
      <c r="DGL46" s="125"/>
      <c r="DGM46" s="125"/>
      <c r="DGN46" s="14"/>
      <c r="DGO46" s="15"/>
      <c r="DGP46" s="125"/>
      <c r="DGQ46" s="125"/>
      <c r="DGR46" s="14"/>
      <c r="DGS46" s="15"/>
      <c r="DGT46" s="125"/>
      <c r="DGU46" s="125"/>
      <c r="DGV46" s="14"/>
      <c r="DGW46" s="15"/>
      <c r="DGX46" s="125"/>
      <c r="DGY46" s="125"/>
      <c r="DGZ46" s="14"/>
      <c r="DHA46" s="10"/>
      <c r="DHB46" s="125"/>
      <c r="DHC46" s="125"/>
      <c r="DHD46" s="14"/>
      <c r="DHE46" s="15"/>
      <c r="DHF46" s="125"/>
      <c r="DHG46" s="125"/>
      <c r="DHH46" s="14"/>
      <c r="DHI46" s="15"/>
      <c r="DHJ46" s="125"/>
      <c r="DHK46" s="125"/>
      <c r="DHL46" s="14"/>
      <c r="DHM46" s="15"/>
      <c r="DHN46" s="125"/>
      <c r="DHO46" s="125"/>
      <c r="DHP46" s="14"/>
      <c r="DHQ46" s="10"/>
      <c r="DHR46" s="125"/>
      <c r="DHS46" s="125"/>
      <c r="DHT46" s="14"/>
      <c r="DHU46" s="15"/>
      <c r="DHV46" s="125"/>
      <c r="DHW46" s="125"/>
      <c r="DHX46" s="14"/>
      <c r="DHY46" s="15"/>
      <c r="DHZ46" s="125"/>
      <c r="DIA46" s="125"/>
      <c r="DIB46" s="14"/>
      <c r="DIC46" s="15"/>
      <c r="DID46" s="125"/>
      <c r="DIE46" s="125"/>
      <c r="DIF46" s="14"/>
      <c r="DIG46" s="10"/>
      <c r="DIH46" s="125"/>
      <c r="DII46" s="125"/>
      <c r="DIJ46" s="14"/>
      <c r="DIK46" s="15"/>
      <c r="DIL46" s="125"/>
      <c r="DIM46" s="125"/>
      <c r="DIN46" s="14"/>
      <c r="DIO46" s="15"/>
      <c r="DIP46" s="125"/>
      <c r="DIQ46" s="125"/>
      <c r="DIR46" s="14"/>
      <c r="DIS46" s="15"/>
      <c r="DIT46" s="125"/>
      <c r="DIU46" s="125"/>
      <c r="DIV46" s="14"/>
      <c r="DIW46" s="10"/>
      <c r="DIX46" s="125"/>
      <c r="DIY46" s="125"/>
      <c r="DIZ46" s="14"/>
      <c r="DJA46" s="15"/>
      <c r="DJB46" s="125"/>
      <c r="DJC46" s="125"/>
      <c r="DJD46" s="14"/>
      <c r="DJE46" s="15"/>
      <c r="DJF46" s="125"/>
      <c r="DJG46" s="125"/>
      <c r="DJH46" s="14"/>
      <c r="DJI46" s="15"/>
      <c r="DJJ46" s="125"/>
      <c r="DJK46" s="125"/>
      <c r="DJL46" s="14"/>
      <c r="DJM46" s="10"/>
      <c r="DJN46" s="125"/>
      <c r="DJO46" s="125"/>
      <c r="DJP46" s="14"/>
      <c r="DJQ46" s="15"/>
      <c r="DJR46" s="125"/>
      <c r="DJS46" s="125"/>
      <c r="DJT46" s="14"/>
      <c r="DJU46" s="15"/>
      <c r="DJV46" s="125"/>
      <c r="DJW46" s="125"/>
      <c r="DJX46" s="14"/>
      <c r="DJY46" s="15"/>
      <c r="DJZ46" s="125"/>
      <c r="DKA46" s="125"/>
      <c r="DKB46" s="14"/>
      <c r="DKC46" s="10"/>
      <c r="DKD46" s="125"/>
      <c r="DKE46" s="125"/>
      <c r="DKF46" s="14"/>
      <c r="DKG46" s="15"/>
      <c r="DKH46" s="125"/>
      <c r="DKI46" s="125"/>
      <c r="DKJ46" s="14"/>
      <c r="DKK46" s="15"/>
      <c r="DKL46" s="125"/>
      <c r="DKM46" s="125"/>
      <c r="DKN46" s="14"/>
      <c r="DKO46" s="15"/>
      <c r="DKP46" s="125"/>
      <c r="DKQ46" s="125"/>
      <c r="DKR46" s="14"/>
      <c r="DKS46" s="10"/>
      <c r="DKT46" s="125"/>
      <c r="DKU46" s="125"/>
      <c r="DKV46" s="14"/>
      <c r="DKW46" s="15"/>
      <c r="DKX46" s="125"/>
      <c r="DKY46" s="125"/>
      <c r="DKZ46" s="14"/>
      <c r="DLA46" s="15"/>
      <c r="DLB46" s="125"/>
      <c r="DLC46" s="125"/>
      <c r="DLD46" s="14"/>
      <c r="DLE46" s="15"/>
      <c r="DLF46" s="125"/>
      <c r="DLG46" s="125"/>
      <c r="DLH46" s="14"/>
      <c r="DLI46" s="10"/>
      <c r="DLJ46" s="125"/>
      <c r="DLK46" s="125"/>
      <c r="DLL46" s="14"/>
      <c r="DLM46" s="15"/>
      <c r="DLN46" s="125"/>
      <c r="DLO46" s="125"/>
      <c r="DLP46" s="14"/>
      <c r="DLQ46" s="15"/>
      <c r="DLR46" s="125"/>
      <c r="DLS46" s="125"/>
      <c r="DLT46" s="14"/>
      <c r="DLU46" s="15"/>
      <c r="DLV46" s="125"/>
      <c r="DLW46" s="125"/>
      <c r="DLX46" s="14"/>
      <c r="DLY46" s="10"/>
      <c r="DLZ46" s="125"/>
      <c r="DMA46" s="125"/>
      <c r="DMB46" s="14"/>
      <c r="DMC46" s="15"/>
      <c r="DMD46" s="125"/>
      <c r="DME46" s="125"/>
      <c r="DMF46" s="14"/>
      <c r="DMG46" s="15"/>
      <c r="DMH46" s="125"/>
      <c r="DMI46" s="125"/>
      <c r="DMJ46" s="14"/>
      <c r="DMK46" s="15"/>
      <c r="DML46" s="125"/>
      <c r="DMM46" s="125"/>
      <c r="DMN46" s="14"/>
      <c r="DMO46" s="10"/>
      <c r="DMP46" s="125"/>
      <c r="DMQ46" s="125"/>
      <c r="DMR46" s="14"/>
      <c r="DMS46" s="15"/>
      <c r="DMT46" s="125"/>
      <c r="DMU46" s="125"/>
      <c r="DMV46" s="14"/>
      <c r="DMW46" s="15"/>
      <c r="DMX46" s="125"/>
      <c r="DMY46" s="125"/>
      <c r="DMZ46" s="14"/>
      <c r="DNA46" s="15"/>
      <c r="DNB46" s="125"/>
      <c r="DNC46" s="125"/>
      <c r="DND46" s="14"/>
      <c r="DNE46" s="10"/>
      <c r="DNF46" s="125"/>
      <c r="DNG46" s="125"/>
      <c r="DNH46" s="14"/>
      <c r="DNI46" s="15"/>
      <c r="DNJ46" s="125"/>
      <c r="DNK46" s="125"/>
      <c r="DNL46" s="14"/>
      <c r="DNM46" s="15"/>
      <c r="DNN46" s="125"/>
      <c r="DNO46" s="125"/>
      <c r="DNP46" s="14"/>
      <c r="DNQ46" s="15"/>
      <c r="DNR46" s="125"/>
      <c r="DNS46" s="125"/>
      <c r="DNT46" s="14"/>
      <c r="DNU46" s="10"/>
      <c r="DNV46" s="125"/>
      <c r="DNW46" s="125"/>
      <c r="DNX46" s="14"/>
      <c r="DNY46" s="15"/>
      <c r="DNZ46" s="125"/>
      <c r="DOA46" s="125"/>
      <c r="DOB46" s="14"/>
      <c r="DOC46" s="15"/>
      <c r="DOD46" s="125"/>
      <c r="DOE46" s="125"/>
      <c r="DOF46" s="14"/>
      <c r="DOG46" s="15"/>
      <c r="DOH46" s="125"/>
      <c r="DOI46" s="125"/>
      <c r="DOJ46" s="14"/>
      <c r="DOK46" s="10"/>
      <c r="DOL46" s="125"/>
      <c r="DOM46" s="125"/>
      <c r="DON46" s="14"/>
      <c r="DOO46" s="15"/>
      <c r="DOP46" s="125"/>
      <c r="DOQ46" s="125"/>
      <c r="DOR46" s="14"/>
      <c r="DOS46" s="15"/>
      <c r="DOT46" s="125"/>
      <c r="DOU46" s="125"/>
      <c r="DOV46" s="14"/>
      <c r="DOW46" s="15"/>
      <c r="DOX46" s="125"/>
      <c r="DOY46" s="125"/>
      <c r="DOZ46" s="14"/>
      <c r="DPA46" s="10"/>
      <c r="DPB46" s="125"/>
      <c r="DPC46" s="125"/>
      <c r="DPD46" s="14"/>
      <c r="DPE46" s="15"/>
      <c r="DPF46" s="125"/>
      <c r="DPG46" s="125"/>
      <c r="DPH46" s="14"/>
      <c r="DPI46" s="15"/>
      <c r="DPJ46" s="125"/>
      <c r="DPK46" s="125"/>
      <c r="DPL46" s="14"/>
      <c r="DPM46" s="15"/>
      <c r="DPN46" s="125"/>
      <c r="DPO46" s="125"/>
      <c r="DPP46" s="14"/>
      <c r="DPQ46" s="10"/>
      <c r="DPR46" s="125"/>
      <c r="DPS46" s="125"/>
      <c r="DPT46" s="14"/>
      <c r="DPU46" s="15"/>
      <c r="DPV46" s="125"/>
      <c r="DPW46" s="125"/>
      <c r="DPX46" s="14"/>
      <c r="DPY46" s="15"/>
      <c r="DPZ46" s="125"/>
      <c r="DQA46" s="125"/>
      <c r="DQB46" s="14"/>
      <c r="DQC46" s="15"/>
      <c r="DQD46" s="125"/>
      <c r="DQE46" s="125"/>
      <c r="DQF46" s="14"/>
      <c r="DQG46" s="10"/>
      <c r="DQH46" s="125"/>
      <c r="DQI46" s="125"/>
      <c r="DQJ46" s="14"/>
      <c r="DQK46" s="15"/>
      <c r="DQL46" s="125"/>
      <c r="DQM46" s="125"/>
      <c r="DQN46" s="14"/>
      <c r="DQO46" s="15"/>
      <c r="DQP46" s="125"/>
      <c r="DQQ46" s="125"/>
      <c r="DQR46" s="14"/>
      <c r="DQS46" s="15"/>
      <c r="DQT46" s="125"/>
      <c r="DQU46" s="125"/>
      <c r="DQV46" s="14"/>
      <c r="DQW46" s="10"/>
      <c r="DQX46" s="125"/>
      <c r="DQY46" s="125"/>
      <c r="DQZ46" s="14"/>
      <c r="DRA46" s="15"/>
      <c r="DRB46" s="125"/>
      <c r="DRC46" s="125"/>
      <c r="DRD46" s="14"/>
      <c r="DRE46" s="15"/>
      <c r="DRF46" s="125"/>
      <c r="DRG46" s="125"/>
      <c r="DRH46" s="14"/>
      <c r="DRI46" s="15"/>
      <c r="DRJ46" s="125"/>
      <c r="DRK46" s="125"/>
      <c r="DRL46" s="14"/>
      <c r="DRM46" s="10"/>
      <c r="DRN46" s="125"/>
      <c r="DRO46" s="125"/>
      <c r="DRP46" s="14"/>
      <c r="DRQ46" s="15"/>
      <c r="DRR46" s="125"/>
      <c r="DRS46" s="125"/>
      <c r="DRT46" s="14"/>
      <c r="DRU46" s="15"/>
      <c r="DRV46" s="125"/>
      <c r="DRW46" s="125"/>
      <c r="DRX46" s="14"/>
      <c r="DRY46" s="15"/>
      <c r="DRZ46" s="125"/>
      <c r="DSA46" s="125"/>
      <c r="DSB46" s="14"/>
      <c r="DSC46" s="10"/>
      <c r="DSD46" s="125"/>
      <c r="DSE46" s="125"/>
      <c r="DSF46" s="14"/>
      <c r="DSG46" s="15"/>
      <c r="DSH46" s="125"/>
      <c r="DSI46" s="125"/>
      <c r="DSJ46" s="14"/>
      <c r="DSK46" s="15"/>
      <c r="DSL46" s="125"/>
      <c r="DSM46" s="125"/>
      <c r="DSN46" s="14"/>
      <c r="DSO46" s="15"/>
      <c r="DSP46" s="125"/>
      <c r="DSQ46" s="125"/>
      <c r="DSR46" s="14"/>
      <c r="DSS46" s="10"/>
      <c r="DST46" s="125"/>
      <c r="DSU46" s="125"/>
      <c r="DSV46" s="14"/>
      <c r="DSW46" s="15"/>
      <c r="DSX46" s="125"/>
      <c r="DSY46" s="125"/>
      <c r="DSZ46" s="14"/>
      <c r="DTA46" s="15"/>
      <c r="DTB46" s="125"/>
      <c r="DTC46" s="125"/>
      <c r="DTD46" s="14"/>
      <c r="DTE46" s="15"/>
      <c r="DTF46" s="125"/>
      <c r="DTG46" s="125"/>
      <c r="DTH46" s="14"/>
      <c r="DTI46" s="10"/>
      <c r="DTJ46" s="125"/>
      <c r="DTK46" s="125"/>
      <c r="DTL46" s="14"/>
      <c r="DTM46" s="15"/>
      <c r="DTN46" s="125"/>
      <c r="DTO46" s="125"/>
      <c r="DTP46" s="14"/>
      <c r="DTQ46" s="15"/>
      <c r="DTR46" s="125"/>
      <c r="DTS46" s="125"/>
      <c r="DTT46" s="14"/>
      <c r="DTU46" s="15"/>
      <c r="DTV46" s="125"/>
      <c r="DTW46" s="125"/>
      <c r="DTX46" s="14"/>
      <c r="DTY46" s="10"/>
      <c r="DTZ46" s="125"/>
      <c r="DUA46" s="125"/>
      <c r="DUB46" s="14"/>
      <c r="DUC46" s="15"/>
      <c r="DUD46" s="125"/>
      <c r="DUE46" s="125"/>
      <c r="DUF46" s="14"/>
      <c r="DUG46" s="15"/>
      <c r="DUH46" s="125"/>
      <c r="DUI46" s="125"/>
      <c r="DUJ46" s="14"/>
      <c r="DUK46" s="15"/>
      <c r="DUL46" s="125"/>
      <c r="DUM46" s="125"/>
      <c r="DUN46" s="14"/>
      <c r="DUO46" s="10"/>
      <c r="DUP46" s="125"/>
      <c r="DUQ46" s="125"/>
      <c r="DUR46" s="14"/>
      <c r="DUS46" s="15"/>
      <c r="DUT46" s="125"/>
      <c r="DUU46" s="125"/>
      <c r="DUV46" s="14"/>
      <c r="DUW46" s="15"/>
      <c r="DUX46" s="125"/>
      <c r="DUY46" s="125"/>
      <c r="DUZ46" s="14"/>
      <c r="DVA46" s="15"/>
      <c r="DVB46" s="125"/>
      <c r="DVC46" s="125"/>
      <c r="DVD46" s="14"/>
      <c r="DVE46" s="10"/>
      <c r="DVF46" s="125"/>
      <c r="DVG46" s="125"/>
      <c r="DVH46" s="14"/>
      <c r="DVI46" s="15"/>
      <c r="DVJ46" s="125"/>
      <c r="DVK46" s="125"/>
      <c r="DVL46" s="14"/>
      <c r="DVM46" s="15"/>
      <c r="DVN46" s="125"/>
      <c r="DVO46" s="125"/>
      <c r="DVP46" s="14"/>
      <c r="DVQ46" s="15"/>
      <c r="DVR46" s="125"/>
      <c r="DVS46" s="125"/>
      <c r="DVT46" s="14"/>
      <c r="DVU46" s="10"/>
      <c r="DVV46" s="125"/>
      <c r="DVW46" s="125"/>
      <c r="DVX46" s="14"/>
      <c r="DVY46" s="15"/>
      <c r="DVZ46" s="125"/>
      <c r="DWA46" s="125"/>
      <c r="DWB46" s="14"/>
      <c r="DWC46" s="15"/>
      <c r="DWD46" s="125"/>
      <c r="DWE46" s="125"/>
      <c r="DWF46" s="14"/>
      <c r="DWG46" s="15"/>
      <c r="DWH46" s="125"/>
      <c r="DWI46" s="125"/>
      <c r="DWJ46" s="14"/>
      <c r="DWK46" s="10"/>
      <c r="DWL46" s="125"/>
      <c r="DWM46" s="125"/>
      <c r="DWN46" s="14"/>
      <c r="DWO46" s="15"/>
      <c r="DWP46" s="125"/>
      <c r="DWQ46" s="125"/>
      <c r="DWR46" s="14"/>
      <c r="DWS46" s="15"/>
      <c r="DWT46" s="125"/>
      <c r="DWU46" s="125"/>
      <c r="DWV46" s="14"/>
      <c r="DWW46" s="15"/>
      <c r="DWX46" s="125"/>
      <c r="DWY46" s="125"/>
      <c r="DWZ46" s="14"/>
      <c r="DXA46" s="10"/>
      <c r="DXB46" s="125"/>
      <c r="DXC46" s="125"/>
      <c r="DXD46" s="14"/>
      <c r="DXE46" s="15"/>
      <c r="DXF46" s="125"/>
      <c r="DXG46" s="125"/>
      <c r="DXH46" s="14"/>
      <c r="DXI46" s="15"/>
      <c r="DXJ46" s="125"/>
      <c r="DXK46" s="125"/>
      <c r="DXL46" s="14"/>
      <c r="DXM46" s="15"/>
      <c r="DXN46" s="125"/>
      <c r="DXO46" s="125"/>
      <c r="DXP46" s="14"/>
      <c r="DXQ46" s="10"/>
      <c r="DXR46" s="125"/>
      <c r="DXS46" s="125"/>
      <c r="DXT46" s="14"/>
      <c r="DXU46" s="15"/>
      <c r="DXV46" s="125"/>
      <c r="DXW46" s="125"/>
      <c r="DXX46" s="14"/>
      <c r="DXY46" s="15"/>
      <c r="DXZ46" s="125"/>
      <c r="DYA46" s="125"/>
      <c r="DYB46" s="14"/>
      <c r="DYC46" s="15"/>
      <c r="DYD46" s="125"/>
      <c r="DYE46" s="125"/>
      <c r="DYF46" s="14"/>
      <c r="DYG46" s="10"/>
      <c r="DYH46" s="125"/>
      <c r="DYI46" s="125"/>
      <c r="DYJ46" s="14"/>
      <c r="DYK46" s="15"/>
      <c r="DYL46" s="125"/>
      <c r="DYM46" s="125"/>
      <c r="DYN46" s="14"/>
      <c r="DYO46" s="15"/>
      <c r="DYP46" s="125"/>
      <c r="DYQ46" s="125"/>
      <c r="DYR46" s="14"/>
      <c r="DYS46" s="15"/>
      <c r="DYT46" s="125"/>
      <c r="DYU46" s="125"/>
      <c r="DYV46" s="14"/>
      <c r="DYW46" s="10"/>
      <c r="DYX46" s="125"/>
      <c r="DYY46" s="125"/>
      <c r="DYZ46" s="14"/>
      <c r="DZA46" s="15"/>
      <c r="DZB46" s="125"/>
      <c r="DZC46" s="125"/>
      <c r="DZD46" s="14"/>
      <c r="DZE46" s="15"/>
      <c r="DZF46" s="125"/>
      <c r="DZG46" s="125"/>
      <c r="DZH46" s="14"/>
      <c r="DZI46" s="15"/>
      <c r="DZJ46" s="125"/>
      <c r="DZK46" s="125"/>
      <c r="DZL46" s="14"/>
      <c r="DZM46" s="10"/>
      <c r="DZN46" s="125"/>
      <c r="DZO46" s="125"/>
      <c r="DZP46" s="14"/>
      <c r="DZQ46" s="15"/>
      <c r="DZR46" s="125"/>
      <c r="DZS46" s="125"/>
      <c r="DZT46" s="14"/>
      <c r="DZU46" s="15"/>
      <c r="DZV46" s="125"/>
      <c r="DZW46" s="125"/>
      <c r="DZX46" s="14"/>
      <c r="DZY46" s="15"/>
      <c r="DZZ46" s="125"/>
      <c r="EAA46" s="125"/>
      <c r="EAB46" s="14"/>
      <c r="EAC46" s="10"/>
      <c r="EAD46" s="125"/>
      <c r="EAE46" s="125"/>
      <c r="EAF46" s="14"/>
      <c r="EAG46" s="15"/>
      <c r="EAH46" s="125"/>
      <c r="EAI46" s="125"/>
      <c r="EAJ46" s="14"/>
      <c r="EAK46" s="15"/>
      <c r="EAL46" s="125"/>
      <c r="EAM46" s="125"/>
      <c r="EAN46" s="14"/>
      <c r="EAO46" s="15"/>
      <c r="EAP46" s="125"/>
      <c r="EAQ46" s="125"/>
      <c r="EAR46" s="14"/>
      <c r="EAS46" s="10"/>
      <c r="EAT46" s="125"/>
      <c r="EAU46" s="125"/>
      <c r="EAV46" s="14"/>
      <c r="EAW46" s="15"/>
      <c r="EAX46" s="125"/>
      <c r="EAY46" s="125"/>
      <c r="EAZ46" s="14"/>
      <c r="EBA46" s="15"/>
      <c r="EBB46" s="125"/>
      <c r="EBC46" s="125"/>
      <c r="EBD46" s="14"/>
      <c r="EBE46" s="15"/>
      <c r="EBF46" s="125"/>
      <c r="EBG46" s="125"/>
      <c r="EBH46" s="14"/>
      <c r="EBI46" s="10"/>
      <c r="EBJ46" s="125"/>
      <c r="EBK46" s="125"/>
      <c r="EBL46" s="14"/>
      <c r="EBM46" s="15"/>
      <c r="EBN46" s="125"/>
      <c r="EBO46" s="125"/>
      <c r="EBP46" s="14"/>
      <c r="EBQ46" s="15"/>
      <c r="EBR46" s="125"/>
      <c r="EBS46" s="125"/>
      <c r="EBT46" s="14"/>
      <c r="EBU46" s="15"/>
      <c r="EBV46" s="125"/>
      <c r="EBW46" s="125"/>
      <c r="EBX46" s="14"/>
      <c r="EBY46" s="10"/>
      <c r="EBZ46" s="125"/>
      <c r="ECA46" s="125"/>
      <c r="ECB46" s="14"/>
      <c r="ECC46" s="15"/>
      <c r="ECD46" s="125"/>
      <c r="ECE46" s="125"/>
      <c r="ECF46" s="14"/>
      <c r="ECG46" s="15"/>
      <c r="ECH46" s="125"/>
      <c r="ECI46" s="125"/>
      <c r="ECJ46" s="14"/>
      <c r="ECK46" s="15"/>
      <c r="ECL46" s="125"/>
      <c r="ECM46" s="125"/>
      <c r="ECN46" s="14"/>
      <c r="ECO46" s="10"/>
      <c r="ECP46" s="125"/>
      <c r="ECQ46" s="125"/>
      <c r="ECR46" s="14"/>
      <c r="ECS46" s="15"/>
      <c r="ECT46" s="125"/>
      <c r="ECU46" s="125"/>
      <c r="ECV46" s="14"/>
      <c r="ECW46" s="15"/>
      <c r="ECX46" s="125"/>
      <c r="ECY46" s="125"/>
      <c r="ECZ46" s="14"/>
      <c r="EDA46" s="15"/>
      <c r="EDB46" s="125"/>
      <c r="EDC46" s="125"/>
      <c r="EDD46" s="14"/>
      <c r="EDE46" s="10"/>
      <c r="EDF46" s="125"/>
      <c r="EDG46" s="125"/>
      <c r="EDH46" s="14"/>
      <c r="EDI46" s="15"/>
      <c r="EDJ46" s="125"/>
      <c r="EDK46" s="125"/>
      <c r="EDL46" s="14"/>
      <c r="EDM46" s="15"/>
      <c r="EDN46" s="125"/>
      <c r="EDO46" s="125"/>
      <c r="EDP46" s="14"/>
      <c r="EDQ46" s="15"/>
      <c r="EDR46" s="125"/>
      <c r="EDS46" s="125"/>
      <c r="EDT46" s="14"/>
      <c r="EDU46" s="10"/>
      <c r="EDV46" s="125"/>
      <c r="EDW46" s="125"/>
      <c r="EDX46" s="14"/>
      <c r="EDY46" s="15"/>
      <c r="EDZ46" s="125"/>
      <c r="EEA46" s="125"/>
      <c r="EEB46" s="14"/>
      <c r="EEC46" s="15"/>
      <c r="EED46" s="125"/>
      <c r="EEE46" s="125"/>
      <c r="EEF46" s="14"/>
      <c r="EEG46" s="15"/>
      <c r="EEH46" s="125"/>
      <c r="EEI46" s="125"/>
      <c r="EEJ46" s="14"/>
      <c r="EEK46" s="10"/>
      <c r="EEL46" s="125"/>
      <c r="EEM46" s="125"/>
      <c r="EEN46" s="14"/>
      <c r="EEO46" s="15"/>
      <c r="EEP46" s="125"/>
      <c r="EEQ46" s="125"/>
      <c r="EER46" s="14"/>
      <c r="EES46" s="15"/>
      <c r="EET46" s="125"/>
      <c r="EEU46" s="125"/>
      <c r="EEV46" s="14"/>
      <c r="EEW46" s="15"/>
      <c r="EEX46" s="125"/>
      <c r="EEY46" s="125"/>
      <c r="EEZ46" s="14"/>
      <c r="EFA46" s="10"/>
      <c r="EFB46" s="125"/>
      <c r="EFC46" s="125"/>
      <c r="EFD46" s="14"/>
      <c r="EFE46" s="15"/>
      <c r="EFF46" s="125"/>
      <c r="EFG46" s="125"/>
      <c r="EFH46" s="14"/>
      <c r="EFI46" s="15"/>
      <c r="EFJ46" s="125"/>
      <c r="EFK46" s="125"/>
      <c r="EFL46" s="14"/>
      <c r="EFM46" s="15"/>
      <c r="EFN46" s="125"/>
      <c r="EFO46" s="125"/>
      <c r="EFP46" s="14"/>
      <c r="EFQ46" s="10"/>
      <c r="EFR46" s="125"/>
      <c r="EFS46" s="125"/>
      <c r="EFT46" s="14"/>
      <c r="EFU46" s="15"/>
      <c r="EFV46" s="125"/>
      <c r="EFW46" s="125"/>
      <c r="EFX46" s="14"/>
      <c r="EFY46" s="15"/>
      <c r="EFZ46" s="125"/>
      <c r="EGA46" s="125"/>
      <c r="EGB46" s="14"/>
      <c r="EGC46" s="15"/>
      <c r="EGD46" s="125"/>
      <c r="EGE46" s="125"/>
      <c r="EGF46" s="14"/>
      <c r="EGG46" s="10"/>
      <c r="EGH46" s="125"/>
      <c r="EGI46" s="125"/>
      <c r="EGJ46" s="14"/>
      <c r="EGK46" s="15"/>
      <c r="EGL46" s="125"/>
      <c r="EGM46" s="125"/>
      <c r="EGN46" s="14"/>
      <c r="EGO46" s="15"/>
      <c r="EGP46" s="125"/>
      <c r="EGQ46" s="125"/>
      <c r="EGR46" s="14"/>
      <c r="EGS46" s="15"/>
      <c r="EGT46" s="125"/>
      <c r="EGU46" s="125"/>
      <c r="EGV46" s="14"/>
      <c r="EGW46" s="10"/>
      <c r="EGX46" s="125"/>
      <c r="EGY46" s="125"/>
      <c r="EGZ46" s="14"/>
      <c r="EHA46" s="15"/>
      <c r="EHB46" s="125"/>
      <c r="EHC46" s="125"/>
      <c r="EHD46" s="14"/>
      <c r="EHE46" s="15"/>
      <c r="EHF46" s="125"/>
      <c r="EHG46" s="125"/>
      <c r="EHH46" s="14"/>
      <c r="EHI46" s="15"/>
      <c r="EHJ46" s="125"/>
      <c r="EHK46" s="125"/>
      <c r="EHL46" s="14"/>
      <c r="EHM46" s="10"/>
      <c r="EHN46" s="125"/>
      <c r="EHO46" s="125"/>
      <c r="EHP46" s="14"/>
      <c r="EHQ46" s="15"/>
      <c r="EHR46" s="125"/>
      <c r="EHS46" s="125"/>
      <c r="EHT46" s="14"/>
      <c r="EHU46" s="15"/>
      <c r="EHV46" s="125"/>
      <c r="EHW46" s="125"/>
      <c r="EHX46" s="14"/>
      <c r="EHY46" s="15"/>
      <c r="EHZ46" s="125"/>
      <c r="EIA46" s="125"/>
      <c r="EIB46" s="14"/>
      <c r="EIC46" s="10"/>
      <c r="EID46" s="125"/>
      <c r="EIE46" s="125"/>
      <c r="EIF46" s="14"/>
      <c r="EIG46" s="15"/>
      <c r="EIH46" s="125"/>
      <c r="EII46" s="125"/>
      <c r="EIJ46" s="14"/>
      <c r="EIK46" s="15"/>
      <c r="EIL46" s="125"/>
      <c r="EIM46" s="125"/>
      <c r="EIN46" s="14"/>
      <c r="EIO46" s="15"/>
      <c r="EIP46" s="125"/>
      <c r="EIQ46" s="125"/>
      <c r="EIR46" s="14"/>
      <c r="EIS46" s="10"/>
      <c r="EIT46" s="125"/>
      <c r="EIU46" s="125"/>
      <c r="EIV46" s="14"/>
      <c r="EIW46" s="15"/>
      <c r="EIX46" s="125"/>
      <c r="EIY46" s="125"/>
      <c r="EIZ46" s="14"/>
      <c r="EJA46" s="15"/>
      <c r="EJB46" s="125"/>
      <c r="EJC46" s="125"/>
      <c r="EJD46" s="14"/>
      <c r="EJE46" s="15"/>
      <c r="EJF46" s="125"/>
      <c r="EJG46" s="125"/>
      <c r="EJH46" s="14"/>
      <c r="EJI46" s="10"/>
      <c r="EJJ46" s="125"/>
      <c r="EJK46" s="125"/>
      <c r="EJL46" s="14"/>
      <c r="EJM46" s="15"/>
      <c r="EJN46" s="125"/>
      <c r="EJO46" s="125"/>
      <c r="EJP46" s="14"/>
      <c r="EJQ46" s="15"/>
      <c r="EJR46" s="125"/>
      <c r="EJS46" s="125"/>
      <c r="EJT46" s="14"/>
      <c r="EJU46" s="15"/>
      <c r="EJV46" s="125"/>
      <c r="EJW46" s="125"/>
      <c r="EJX46" s="14"/>
      <c r="EJY46" s="10"/>
      <c r="EJZ46" s="125"/>
      <c r="EKA46" s="125"/>
      <c r="EKB46" s="14"/>
      <c r="EKC46" s="15"/>
      <c r="EKD46" s="125"/>
      <c r="EKE46" s="125"/>
      <c r="EKF46" s="14"/>
      <c r="EKG46" s="15"/>
      <c r="EKH46" s="125"/>
      <c r="EKI46" s="125"/>
      <c r="EKJ46" s="14"/>
      <c r="EKK46" s="15"/>
      <c r="EKL46" s="125"/>
      <c r="EKM46" s="125"/>
      <c r="EKN46" s="14"/>
      <c r="EKO46" s="10"/>
      <c r="EKP46" s="125"/>
      <c r="EKQ46" s="125"/>
      <c r="EKR46" s="14"/>
      <c r="EKS46" s="15"/>
      <c r="EKT46" s="125"/>
      <c r="EKU46" s="125"/>
      <c r="EKV46" s="14"/>
      <c r="EKW46" s="15"/>
      <c r="EKX46" s="125"/>
      <c r="EKY46" s="125"/>
      <c r="EKZ46" s="14"/>
      <c r="ELA46" s="15"/>
      <c r="ELB46" s="125"/>
      <c r="ELC46" s="125"/>
      <c r="ELD46" s="14"/>
      <c r="ELE46" s="10"/>
      <c r="ELF46" s="125"/>
      <c r="ELG46" s="125"/>
      <c r="ELH46" s="14"/>
      <c r="ELI46" s="15"/>
      <c r="ELJ46" s="125"/>
      <c r="ELK46" s="125"/>
      <c r="ELL46" s="14"/>
      <c r="ELM46" s="15"/>
      <c r="ELN46" s="125"/>
      <c r="ELO46" s="125"/>
      <c r="ELP46" s="14"/>
      <c r="ELQ46" s="15"/>
      <c r="ELR46" s="125"/>
      <c r="ELS46" s="125"/>
      <c r="ELT46" s="14"/>
      <c r="ELU46" s="10"/>
      <c r="ELV46" s="125"/>
      <c r="ELW46" s="125"/>
      <c r="ELX46" s="14"/>
      <c r="ELY46" s="15"/>
      <c r="ELZ46" s="125"/>
      <c r="EMA46" s="125"/>
      <c r="EMB46" s="14"/>
      <c r="EMC46" s="15"/>
      <c r="EMD46" s="125"/>
      <c r="EME46" s="125"/>
      <c r="EMF46" s="14"/>
      <c r="EMG46" s="15"/>
      <c r="EMH46" s="125"/>
      <c r="EMI46" s="125"/>
      <c r="EMJ46" s="14"/>
      <c r="EMK46" s="10"/>
      <c r="EML46" s="125"/>
      <c r="EMM46" s="125"/>
      <c r="EMN46" s="14"/>
      <c r="EMO46" s="15"/>
      <c r="EMP46" s="125"/>
      <c r="EMQ46" s="125"/>
      <c r="EMR46" s="14"/>
      <c r="EMS46" s="15"/>
      <c r="EMT46" s="125"/>
      <c r="EMU46" s="125"/>
      <c r="EMV46" s="14"/>
      <c r="EMW46" s="15"/>
      <c r="EMX46" s="125"/>
      <c r="EMY46" s="125"/>
      <c r="EMZ46" s="14"/>
      <c r="ENA46" s="10"/>
      <c r="ENB46" s="125"/>
      <c r="ENC46" s="125"/>
      <c r="END46" s="14"/>
      <c r="ENE46" s="15"/>
      <c r="ENF46" s="125"/>
      <c r="ENG46" s="125"/>
      <c r="ENH46" s="14"/>
      <c r="ENI46" s="15"/>
      <c r="ENJ46" s="125"/>
      <c r="ENK46" s="125"/>
      <c r="ENL46" s="14"/>
      <c r="ENM46" s="15"/>
      <c r="ENN46" s="125"/>
      <c r="ENO46" s="125"/>
      <c r="ENP46" s="14"/>
      <c r="ENQ46" s="10"/>
      <c r="ENR46" s="125"/>
      <c r="ENS46" s="125"/>
      <c r="ENT46" s="14"/>
      <c r="ENU46" s="15"/>
      <c r="ENV46" s="125"/>
      <c r="ENW46" s="125"/>
      <c r="ENX46" s="14"/>
      <c r="ENY46" s="15"/>
      <c r="ENZ46" s="125"/>
      <c r="EOA46" s="125"/>
      <c r="EOB46" s="14"/>
      <c r="EOC46" s="15"/>
      <c r="EOD46" s="125"/>
      <c r="EOE46" s="125"/>
      <c r="EOF46" s="14"/>
      <c r="EOG46" s="10"/>
      <c r="EOH46" s="125"/>
      <c r="EOI46" s="125"/>
      <c r="EOJ46" s="14"/>
      <c r="EOK46" s="15"/>
      <c r="EOL46" s="125"/>
      <c r="EOM46" s="125"/>
      <c r="EON46" s="14"/>
      <c r="EOO46" s="15"/>
      <c r="EOP46" s="125"/>
      <c r="EOQ46" s="125"/>
      <c r="EOR46" s="14"/>
      <c r="EOS46" s="15"/>
      <c r="EOT46" s="125"/>
      <c r="EOU46" s="125"/>
      <c r="EOV46" s="14"/>
      <c r="EOW46" s="10"/>
      <c r="EOX46" s="125"/>
      <c r="EOY46" s="125"/>
      <c r="EOZ46" s="14"/>
      <c r="EPA46" s="15"/>
      <c r="EPB46" s="125"/>
      <c r="EPC46" s="125"/>
      <c r="EPD46" s="14"/>
      <c r="EPE46" s="15"/>
      <c r="EPF46" s="125"/>
      <c r="EPG46" s="125"/>
      <c r="EPH46" s="14"/>
      <c r="EPI46" s="15"/>
      <c r="EPJ46" s="125"/>
      <c r="EPK46" s="125"/>
      <c r="EPL46" s="14"/>
      <c r="EPM46" s="10"/>
      <c r="EPN46" s="125"/>
      <c r="EPO46" s="125"/>
      <c r="EPP46" s="14"/>
      <c r="EPQ46" s="15"/>
      <c r="EPR46" s="125"/>
      <c r="EPS46" s="125"/>
      <c r="EPT46" s="14"/>
      <c r="EPU46" s="15"/>
      <c r="EPV46" s="125"/>
      <c r="EPW46" s="125"/>
      <c r="EPX46" s="14"/>
      <c r="EPY46" s="15"/>
      <c r="EPZ46" s="125"/>
      <c r="EQA46" s="125"/>
      <c r="EQB46" s="14"/>
      <c r="EQC46" s="10"/>
      <c r="EQD46" s="125"/>
      <c r="EQE46" s="125"/>
      <c r="EQF46" s="14"/>
      <c r="EQG46" s="15"/>
      <c r="EQH46" s="125"/>
      <c r="EQI46" s="125"/>
      <c r="EQJ46" s="14"/>
      <c r="EQK46" s="15"/>
      <c r="EQL46" s="125"/>
      <c r="EQM46" s="125"/>
      <c r="EQN46" s="14"/>
      <c r="EQO46" s="15"/>
      <c r="EQP46" s="125"/>
      <c r="EQQ46" s="125"/>
      <c r="EQR46" s="14"/>
      <c r="EQS46" s="10"/>
      <c r="EQT46" s="125"/>
      <c r="EQU46" s="125"/>
      <c r="EQV46" s="14"/>
      <c r="EQW46" s="15"/>
      <c r="EQX46" s="125"/>
      <c r="EQY46" s="125"/>
      <c r="EQZ46" s="14"/>
      <c r="ERA46" s="15"/>
      <c r="ERB46" s="125"/>
      <c r="ERC46" s="125"/>
      <c r="ERD46" s="14"/>
      <c r="ERE46" s="15"/>
      <c r="ERF46" s="125"/>
      <c r="ERG46" s="125"/>
      <c r="ERH46" s="14"/>
      <c r="ERI46" s="10"/>
      <c r="ERJ46" s="125"/>
      <c r="ERK46" s="125"/>
      <c r="ERL46" s="14"/>
      <c r="ERM46" s="15"/>
      <c r="ERN46" s="125"/>
      <c r="ERO46" s="125"/>
      <c r="ERP46" s="14"/>
      <c r="ERQ46" s="15"/>
      <c r="ERR46" s="125"/>
      <c r="ERS46" s="125"/>
      <c r="ERT46" s="14"/>
      <c r="ERU46" s="15"/>
      <c r="ERV46" s="125"/>
      <c r="ERW46" s="125"/>
      <c r="ERX46" s="14"/>
      <c r="ERY46" s="10"/>
      <c r="ERZ46" s="125"/>
      <c r="ESA46" s="125"/>
      <c r="ESB46" s="14"/>
      <c r="ESC46" s="15"/>
      <c r="ESD46" s="125"/>
      <c r="ESE46" s="125"/>
      <c r="ESF46" s="14"/>
      <c r="ESG46" s="15"/>
      <c r="ESH46" s="125"/>
      <c r="ESI46" s="125"/>
      <c r="ESJ46" s="14"/>
      <c r="ESK46" s="15"/>
      <c r="ESL46" s="125"/>
      <c r="ESM46" s="125"/>
      <c r="ESN46" s="14"/>
      <c r="ESO46" s="10"/>
      <c r="ESP46" s="125"/>
      <c r="ESQ46" s="125"/>
      <c r="ESR46" s="14"/>
      <c r="ESS46" s="15"/>
      <c r="EST46" s="125"/>
      <c r="ESU46" s="125"/>
      <c r="ESV46" s="14"/>
      <c r="ESW46" s="15"/>
      <c r="ESX46" s="125"/>
      <c r="ESY46" s="125"/>
      <c r="ESZ46" s="14"/>
      <c r="ETA46" s="15"/>
      <c r="ETB46" s="125"/>
      <c r="ETC46" s="125"/>
      <c r="ETD46" s="14"/>
      <c r="ETE46" s="10"/>
      <c r="ETF46" s="125"/>
      <c r="ETG46" s="125"/>
      <c r="ETH46" s="14"/>
      <c r="ETI46" s="15"/>
      <c r="ETJ46" s="125"/>
      <c r="ETK46" s="125"/>
      <c r="ETL46" s="14"/>
      <c r="ETM46" s="15"/>
      <c r="ETN46" s="125"/>
      <c r="ETO46" s="125"/>
      <c r="ETP46" s="14"/>
      <c r="ETQ46" s="15"/>
      <c r="ETR46" s="125"/>
      <c r="ETS46" s="125"/>
      <c r="ETT46" s="14"/>
      <c r="ETU46" s="10"/>
      <c r="ETV46" s="125"/>
      <c r="ETW46" s="125"/>
      <c r="ETX46" s="14"/>
      <c r="ETY46" s="15"/>
      <c r="ETZ46" s="125"/>
      <c r="EUA46" s="125"/>
      <c r="EUB46" s="14"/>
      <c r="EUC46" s="15"/>
      <c r="EUD46" s="125"/>
      <c r="EUE46" s="125"/>
      <c r="EUF46" s="14"/>
      <c r="EUG46" s="15"/>
      <c r="EUH46" s="125"/>
      <c r="EUI46" s="125"/>
      <c r="EUJ46" s="14"/>
      <c r="EUK46" s="10"/>
      <c r="EUL46" s="125"/>
      <c r="EUM46" s="125"/>
      <c r="EUN46" s="14"/>
      <c r="EUO46" s="15"/>
      <c r="EUP46" s="125"/>
      <c r="EUQ46" s="125"/>
      <c r="EUR46" s="14"/>
      <c r="EUS46" s="15"/>
      <c r="EUT46" s="125"/>
      <c r="EUU46" s="125"/>
      <c r="EUV46" s="14"/>
      <c r="EUW46" s="15"/>
      <c r="EUX46" s="125"/>
      <c r="EUY46" s="125"/>
      <c r="EUZ46" s="14"/>
      <c r="EVA46" s="10"/>
      <c r="EVB46" s="125"/>
      <c r="EVC46" s="125"/>
      <c r="EVD46" s="14"/>
      <c r="EVE46" s="15"/>
      <c r="EVF46" s="125"/>
      <c r="EVG46" s="125"/>
      <c r="EVH46" s="14"/>
      <c r="EVI46" s="15"/>
      <c r="EVJ46" s="125"/>
      <c r="EVK46" s="125"/>
      <c r="EVL46" s="14"/>
      <c r="EVM46" s="15"/>
      <c r="EVN46" s="125"/>
      <c r="EVO46" s="125"/>
      <c r="EVP46" s="14"/>
      <c r="EVQ46" s="10"/>
      <c r="EVR46" s="125"/>
      <c r="EVS46" s="125"/>
      <c r="EVT46" s="14"/>
      <c r="EVU46" s="15"/>
      <c r="EVV46" s="125"/>
      <c r="EVW46" s="125"/>
      <c r="EVX46" s="14"/>
      <c r="EVY46" s="15"/>
      <c r="EVZ46" s="125"/>
      <c r="EWA46" s="125"/>
      <c r="EWB46" s="14"/>
      <c r="EWC46" s="15"/>
      <c r="EWD46" s="125"/>
      <c r="EWE46" s="125"/>
      <c r="EWF46" s="14"/>
      <c r="EWG46" s="10"/>
      <c r="EWH46" s="125"/>
      <c r="EWI46" s="125"/>
      <c r="EWJ46" s="14"/>
      <c r="EWK46" s="15"/>
      <c r="EWL46" s="125"/>
      <c r="EWM46" s="125"/>
      <c r="EWN46" s="14"/>
      <c r="EWO46" s="15"/>
      <c r="EWP46" s="125"/>
      <c r="EWQ46" s="125"/>
      <c r="EWR46" s="14"/>
      <c r="EWS46" s="15"/>
      <c r="EWT46" s="125"/>
      <c r="EWU46" s="125"/>
      <c r="EWV46" s="14"/>
      <c r="EWW46" s="10"/>
      <c r="EWX46" s="125"/>
      <c r="EWY46" s="125"/>
      <c r="EWZ46" s="14"/>
      <c r="EXA46" s="15"/>
      <c r="EXB46" s="125"/>
      <c r="EXC46" s="125"/>
      <c r="EXD46" s="14"/>
      <c r="EXE46" s="15"/>
      <c r="EXF46" s="125"/>
      <c r="EXG46" s="125"/>
      <c r="EXH46" s="14"/>
      <c r="EXI46" s="15"/>
      <c r="EXJ46" s="125"/>
      <c r="EXK46" s="125"/>
      <c r="EXL46" s="14"/>
      <c r="EXM46" s="10"/>
      <c r="EXN46" s="125"/>
      <c r="EXO46" s="125"/>
      <c r="EXP46" s="14"/>
      <c r="EXQ46" s="15"/>
      <c r="EXR46" s="125"/>
      <c r="EXS46" s="125"/>
      <c r="EXT46" s="14"/>
      <c r="EXU46" s="15"/>
      <c r="EXV46" s="125"/>
      <c r="EXW46" s="125"/>
      <c r="EXX46" s="14"/>
      <c r="EXY46" s="15"/>
      <c r="EXZ46" s="125"/>
      <c r="EYA46" s="125"/>
      <c r="EYB46" s="14"/>
      <c r="EYC46" s="10"/>
      <c r="EYD46" s="125"/>
      <c r="EYE46" s="125"/>
      <c r="EYF46" s="14"/>
      <c r="EYG46" s="15"/>
      <c r="EYH46" s="125"/>
      <c r="EYI46" s="125"/>
      <c r="EYJ46" s="14"/>
      <c r="EYK46" s="15"/>
      <c r="EYL46" s="125"/>
      <c r="EYM46" s="125"/>
      <c r="EYN46" s="14"/>
      <c r="EYO46" s="15"/>
      <c r="EYP46" s="125"/>
      <c r="EYQ46" s="125"/>
      <c r="EYR46" s="14"/>
      <c r="EYS46" s="10"/>
      <c r="EYT46" s="125"/>
      <c r="EYU46" s="125"/>
      <c r="EYV46" s="14"/>
      <c r="EYW46" s="15"/>
      <c r="EYX46" s="125"/>
      <c r="EYY46" s="125"/>
      <c r="EYZ46" s="14"/>
      <c r="EZA46" s="15"/>
      <c r="EZB46" s="125"/>
      <c r="EZC46" s="125"/>
      <c r="EZD46" s="14"/>
      <c r="EZE46" s="15"/>
      <c r="EZF46" s="125"/>
      <c r="EZG46" s="125"/>
      <c r="EZH46" s="14"/>
      <c r="EZI46" s="10"/>
      <c r="EZJ46" s="125"/>
      <c r="EZK46" s="125"/>
      <c r="EZL46" s="14"/>
      <c r="EZM46" s="15"/>
      <c r="EZN46" s="125"/>
      <c r="EZO46" s="125"/>
      <c r="EZP46" s="14"/>
      <c r="EZQ46" s="15"/>
      <c r="EZR46" s="125"/>
      <c r="EZS46" s="125"/>
      <c r="EZT46" s="14"/>
      <c r="EZU46" s="15"/>
      <c r="EZV46" s="125"/>
      <c r="EZW46" s="125"/>
      <c r="EZX46" s="14"/>
      <c r="EZY46" s="10"/>
      <c r="EZZ46" s="125"/>
      <c r="FAA46" s="125"/>
      <c r="FAB46" s="14"/>
      <c r="FAC46" s="15"/>
      <c r="FAD46" s="125"/>
      <c r="FAE46" s="125"/>
      <c r="FAF46" s="14"/>
      <c r="FAG46" s="15"/>
      <c r="FAH46" s="125"/>
      <c r="FAI46" s="125"/>
      <c r="FAJ46" s="14"/>
      <c r="FAK46" s="15"/>
      <c r="FAL46" s="125"/>
      <c r="FAM46" s="125"/>
      <c r="FAN46" s="14"/>
      <c r="FAO46" s="10"/>
      <c r="FAP46" s="125"/>
      <c r="FAQ46" s="125"/>
      <c r="FAR46" s="14"/>
      <c r="FAS46" s="15"/>
      <c r="FAT46" s="125"/>
      <c r="FAU46" s="125"/>
      <c r="FAV46" s="14"/>
      <c r="FAW46" s="15"/>
      <c r="FAX46" s="125"/>
      <c r="FAY46" s="125"/>
      <c r="FAZ46" s="14"/>
      <c r="FBA46" s="15"/>
      <c r="FBB46" s="125"/>
      <c r="FBC46" s="125"/>
      <c r="FBD46" s="14"/>
      <c r="FBE46" s="10"/>
      <c r="FBF46" s="125"/>
      <c r="FBG46" s="125"/>
      <c r="FBH46" s="14"/>
      <c r="FBI46" s="15"/>
      <c r="FBJ46" s="125"/>
      <c r="FBK46" s="125"/>
      <c r="FBL46" s="14"/>
      <c r="FBM46" s="15"/>
      <c r="FBN46" s="125"/>
      <c r="FBO46" s="125"/>
      <c r="FBP46" s="14"/>
      <c r="FBQ46" s="15"/>
      <c r="FBR46" s="125"/>
      <c r="FBS46" s="125"/>
      <c r="FBT46" s="14"/>
      <c r="FBU46" s="10"/>
      <c r="FBV46" s="125"/>
      <c r="FBW46" s="125"/>
      <c r="FBX46" s="14"/>
      <c r="FBY46" s="15"/>
      <c r="FBZ46" s="125"/>
      <c r="FCA46" s="125"/>
      <c r="FCB46" s="14"/>
      <c r="FCC46" s="15"/>
      <c r="FCD46" s="125"/>
      <c r="FCE46" s="125"/>
      <c r="FCF46" s="14"/>
      <c r="FCG46" s="15"/>
      <c r="FCH46" s="125"/>
      <c r="FCI46" s="125"/>
      <c r="FCJ46" s="14"/>
      <c r="FCK46" s="10"/>
      <c r="FCL46" s="125"/>
      <c r="FCM46" s="125"/>
      <c r="FCN46" s="14"/>
      <c r="FCO46" s="15"/>
      <c r="FCP46" s="125"/>
      <c r="FCQ46" s="125"/>
      <c r="FCR46" s="14"/>
      <c r="FCS46" s="15"/>
      <c r="FCT46" s="125"/>
      <c r="FCU46" s="125"/>
      <c r="FCV46" s="14"/>
      <c r="FCW46" s="15"/>
      <c r="FCX46" s="125"/>
      <c r="FCY46" s="125"/>
      <c r="FCZ46" s="14"/>
      <c r="FDA46" s="10"/>
      <c r="FDB46" s="125"/>
      <c r="FDC46" s="125"/>
      <c r="FDD46" s="14"/>
      <c r="FDE46" s="15"/>
      <c r="FDF46" s="125"/>
      <c r="FDG46" s="125"/>
      <c r="FDH46" s="14"/>
      <c r="FDI46" s="15"/>
      <c r="FDJ46" s="125"/>
      <c r="FDK46" s="125"/>
      <c r="FDL46" s="14"/>
      <c r="FDM46" s="15"/>
      <c r="FDN46" s="125"/>
      <c r="FDO46" s="125"/>
      <c r="FDP46" s="14"/>
      <c r="FDQ46" s="10"/>
      <c r="FDR46" s="125"/>
      <c r="FDS46" s="125"/>
      <c r="FDT46" s="14"/>
      <c r="FDU46" s="15"/>
      <c r="FDV46" s="125"/>
      <c r="FDW46" s="125"/>
      <c r="FDX46" s="14"/>
      <c r="FDY46" s="15"/>
      <c r="FDZ46" s="125"/>
      <c r="FEA46" s="125"/>
      <c r="FEB46" s="14"/>
      <c r="FEC46" s="15"/>
      <c r="FED46" s="125"/>
      <c r="FEE46" s="125"/>
      <c r="FEF46" s="14"/>
      <c r="FEG46" s="10"/>
      <c r="FEH46" s="125"/>
      <c r="FEI46" s="125"/>
      <c r="FEJ46" s="14"/>
      <c r="FEK46" s="15"/>
      <c r="FEL46" s="125"/>
      <c r="FEM46" s="125"/>
      <c r="FEN46" s="14"/>
      <c r="FEO46" s="15"/>
      <c r="FEP46" s="125"/>
      <c r="FEQ46" s="125"/>
      <c r="FER46" s="14"/>
      <c r="FES46" s="15"/>
      <c r="FET46" s="125"/>
      <c r="FEU46" s="125"/>
      <c r="FEV46" s="14"/>
      <c r="FEW46" s="10"/>
      <c r="FEX46" s="125"/>
      <c r="FEY46" s="125"/>
      <c r="FEZ46" s="14"/>
      <c r="FFA46" s="15"/>
      <c r="FFB46" s="125"/>
      <c r="FFC46" s="125"/>
      <c r="FFD46" s="14"/>
      <c r="FFE46" s="15"/>
      <c r="FFF46" s="125"/>
      <c r="FFG46" s="125"/>
      <c r="FFH46" s="14"/>
      <c r="FFI46" s="15"/>
      <c r="FFJ46" s="125"/>
      <c r="FFK46" s="125"/>
      <c r="FFL46" s="14"/>
      <c r="FFM46" s="10"/>
      <c r="FFN46" s="125"/>
      <c r="FFO46" s="125"/>
      <c r="FFP46" s="14"/>
      <c r="FFQ46" s="15"/>
      <c r="FFR46" s="125"/>
      <c r="FFS46" s="125"/>
      <c r="FFT46" s="14"/>
      <c r="FFU46" s="15"/>
      <c r="FFV46" s="125"/>
      <c r="FFW46" s="125"/>
      <c r="FFX46" s="14"/>
      <c r="FFY46" s="15"/>
      <c r="FFZ46" s="125"/>
      <c r="FGA46" s="125"/>
      <c r="FGB46" s="14"/>
      <c r="FGC46" s="10"/>
      <c r="FGD46" s="125"/>
      <c r="FGE46" s="125"/>
      <c r="FGF46" s="14"/>
      <c r="FGG46" s="15"/>
      <c r="FGH46" s="125"/>
      <c r="FGI46" s="125"/>
      <c r="FGJ46" s="14"/>
      <c r="FGK46" s="15"/>
      <c r="FGL46" s="125"/>
      <c r="FGM46" s="125"/>
      <c r="FGN46" s="14"/>
      <c r="FGO46" s="15"/>
      <c r="FGP46" s="125"/>
      <c r="FGQ46" s="125"/>
      <c r="FGR46" s="14"/>
      <c r="FGS46" s="10"/>
      <c r="FGT46" s="125"/>
      <c r="FGU46" s="125"/>
      <c r="FGV46" s="14"/>
      <c r="FGW46" s="15"/>
      <c r="FGX46" s="125"/>
      <c r="FGY46" s="125"/>
      <c r="FGZ46" s="14"/>
      <c r="FHA46" s="15"/>
      <c r="FHB46" s="125"/>
      <c r="FHC46" s="125"/>
      <c r="FHD46" s="14"/>
      <c r="FHE46" s="15"/>
      <c r="FHF46" s="125"/>
      <c r="FHG46" s="125"/>
      <c r="FHH46" s="14"/>
      <c r="FHI46" s="10"/>
      <c r="FHJ46" s="125"/>
      <c r="FHK46" s="125"/>
      <c r="FHL46" s="14"/>
      <c r="FHM46" s="15"/>
      <c r="FHN46" s="125"/>
      <c r="FHO46" s="125"/>
      <c r="FHP46" s="14"/>
      <c r="FHQ46" s="15"/>
      <c r="FHR46" s="125"/>
      <c r="FHS46" s="125"/>
      <c r="FHT46" s="14"/>
      <c r="FHU46" s="15"/>
      <c r="FHV46" s="125"/>
      <c r="FHW46" s="125"/>
      <c r="FHX46" s="14"/>
      <c r="FHY46" s="10"/>
      <c r="FHZ46" s="125"/>
      <c r="FIA46" s="125"/>
      <c r="FIB46" s="14"/>
      <c r="FIC46" s="15"/>
      <c r="FID46" s="125"/>
      <c r="FIE46" s="125"/>
      <c r="FIF46" s="14"/>
      <c r="FIG46" s="15"/>
      <c r="FIH46" s="125"/>
      <c r="FII46" s="125"/>
      <c r="FIJ46" s="14"/>
      <c r="FIK46" s="15"/>
      <c r="FIL46" s="125"/>
      <c r="FIM46" s="125"/>
      <c r="FIN46" s="14"/>
      <c r="FIO46" s="10"/>
      <c r="FIP46" s="125"/>
      <c r="FIQ46" s="125"/>
      <c r="FIR46" s="14"/>
      <c r="FIS46" s="15"/>
      <c r="FIT46" s="125"/>
      <c r="FIU46" s="125"/>
      <c r="FIV46" s="14"/>
      <c r="FIW46" s="15"/>
      <c r="FIX46" s="125"/>
      <c r="FIY46" s="125"/>
      <c r="FIZ46" s="14"/>
      <c r="FJA46" s="15"/>
      <c r="FJB46" s="125"/>
      <c r="FJC46" s="125"/>
      <c r="FJD46" s="14"/>
      <c r="FJE46" s="10"/>
      <c r="FJF46" s="125"/>
      <c r="FJG46" s="125"/>
      <c r="FJH46" s="14"/>
      <c r="FJI46" s="15"/>
      <c r="FJJ46" s="125"/>
      <c r="FJK46" s="125"/>
      <c r="FJL46" s="14"/>
      <c r="FJM46" s="15"/>
      <c r="FJN46" s="125"/>
      <c r="FJO46" s="125"/>
      <c r="FJP46" s="14"/>
      <c r="FJQ46" s="15"/>
      <c r="FJR46" s="125"/>
      <c r="FJS46" s="125"/>
      <c r="FJT46" s="14"/>
      <c r="FJU46" s="10"/>
      <c r="FJV46" s="125"/>
      <c r="FJW46" s="125"/>
      <c r="FJX46" s="14"/>
      <c r="FJY46" s="15"/>
      <c r="FJZ46" s="125"/>
      <c r="FKA46" s="125"/>
      <c r="FKB46" s="14"/>
      <c r="FKC46" s="15"/>
      <c r="FKD46" s="125"/>
      <c r="FKE46" s="125"/>
      <c r="FKF46" s="14"/>
      <c r="FKG46" s="15"/>
      <c r="FKH46" s="125"/>
      <c r="FKI46" s="125"/>
      <c r="FKJ46" s="14"/>
      <c r="FKK46" s="10"/>
      <c r="FKL46" s="125"/>
      <c r="FKM46" s="125"/>
      <c r="FKN46" s="14"/>
      <c r="FKO46" s="15"/>
      <c r="FKP46" s="125"/>
      <c r="FKQ46" s="125"/>
      <c r="FKR46" s="14"/>
      <c r="FKS46" s="15"/>
      <c r="FKT46" s="125"/>
      <c r="FKU46" s="125"/>
      <c r="FKV46" s="14"/>
      <c r="FKW46" s="15"/>
      <c r="FKX46" s="125"/>
      <c r="FKY46" s="125"/>
      <c r="FKZ46" s="14"/>
      <c r="FLA46" s="10"/>
      <c r="FLB46" s="125"/>
      <c r="FLC46" s="125"/>
      <c r="FLD46" s="14"/>
      <c r="FLE46" s="15"/>
      <c r="FLF46" s="125"/>
      <c r="FLG46" s="125"/>
      <c r="FLH46" s="14"/>
      <c r="FLI46" s="15"/>
      <c r="FLJ46" s="125"/>
      <c r="FLK46" s="125"/>
      <c r="FLL46" s="14"/>
      <c r="FLM46" s="15"/>
      <c r="FLN46" s="125"/>
      <c r="FLO46" s="125"/>
      <c r="FLP46" s="14"/>
      <c r="FLQ46" s="10"/>
      <c r="FLR46" s="125"/>
      <c r="FLS46" s="125"/>
      <c r="FLT46" s="14"/>
      <c r="FLU46" s="15"/>
      <c r="FLV46" s="125"/>
      <c r="FLW46" s="125"/>
      <c r="FLX46" s="14"/>
      <c r="FLY46" s="15"/>
      <c r="FLZ46" s="125"/>
      <c r="FMA46" s="125"/>
      <c r="FMB46" s="14"/>
      <c r="FMC46" s="15"/>
      <c r="FMD46" s="125"/>
      <c r="FME46" s="125"/>
      <c r="FMF46" s="14"/>
      <c r="FMG46" s="10"/>
      <c r="FMH46" s="125"/>
      <c r="FMI46" s="125"/>
      <c r="FMJ46" s="14"/>
      <c r="FMK46" s="15"/>
      <c r="FML46" s="125"/>
      <c r="FMM46" s="125"/>
      <c r="FMN46" s="14"/>
      <c r="FMO46" s="15"/>
      <c r="FMP46" s="125"/>
      <c r="FMQ46" s="125"/>
      <c r="FMR46" s="14"/>
      <c r="FMS46" s="15"/>
      <c r="FMT46" s="125"/>
      <c r="FMU46" s="125"/>
      <c r="FMV46" s="14"/>
      <c r="FMW46" s="10"/>
      <c r="FMX46" s="125"/>
      <c r="FMY46" s="125"/>
      <c r="FMZ46" s="14"/>
      <c r="FNA46" s="15"/>
      <c r="FNB46" s="125"/>
      <c r="FNC46" s="125"/>
      <c r="FND46" s="14"/>
      <c r="FNE46" s="15"/>
      <c r="FNF46" s="125"/>
      <c r="FNG46" s="125"/>
      <c r="FNH46" s="14"/>
      <c r="FNI46" s="15"/>
      <c r="FNJ46" s="125"/>
      <c r="FNK46" s="125"/>
      <c r="FNL46" s="14"/>
      <c r="FNM46" s="10"/>
      <c r="FNN46" s="125"/>
      <c r="FNO46" s="125"/>
      <c r="FNP46" s="14"/>
      <c r="FNQ46" s="15"/>
      <c r="FNR46" s="125"/>
      <c r="FNS46" s="125"/>
      <c r="FNT46" s="14"/>
      <c r="FNU46" s="15"/>
      <c r="FNV46" s="125"/>
      <c r="FNW46" s="125"/>
      <c r="FNX46" s="14"/>
      <c r="FNY46" s="15"/>
      <c r="FNZ46" s="125"/>
      <c r="FOA46" s="125"/>
      <c r="FOB46" s="14"/>
      <c r="FOC46" s="10"/>
      <c r="FOD46" s="125"/>
      <c r="FOE46" s="125"/>
      <c r="FOF46" s="14"/>
      <c r="FOG46" s="15"/>
      <c r="FOH46" s="125"/>
      <c r="FOI46" s="125"/>
      <c r="FOJ46" s="14"/>
      <c r="FOK46" s="15"/>
      <c r="FOL46" s="125"/>
      <c r="FOM46" s="125"/>
      <c r="FON46" s="14"/>
      <c r="FOO46" s="15"/>
      <c r="FOP46" s="125"/>
      <c r="FOQ46" s="125"/>
      <c r="FOR46" s="14"/>
      <c r="FOS46" s="10"/>
      <c r="FOT46" s="125"/>
      <c r="FOU46" s="125"/>
      <c r="FOV46" s="14"/>
      <c r="FOW46" s="15"/>
      <c r="FOX46" s="125"/>
      <c r="FOY46" s="125"/>
      <c r="FOZ46" s="14"/>
      <c r="FPA46" s="15"/>
      <c r="FPB46" s="125"/>
      <c r="FPC46" s="125"/>
      <c r="FPD46" s="14"/>
      <c r="FPE46" s="15"/>
      <c r="FPF46" s="125"/>
      <c r="FPG46" s="125"/>
      <c r="FPH46" s="14"/>
      <c r="FPI46" s="10"/>
      <c r="FPJ46" s="125"/>
      <c r="FPK46" s="125"/>
      <c r="FPL46" s="14"/>
      <c r="FPM46" s="15"/>
      <c r="FPN46" s="125"/>
      <c r="FPO46" s="125"/>
      <c r="FPP46" s="14"/>
      <c r="FPQ46" s="15"/>
      <c r="FPR46" s="125"/>
      <c r="FPS46" s="125"/>
      <c r="FPT46" s="14"/>
      <c r="FPU46" s="15"/>
      <c r="FPV46" s="125"/>
      <c r="FPW46" s="125"/>
      <c r="FPX46" s="14"/>
      <c r="FPY46" s="10"/>
      <c r="FPZ46" s="125"/>
      <c r="FQA46" s="125"/>
      <c r="FQB46" s="14"/>
      <c r="FQC46" s="15"/>
      <c r="FQD46" s="125"/>
      <c r="FQE46" s="125"/>
      <c r="FQF46" s="14"/>
      <c r="FQG46" s="15"/>
      <c r="FQH46" s="125"/>
      <c r="FQI46" s="125"/>
      <c r="FQJ46" s="14"/>
      <c r="FQK46" s="15"/>
      <c r="FQL46" s="125"/>
      <c r="FQM46" s="125"/>
      <c r="FQN46" s="14"/>
      <c r="FQO46" s="10"/>
      <c r="FQP46" s="125"/>
      <c r="FQQ46" s="125"/>
      <c r="FQR46" s="14"/>
      <c r="FQS46" s="15"/>
      <c r="FQT46" s="125"/>
      <c r="FQU46" s="125"/>
      <c r="FQV46" s="14"/>
      <c r="FQW46" s="15"/>
      <c r="FQX46" s="125"/>
      <c r="FQY46" s="125"/>
      <c r="FQZ46" s="14"/>
      <c r="FRA46" s="15"/>
      <c r="FRB46" s="125"/>
      <c r="FRC46" s="125"/>
      <c r="FRD46" s="14"/>
      <c r="FRE46" s="10"/>
      <c r="FRF46" s="125"/>
      <c r="FRG46" s="125"/>
      <c r="FRH46" s="14"/>
      <c r="FRI46" s="15"/>
      <c r="FRJ46" s="125"/>
      <c r="FRK46" s="125"/>
      <c r="FRL46" s="14"/>
      <c r="FRM46" s="15"/>
      <c r="FRN46" s="125"/>
      <c r="FRO46" s="125"/>
      <c r="FRP46" s="14"/>
      <c r="FRQ46" s="15"/>
      <c r="FRR46" s="125"/>
      <c r="FRS46" s="125"/>
      <c r="FRT46" s="14"/>
      <c r="FRU46" s="10"/>
      <c r="FRV46" s="125"/>
      <c r="FRW46" s="125"/>
      <c r="FRX46" s="14"/>
      <c r="FRY46" s="15"/>
      <c r="FRZ46" s="125"/>
      <c r="FSA46" s="125"/>
      <c r="FSB46" s="14"/>
      <c r="FSC46" s="15"/>
      <c r="FSD46" s="125"/>
      <c r="FSE46" s="125"/>
      <c r="FSF46" s="14"/>
      <c r="FSG46" s="15"/>
      <c r="FSH46" s="125"/>
      <c r="FSI46" s="125"/>
      <c r="FSJ46" s="14"/>
      <c r="FSK46" s="10"/>
      <c r="FSL46" s="125"/>
      <c r="FSM46" s="125"/>
      <c r="FSN46" s="14"/>
      <c r="FSO46" s="15"/>
      <c r="FSP46" s="125"/>
      <c r="FSQ46" s="125"/>
      <c r="FSR46" s="14"/>
      <c r="FSS46" s="15"/>
      <c r="FST46" s="125"/>
      <c r="FSU46" s="125"/>
      <c r="FSV46" s="14"/>
      <c r="FSW46" s="15"/>
      <c r="FSX46" s="125"/>
      <c r="FSY46" s="125"/>
      <c r="FSZ46" s="14"/>
      <c r="FTA46" s="10"/>
      <c r="FTB46" s="125"/>
      <c r="FTC46" s="125"/>
      <c r="FTD46" s="14"/>
      <c r="FTE46" s="15"/>
      <c r="FTF46" s="125"/>
      <c r="FTG46" s="125"/>
      <c r="FTH46" s="14"/>
      <c r="FTI46" s="15"/>
      <c r="FTJ46" s="125"/>
      <c r="FTK46" s="125"/>
      <c r="FTL46" s="14"/>
      <c r="FTM46" s="15"/>
      <c r="FTN46" s="125"/>
      <c r="FTO46" s="125"/>
      <c r="FTP46" s="14"/>
      <c r="FTQ46" s="10"/>
      <c r="FTR46" s="125"/>
      <c r="FTS46" s="125"/>
      <c r="FTT46" s="14"/>
      <c r="FTU46" s="15"/>
      <c r="FTV46" s="125"/>
      <c r="FTW46" s="125"/>
      <c r="FTX46" s="14"/>
      <c r="FTY46" s="15"/>
      <c r="FTZ46" s="125"/>
      <c r="FUA46" s="125"/>
      <c r="FUB46" s="14"/>
      <c r="FUC46" s="15"/>
      <c r="FUD46" s="125"/>
      <c r="FUE46" s="125"/>
      <c r="FUF46" s="14"/>
      <c r="FUG46" s="10"/>
      <c r="FUH46" s="125"/>
      <c r="FUI46" s="125"/>
      <c r="FUJ46" s="14"/>
      <c r="FUK46" s="15"/>
      <c r="FUL46" s="125"/>
      <c r="FUM46" s="125"/>
      <c r="FUN46" s="14"/>
      <c r="FUO46" s="15"/>
      <c r="FUP46" s="125"/>
      <c r="FUQ46" s="125"/>
      <c r="FUR46" s="14"/>
      <c r="FUS46" s="15"/>
      <c r="FUT46" s="125"/>
      <c r="FUU46" s="125"/>
      <c r="FUV46" s="14"/>
      <c r="FUW46" s="10"/>
      <c r="FUX46" s="125"/>
      <c r="FUY46" s="125"/>
      <c r="FUZ46" s="14"/>
      <c r="FVA46" s="15"/>
      <c r="FVB46" s="125"/>
      <c r="FVC46" s="125"/>
      <c r="FVD46" s="14"/>
      <c r="FVE46" s="15"/>
      <c r="FVF46" s="125"/>
      <c r="FVG46" s="125"/>
      <c r="FVH46" s="14"/>
      <c r="FVI46" s="15"/>
      <c r="FVJ46" s="125"/>
      <c r="FVK46" s="125"/>
      <c r="FVL46" s="14"/>
      <c r="FVM46" s="10"/>
      <c r="FVN46" s="125"/>
      <c r="FVO46" s="125"/>
      <c r="FVP46" s="14"/>
      <c r="FVQ46" s="15"/>
      <c r="FVR46" s="125"/>
      <c r="FVS46" s="125"/>
      <c r="FVT46" s="14"/>
      <c r="FVU46" s="15"/>
      <c r="FVV46" s="125"/>
      <c r="FVW46" s="125"/>
      <c r="FVX46" s="14"/>
      <c r="FVY46" s="15"/>
      <c r="FVZ46" s="125"/>
      <c r="FWA46" s="125"/>
      <c r="FWB46" s="14"/>
      <c r="FWC46" s="10"/>
      <c r="FWD46" s="125"/>
      <c r="FWE46" s="125"/>
      <c r="FWF46" s="14"/>
      <c r="FWG46" s="15"/>
      <c r="FWH46" s="125"/>
      <c r="FWI46" s="125"/>
      <c r="FWJ46" s="14"/>
      <c r="FWK46" s="15"/>
      <c r="FWL46" s="125"/>
      <c r="FWM46" s="125"/>
      <c r="FWN46" s="14"/>
      <c r="FWO46" s="15"/>
      <c r="FWP46" s="125"/>
      <c r="FWQ46" s="125"/>
      <c r="FWR46" s="14"/>
      <c r="FWS46" s="10"/>
      <c r="FWT46" s="125"/>
      <c r="FWU46" s="125"/>
      <c r="FWV46" s="14"/>
      <c r="FWW46" s="15"/>
      <c r="FWX46" s="125"/>
      <c r="FWY46" s="125"/>
      <c r="FWZ46" s="14"/>
      <c r="FXA46" s="15"/>
      <c r="FXB46" s="125"/>
      <c r="FXC46" s="125"/>
      <c r="FXD46" s="14"/>
      <c r="FXE46" s="15"/>
      <c r="FXF46" s="125"/>
      <c r="FXG46" s="125"/>
      <c r="FXH46" s="14"/>
      <c r="FXI46" s="10"/>
      <c r="FXJ46" s="125"/>
      <c r="FXK46" s="125"/>
      <c r="FXL46" s="14"/>
      <c r="FXM46" s="15"/>
      <c r="FXN46" s="125"/>
      <c r="FXO46" s="125"/>
      <c r="FXP46" s="14"/>
      <c r="FXQ46" s="15"/>
      <c r="FXR46" s="125"/>
      <c r="FXS46" s="125"/>
      <c r="FXT46" s="14"/>
      <c r="FXU46" s="15"/>
      <c r="FXV46" s="125"/>
      <c r="FXW46" s="125"/>
      <c r="FXX46" s="14"/>
      <c r="FXY46" s="10"/>
      <c r="FXZ46" s="125"/>
      <c r="FYA46" s="125"/>
      <c r="FYB46" s="14"/>
      <c r="FYC46" s="15"/>
      <c r="FYD46" s="125"/>
      <c r="FYE46" s="125"/>
      <c r="FYF46" s="14"/>
      <c r="FYG46" s="15"/>
      <c r="FYH46" s="125"/>
      <c r="FYI46" s="125"/>
      <c r="FYJ46" s="14"/>
      <c r="FYK46" s="15"/>
      <c r="FYL46" s="125"/>
      <c r="FYM46" s="125"/>
      <c r="FYN46" s="14"/>
      <c r="FYO46" s="10"/>
      <c r="FYP46" s="125"/>
      <c r="FYQ46" s="125"/>
      <c r="FYR46" s="14"/>
      <c r="FYS46" s="15"/>
      <c r="FYT46" s="125"/>
      <c r="FYU46" s="125"/>
      <c r="FYV46" s="14"/>
      <c r="FYW46" s="15"/>
      <c r="FYX46" s="125"/>
      <c r="FYY46" s="125"/>
      <c r="FYZ46" s="14"/>
      <c r="FZA46" s="15"/>
      <c r="FZB46" s="125"/>
      <c r="FZC46" s="125"/>
      <c r="FZD46" s="14"/>
      <c r="FZE46" s="10"/>
      <c r="FZF46" s="125"/>
      <c r="FZG46" s="125"/>
      <c r="FZH46" s="14"/>
      <c r="FZI46" s="15"/>
      <c r="FZJ46" s="125"/>
      <c r="FZK46" s="125"/>
      <c r="FZL46" s="14"/>
      <c r="FZM46" s="15"/>
      <c r="FZN46" s="125"/>
      <c r="FZO46" s="125"/>
      <c r="FZP46" s="14"/>
      <c r="FZQ46" s="15"/>
      <c r="FZR46" s="125"/>
      <c r="FZS46" s="125"/>
      <c r="FZT46" s="14"/>
      <c r="FZU46" s="10"/>
      <c r="FZV46" s="125"/>
      <c r="FZW46" s="125"/>
      <c r="FZX46" s="14"/>
      <c r="FZY46" s="15"/>
      <c r="FZZ46" s="125"/>
      <c r="GAA46" s="125"/>
      <c r="GAB46" s="14"/>
      <c r="GAC46" s="15"/>
      <c r="GAD46" s="125"/>
      <c r="GAE46" s="125"/>
      <c r="GAF46" s="14"/>
      <c r="GAG46" s="15"/>
      <c r="GAH46" s="125"/>
      <c r="GAI46" s="125"/>
      <c r="GAJ46" s="14"/>
      <c r="GAK46" s="10"/>
      <c r="GAL46" s="125"/>
      <c r="GAM46" s="125"/>
      <c r="GAN46" s="14"/>
      <c r="GAO46" s="15"/>
      <c r="GAP46" s="125"/>
      <c r="GAQ46" s="125"/>
      <c r="GAR46" s="14"/>
      <c r="GAS46" s="15"/>
      <c r="GAT46" s="125"/>
      <c r="GAU46" s="125"/>
      <c r="GAV46" s="14"/>
      <c r="GAW46" s="15"/>
      <c r="GAX46" s="125"/>
      <c r="GAY46" s="125"/>
      <c r="GAZ46" s="14"/>
      <c r="GBA46" s="10"/>
      <c r="GBB46" s="125"/>
      <c r="GBC46" s="125"/>
      <c r="GBD46" s="14"/>
      <c r="GBE46" s="15"/>
      <c r="GBF46" s="125"/>
      <c r="GBG46" s="125"/>
      <c r="GBH46" s="14"/>
      <c r="GBI46" s="15"/>
      <c r="GBJ46" s="125"/>
      <c r="GBK46" s="125"/>
      <c r="GBL46" s="14"/>
      <c r="GBM46" s="15"/>
      <c r="GBN46" s="125"/>
      <c r="GBO46" s="125"/>
      <c r="GBP46" s="14"/>
      <c r="GBQ46" s="10"/>
      <c r="GBR46" s="125"/>
      <c r="GBS46" s="125"/>
      <c r="GBT46" s="14"/>
      <c r="GBU46" s="15"/>
      <c r="GBV46" s="125"/>
      <c r="GBW46" s="125"/>
      <c r="GBX46" s="14"/>
      <c r="GBY46" s="15"/>
      <c r="GBZ46" s="125"/>
      <c r="GCA46" s="125"/>
      <c r="GCB46" s="14"/>
      <c r="GCC46" s="15"/>
      <c r="GCD46" s="125"/>
      <c r="GCE46" s="125"/>
      <c r="GCF46" s="14"/>
      <c r="GCG46" s="10"/>
      <c r="GCH46" s="125"/>
      <c r="GCI46" s="125"/>
      <c r="GCJ46" s="14"/>
      <c r="GCK46" s="15"/>
      <c r="GCL46" s="125"/>
      <c r="GCM46" s="125"/>
      <c r="GCN46" s="14"/>
      <c r="GCO46" s="15"/>
      <c r="GCP46" s="125"/>
      <c r="GCQ46" s="125"/>
      <c r="GCR46" s="14"/>
      <c r="GCS46" s="15"/>
      <c r="GCT46" s="125"/>
      <c r="GCU46" s="125"/>
      <c r="GCV46" s="14"/>
      <c r="GCW46" s="10"/>
      <c r="GCX46" s="125"/>
      <c r="GCY46" s="125"/>
      <c r="GCZ46" s="14"/>
      <c r="GDA46" s="15"/>
      <c r="GDB46" s="125"/>
      <c r="GDC46" s="125"/>
      <c r="GDD46" s="14"/>
      <c r="GDE46" s="15"/>
      <c r="GDF46" s="125"/>
      <c r="GDG46" s="125"/>
      <c r="GDH46" s="14"/>
      <c r="GDI46" s="15"/>
      <c r="GDJ46" s="125"/>
      <c r="GDK46" s="125"/>
      <c r="GDL46" s="14"/>
      <c r="GDM46" s="10"/>
      <c r="GDN46" s="125"/>
      <c r="GDO46" s="125"/>
      <c r="GDP46" s="14"/>
      <c r="GDQ46" s="15"/>
      <c r="GDR46" s="125"/>
      <c r="GDS46" s="125"/>
      <c r="GDT46" s="14"/>
      <c r="GDU46" s="15"/>
      <c r="GDV46" s="125"/>
      <c r="GDW46" s="125"/>
      <c r="GDX46" s="14"/>
      <c r="GDY46" s="15"/>
      <c r="GDZ46" s="125"/>
      <c r="GEA46" s="125"/>
      <c r="GEB46" s="14"/>
      <c r="GEC46" s="10"/>
      <c r="GED46" s="125"/>
      <c r="GEE46" s="125"/>
      <c r="GEF46" s="14"/>
      <c r="GEG46" s="15"/>
      <c r="GEH46" s="125"/>
      <c r="GEI46" s="125"/>
      <c r="GEJ46" s="14"/>
      <c r="GEK46" s="15"/>
      <c r="GEL46" s="125"/>
      <c r="GEM46" s="125"/>
      <c r="GEN46" s="14"/>
      <c r="GEO46" s="15"/>
      <c r="GEP46" s="125"/>
      <c r="GEQ46" s="125"/>
      <c r="GER46" s="14"/>
      <c r="GES46" s="10"/>
      <c r="GET46" s="125"/>
      <c r="GEU46" s="125"/>
      <c r="GEV46" s="14"/>
      <c r="GEW46" s="15"/>
      <c r="GEX46" s="125"/>
      <c r="GEY46" s="125"/>
      <c r="GEZ46" s="14"/>
      <c r="GFA46" s="15"/>
      <c r="GFB46" s="125"/>
      <c r="GFC46" s="125"/>
      <c r="GFD46" s="14"/>
      <c r="GFE46" s="15"/>
      <c r="GFF46" s="125"/>
      <c r="GFG46" s="125"/>
      <c r="GFH46" s="14"/>
      <c r="GFI46" s="10"/>
      <c r="GFJ46" s="125"/>
      <c r="GFK46" s="125"/>
      <c r="GFL46" s="14"/>
      <c r="GFM46" s="15"/>
      <c r="GFN46" s="125"/>
      <c r="GFO46" s="125"/>
      <c r="GFP46" s="14"/>
      <c r="GFQ46" s="15"/>
      <c r="GFR46" s="125"/>
      <c r="GFS46" s="125"/>
      <c r="GFT46" s="14"/>
      <c r="GFU46" s="15"/>
      <c r="GFV46" s="125"/>
      <c r="GFW46" s="125"/>
      <c r="GFX46" s="14"/>
      <c r="GFY46" s="10"/>
      <c r="GFZ46" s="125"/>
      <c r="GGA46" s="125"/>
      <c r="GGB46" s="14"/>
      <c r="GGC46" s="15"/>
      <c r="GGD46" s="125"/>
      <c r="GGE46" s="125"/>
      <c r="GGF46" s="14"/>
      <c r="GGG46" s="15"/>
      <c r="GGH46" s="125"/>
      <c r="GGI46" s="125"/>
      <c r="GGJ46" s="14"/>
      <c r="GGK46" s="15"/>
      <c r="GGL46" s="125"/>
      <c r="GGM46" s="125"/>
      <c r="GGN46" s="14"/>
      <c r="GGO46" s="10"/>
      <c r="GGP46" s="125"/>
      <c r="GGQ46" s="125"/>
      <c r="GGR46" s="14"/>
      <c r="GGS46" s="15"/>
      <c r="GGT46" s="125"/>
      <c r="GGU46" s="125"/>
      <c r="GGV46" s="14"/>
      <c r="GGW46" s="15"/>
      <c r="GGX46" s="125"/>
      <c r="GGY46" s="125"/>
      <c r="GGZ46" s="14"/>
      <c r="GHA46" s="15"/>
      <c r="GHB46" s="125"/>
      <c r="GHC46" s="125"/>
      <c r="GHD46" s="14"/>
      <c r="GHE46" s="10"/>
      <c r="GHF46" s="125"/>
      <c r="GHG46" s="125"/>
      <c r="GHH46" s="14"/>
      <c r="GHI46" s="15"/>
      <c r="GHJ46" s="125"/>
      <c r="GHK46" s="125"/>
      <c r="GHL46" s="14"/>
      <c r="GHM46" s="15"/>
      <c r="GHN46" s="125"/>
      <c r="GHO46" s="125"/>
      <c r="GHP46" s="14"/>
      <c r="GHQ46" s="15"/>
      <c r="GHR46" s="125"/>
      <c r="GHS46" s="125"/>
      <c r="GHT46" s="14"/>
      <c r="GHU46" s="10"/>
      <c r="GHV46" s="125"/>
      <c r="GHW46" s="125"/>
      <c r="GHX46" s="14"/>
      <c r="GHY46" s="15"/>
      <c r="GHZ46" s="125"/>
      <c r="GIA46" s="125"/>
      <c r="GIB46" s="14"/>
      <c r="GIC46" s="15"/>
      <c r="GID46" s="125"/>
      <c r="GIE46" s="125"/>
      <c r="GIF46" s="14"/>
      <c r="GIG46" s="15"/>
      <c r="GIH46" s="125"/>
      <c r="GII46" s="125"/>
      <c r="GIJ46" s="14"/>
      <c r="GIK46" s="10"/>
      <c r="GIL46" s="125"/>
      <c r="GIM46" s="125"/>
      <c r="GIN46" s="14"/>
      <c r="GIO46" s="15"/>
      <c r="GIP46" s="125"/>
      <c r="GIQ46" s="125"/>
      <c r="GIR46" s="14"/>
      <c r="GIS46" s="15"/>
      <c r="GIT46" s="125"/>
      <c r="GIU46" s="125"/>
      <c r="GIV46" s="14"/>
      <c r="GIW46" s="15"/>
      <c r="GIX46" s="125"/>
      <c r="GIY46" s="125"/>
      <c r="GIZ46" s="14"/>
      <c r="GJA46" s="10"/>
      <c r="GJB46" s="125"/>
      <c r="GJC46" s="125"/>
      <c r="GJD46" s="14"/>
      <c r="GJE46" s="15"/>
      <c r="GJF46" s="125"/>
      <c r="GJG46" s="125"/>
      <c r="GJH46" s="14"/>
      <c r="GJI46" s="15"/>
      <c r="GJJ46" s="125"/>
      <c r="GJK46" s="125"/>
      <c r="GJL46" s="14"/>
      <c r="GJM46" s="15"/>
      <c r="GJN46" s="125"/>
      <c r="GJO46" s="125"/>
      <c r="GJP46" s="14"/>
      <c r="GJQ46" s="10"/>
      <c r="GJR46" s="125"/>
      <c r="GJS46" s="125"/>
      <c r="GJT46" s="14"/>
      <c r="GJU46" s="15"/>
      <c r="GJV46" s="125"/>
      <c r="GJW46" s="125"/>
      <c r="GJX46" s="14"/>
      <c r="GJY46" s="15"/>
      <c r="GJZ46" s="125"/>
      <c r="GKA46" s="125"/>
      <c r="GKB46" s="14"/>
      <c r="GKC46" s="15"/>
      <c r="GKD46" s="125"/>
      <c r="GKE46" s="125"/>
      <c r="GKF46" s="14"/>
      <c r="GKG46" s="10"/>
      <c r="GKH46" s="125"/>
      <c r="GKI46" s="125"/>
      <c r="GKJ46" s="14"/>
      <c r="GKK46" s="15"/>
      <c r="GKL46" s="125"/>
      <c r="GKM46" s="125"/>
      <c r="GKN46" s="14"/>
      <c r="GKO46" s="15"/>
      <c r="GKP46" s="125"/>
      <c r="GKQ46" s="125"/>
      <c r="GKR46" s="14"/>
      <c r="GKS46" s="15"/>
      <c r="GKT46" s="125"/>
      <c r="GKU46" s="125"/>
      <c r="GKV46" s="14"/>
      <c r="GKW46" s="10"/>
      <c r="GKX46" s="125"/>
      <c r="GKY46" s="125"/>
      <c r="GKZ46" s="14"/>
      <c r="GLA46" s="15"/>
      <c r="GLB46" s="125"/>
      <c r="GLC46" s="125"/>
      <c r="GLD46" s="14"/>
      <c r="GLE46" s="15"/>
      <c r="GLF46" s="125"/>
      <c r="GLG46" s="125"/>
      <c r="GLH46" s="14"/>
      <c r="GLI46" s="15"/>
      <c r="GLJ46" s="125"/>
      <c r="GLK46" s="125"/>
      <c r="GLL46" s="14"/>
      <c r="GLM46" s="10"/>
      <c r="GLN46" s="125"/>
      <c r="GLO46" s="125"/>
      <c r="GLP46" s="14"/>
      <c r="GLQ46" s="15"/>
      <c r="GLR46" s="125"/>
      <c r="GLS46" s="125"/>
      <c r="GLT46" s="14"/>
      <c r="GLU46" s="15"/>
      <c r="GLV46" s="125"/>
      <c r="GLW46" s="125"/>
      <c r="GLX46" s="14"/>
      <c r="GLY46" s="15"/>
      <c r="GLZ46" s="125"/>
      <c r="GMA46" s="125"/>
      <c r="GMB46" s="14"/>
      <c r="GMC46" s="10"/>
      <c r="GMD46" s="125"/>
      <c r="GME46" s="125"/>
      <c r="GMF46" s="14"/>
      <c r="GMG46" s="15"/>
      <c r="GMH46" s="125"/>
      <c r="GMI46" s="125"/>
      <c r="GMJ46" s="14"/>
      <c r="GMK46" s="15"/>
      <c r="GML46" s="125"/>
      <c r="GMM46" s="125"/>
      <c r="GMN46" s="14"/>
      <c r="GMO46" s="15"/>
      <c r="GMP46" s="125"/>
      <c r="GMQ46" s="125"/>
      <c r="GMR46" s="14"/>
      <c r="GMS46" s="10"/>
      <c r="GMT46" s="125"/>
      <c r="GMU46" s="125"/>
      <c r="GMV46" s="14"/>
      <c r="GMW46" s="15"/>
      <c r="GMX46" s="125"/>
      <c r="GMY46" s="125"/>
      <c r="GMZ46" s="14"/>
      <c r="GNA46" s="15"/>
      <c r="GNB46" s="125"/>
      <c r="GNC46" s="125"/>
      <c r="GND46" s="14"/>
      <c r="GNE46" s="15"/>
      <c r="GNF46" s="125"/>
      <c r="GNG46" s="125"/>
      <c r="GNH46" s="14"/>
      <c r="GNI46" s="10"/>
      <c r="GNJ46" s="125"/>
      <c r="GNK46" s="125"/>
      <c r="GNL46" s="14"/>
      <c r="GNM46" s="15"/>
      <c r="GNN46" s="125"/>
      <c r="GNO46" s="125"/>
      <c r="GNP46" s="14"/>
      <c r="GNQ46" s="15"/>
      <c r="GNR46" s="125"/>
      <c r="GNS46" s="125"/>
      <c r="GNT46" s="14"/>
      <c r="GNU46" s="15"/>
      <c r="GNV46" s="125"/>
      <c r="GNW46" s="125"/>
      <c r="GNX46" s="14"/>
      <c r="GNY46" s="10"/>
      <c r="GNZ46" s="125"/>
      <c r="GOA46" s="125"/>
      <c r="GOB46" s="14"/>
      <c r="GOC46" s="15"/>
      <c r="GOD46" s="125"/>
      <c r="GOE46" s="125"/>
      <c r="GOF46" s="14"/>
      <c r="GOG46" s="15"/>
      <c r="GOH46" s="125"/>
      <c r="GOI46" s="125"/>
      <c r="GOJ46" s="14"/>
      <c r="GOK46" s="15"/>
      <c r="GOL46" s="125"/>
      <c r="GOM46" s="125"/>
      <c r="GON46" s="14"/>
      <c r="GOO46" s="10"/>
      <c r="GOP46" s="125"/>
      <c r="GOQ46" s="125"/>
      <c r="GOR46" s="14"/>
      <c r="GOS46" s="15"/>
      <c r="GOT46" s="125"/>
      <c r="GOU46" s="125"/>
      <c r="GOV46" s="14"/>
      <c r="GOW46" s="15"/>
      <c r="GOX46" s="125"/>
      <c r="GOY46" s="125"/>
      <c r="GOZ46" s="14"/>
      <c r="GPA46" s="15"/>
      <c r="GPB46" s="125"/>
      <c r="GPC46" s="125"/>
      <c r="GPD46" s="14"/>
      <c r="GPE46" s="10"/>
      <c r="GPF46" s="125"/>
      <c r="GPG46" s="125"/>
      <c r="GPH46" s="14"/>
      <c r="GPI46" s="15"/>
      <c r="GPJ46" s="125"/>
      <c r="GPK46" s="125"/>
      <c r="GPL46" s="14"/>
      <c r="GPM46" s="15"/>
      <c r="GPN46" s="125"/>
      <c r="GPO46" s="125"/>
      <c r="GPP46" s="14"/>
      <c r="GPQ46" s="15"/>
      <c r="GPR46" s="125"/>
      <c r="GPS46" s="125"/>
      <c r="GPT46" s="14"/>
      <c r="GPU46" s="10"/>
      <c r="GPV46" s="125"/>
      <c r="GPW46" s="125"/>
      <c r="GPX46" s="14"/>
      <c r="GPY46" s="15"/>
      <c r="GPZ46" s="125"/>
      <c r="GQA46" s="125"/>
      <c r="GQB46" s="14"/>
      <c r="GQC46" s="15"/>
      <c r="GQD46" s="125"/>
      <c r="GQE46" s="125"/>
      <c r="GQF46" s="14"/>
      <c r="GQG46" s="15"/>
      <c r="GQH46" s="125"/>
      <c r="GQI46" s="125"/>
      <c r="GQJ46" s="14"/>
      <c r="GQK46" s="10"/>
      <c r="GQL46" s="125"/>
      <c r="GQM46" s="125"/>
      <c r="GQN46" s="14"/>
      <c r="GQO46" s="15"/>
      <c r="GQP46" s="125"/>
      <c r="GQQ46" s="125"/>
      <c r="GQR46" s="14"/>
      <c r="GQS46" s="15"/>
      <c r="GQT46" s="125"/>
      <c r="GQU46" s="125"/>
      <c r="GQV46" s="14"/>
      <c r="GQW46" s="15"/>
      <c r="GQX46" s="125"/>
      <c r="GQY46" s="125"/>
      <c r="GQZ46" s="14"/>
      <c r="GRA46" s="10"/>
      <c r="GRB46" s="125"/>
      <c r="GRC46" s="125"/>
      <c r="GRD46" s="14"/>
      <c r="GRE46" s="15"/>
      <c r="GRF46" s="125"/>
      <c r="GRG46" s="125"/>
      <c r="GRH46" s="14"/>
      <c r="GRI46" s="15"/>
      <c r="GRJ46" s="125"/>
      <c r="GRK46" s="125"/>
      <c r="GRL46" s="14"/>
      <c r="GRM46" s="15"/>
      <c r="GRN46" s="125"/>
      <c r="GRO46" s="125"/>
      <c r="GRP46" s="14"/>
      <c r="GRQ46" s="10"/>
      <c r="GRR46" s="125"/>
      <c r="GRS46" s="125"/>
      <c r="GRT46" s="14"/>
      <c r="GRU46" s="15"/>
      <c r="GRV46" s="125"/>
      <c r="GRW46" s="125"/>
      <c r="GRX46" s="14"/>
      <c r="GRY46" s="15"/>
      <c r="GRZ46" s="125"/>
      <c r="GSA46" s="125"/>
      <c r="GSB46" s="14"/>
      <c r="GSC46" s="15"/>
      <c r="GSD46" s="125"/>
      <c r="GSE46" s="125"/>
      <c r="GSF46" s="14"/>
      <c r="GSG46" s="10"/>
      <c r="GSH46" s="125"/>
      <c r="GSI46" s="125"/>
      <c r="GSJ46" s="14"/>
      <c r="GSK46" s="15"/>
      <c r="GSL46" s="125"/>
      <c r="GSM46" s="125"/>
      <c r="GSN46" s="14"/>
      <c r="GSO46" s="15"/>
      <c r="GSP46" s="125"/>
      <c r="GSQ46" s="125"/>
      <c r="GSR46" s="14"/>
      <c r="GSS46" s="15"/>
      <c r="GST46" s="125"/>
      <c r="GSU46" s="125"/>
      <c r="GSV46" s="14"/>
      <c r="GSW46" s="10"/>
      <c r="GSX46" s="125"/>
      <c r="GSY46" s="125"/>
      <c r="GSZ46" s="14"/>
      <c r="GTA46" s="15"/>
      <c r="GTB46" s="125"/>
      <c r="GTC46" s="125"/>
      <c r="GTD46" s="14"/>
      <c r="GTE46" s="15"/>
      <c r="GTF46" s="125"/>
      <c r="GTG46" s="125"/>
      <c r="GTH46" s="14"/>
      <c r="GTI46" s="15"/>
      <c r="GTJ46" s="125"/>
      <c r="GTK46" s="125"/>
      <c r="GTL46" s="14"/>
      <c r="GTM46" s="10"/>
      <c r="GTN46" s="125"/>
      <c r="GTO46" s="125"/>
      <c r="GTP46" s="14"/>
      <c r="GTQ46" s="15"/>
      <c r="GTR46" s="125"/>
      <c r="GTS46" s="125"/>
      <c r="GTT46" s="14"/>
      <c r="GTU46" s="15"/>
      <c r="GTV46" s="125"/>
      <c r="GTW46" s="125"/>
      <c r="GTX46" s="14"/>
      <c r="GTY46" s="15"/>
      <c r="GTZ46" s="125"/>
      <c r="GUA46" s="125"/>
      <c r="GUB46" s="14"/>
      <c r="GUC46" s="10"/>
      <c r="GUD46" s="125"/>
      <c r="GUE46" s="125"/>
      <c r="GUF46" s="14"/>
      <c r="GUG46" s="15"/>
      <c r="GUH46" s="125"/>
      <c r="GUI46" s="125"/>
      <c r="GUJ46" s="14"/>
      <c r="GUK46" s="15"/>
      <c r="GUL46" s="125"/>
      <c r="GUM46" s="125"/>
      <c r="GUN46" s="14"/>
      <c r="GUO46" s="15"/>
      <c r="GUP46" s="125"/>
      <c r="GUQ46" s="125"/>
      <c r="GUR46" s="14"/>
      <c r="GUS46" s="10"/>
      <c r="GUT46" s="125"/>
      <c r="GUU46" s="125"/>
      <c r="GUV46" s="14"/>
      <c r="GUW46" s="15"/>
      <c r="GUX46" s="125"/>
      <c r="GUY46" s="125"/>
      <c r="GUZ46" s="14"/>
      <c r="GVA46" s="15"/>
      <c r="GVB46" s="125"/>
      <c r="GVC46" s="125"/>
      <c r="GVD46" s="14"/>
      <c r="GVE46" s="15"/>
      <c r="GVF46" s="125"/>
      <c r="GVG46" s="125"/>
      <c r="GVH46" s="14"/>
      <c r="GVI46" s="10"/>
      <c r="GVJ46" s="125"/>
      <c r="GVK46" s="125"/>
      <c r="GVL46" s="14"/>
      <c r="GVM46" s="15"/>
      <c r="GVN46" s="125"/>
      <c r="GVO46" s="125"/>
      <c r="GVP46" s="14"/>
      <c r="GVQ46" s="15"/>
      <c r="GVR46" s="125"/>
      <c r="GVS46" s="125"/>
      <c r="GVT46" s="14"/>
      <c r="GVU46" s="15"/>
      <c r="GVV46" s="125"/>
      <c r="GVW46" s="125"/>
      <c r="GVX46" s="14"/>
      <c r="GVY46" s="10"/>
      <c r="GVZ46" s="125"/>
      <c r="GWA46" s="125"/>
      <c r="GWB46" s="14"/>
      <c r="GWC46" s="15"/>
      <c r="GWD46" s="125"/>
      <c r="GWE46" s="125"/>
      <c r="GWF46" s="14"/>
      <c r="GWG46" s="15"/>
      <c r="GWH46" s="125"/>
      <c r="GWI46" s="125"/>
      <c r="GWJ46" s="14"/>
      <c r="GWK46" s="15"/>
      <c r="GWL46" s="125"/>
      <c r="GWM46" s="125"/>
      <c r="GWN46" s="14"/>
      <c r="GWO46" s="10"/>
      <c r="GWP46" s="125"/>
      <c r="GWQ46" s="125"/>
      <c r="GWR46" s="14"/>
      <c r="GWS46" s="15"/>
      <c r="GWT46" s="125"/>
      <c r="GWU46" s="125"/>
      <c r="GWV46" s="14"/>
      <c r="GWW46" s="15"/>
      <c r="GWX46" s="125"/>
      <c r="GWY46" s="125"/>
      <c r="GWZ46" s="14"/>
      <c r="GXA46" s="15"/>
      <c r="GXB46" s="125"/>
      <c r="GXC46" s="125"/>
      <c r="GXD46" s="14"/>
      <c r="GXE46" s="10"/>
      <c r="GXF46" s="125"/>
      <c r="GXG46" s="125"/>
      <c r="GXH46" s="14"/>
      <c r="GXI46" s="15"/>
      <c r="GXJ46" s="125"/>
      <c r="GXK46" s="125"/>
      <c r="GXL46" s="14"/>
      <c r="GXM46" s="15"/>
      <c r="GXN46" s="125"/>
      <c r="GXO46" s="125"/>
      <c r="GXP46" s="14"/>
      <c r="GXQ46" s="15"/>
      <c r="GXR46" s="125"/>
      <c r="GXS46" s="125"/>
      <c r="GXT46" s="14"/>
      <c r="GXU46" s="10"/>
      <c r="GXV46" s="125"/>
      <c r="GXW46" s="125"/>
      <c r="GXX46" s="14"/>
      <c r="GXY46" s="15"/>
      <c r="GXZ46" s="125"/>
      <c r="GYA46" s="125"/>
      <c r="GYB46" s="14"/>
      <c r="GYC46" s="15"/>
      <c r="GYD46" s="125"/>
      <c r="GYE46" s="125"/>
      <c r="GYF46" s="14"/>
      <c r="GYG46" s="15"/>
      <c r="GYH46" s="125"/>
      <c r="GYI46" s="125"/>
      <c r="GYJ46" s="14"/>
      <c r="GYK46" s="10"/>
      <c r="GYL46" s="125"/>
      <c r="GYM46" s="125"/>
      <c r="GYN46" s="14"/>
      <c r="GYO46" s="15"/>
      <c r="GYP46" s="125"/>
      <c r="GYQ46" s="125"/>
      <c r="GYR46" s="14"/>
      <c r="GYS46" s="15"/>
      <c r="GYT46" s="125"/>
      <c r="GYU46" s="125"/>
      <c r="GYV46" s="14"/>
      <c r="GYW46" s="15"/>
      <c r="GYX46" s="125"/>
      <c r="GYY46" s="125"/>
      <c r="GYZ46" s="14"/>
      <c r="GZA46" s="10"/>
      <c r="GZB46" s="125"/>
      <c r="GZC46" s="125"/>
      <c r="GZD46" s="14"/>
      <c r="GZE46" s="15"/>
      <c r="GZF46" s="125"/>
      <c r="GZG46" s="125"/>
      <c r="GZH46" s="14"/>
      <c r="GZI46" s="15"/>
      <c r="GZJ46" s="125"/>
      <c r="GZK46" s="125"/>
      <c r="GZL46" s="14"/>
      <c r="GZM46" s="15"/>
      <c r="GZN46" s="125"/>
      <c r="GZO46" s="125"/>
      <c r="GZP46" s="14"/>
      <c r="GZQ46" s="10"/>
      <c r="GZR46" s="125"/>
      <c r="GZS46" s="125"/>
      <c r="GZT46" s="14"/>
      <c r="GZU46" s="15"/>
      <c r="GZV46" s="125"/>
      <c r="GZW46" s="125"/>
      <c r="GZX46" s="14"/>
      <c r="GZY46" s="15"/>
      <c r="GZZ46" s="125"/>
      <c r="HAA46" s="125"/>
      <c r="HAB46" s="14"/>
      <c r="HAC46" s="15"/>
      <c r="HAD46" s="125"/>
      <c r="HAE46" s="125"/>
      <c r="HAF46" s="14"/>
      <c r="HAG46" s="10"/>
      <c r="HAH46" s="125"/>
      <c r="HAI46" s="125"/>
      <c r="HAJ46" s="14"/>
      <c r="HAK46" s="15"/>
      <c r="HAL46" s="125"/>
      <c r="HAM46" s="125"/>
      <c r="HAN46" s="14"/>
      <c r="HAO46" s="15"/>
      <c r="HAP46" s="125"/>
      <c r="HAQ46" s="125"/>
      <c r="HAR46" s="14"/>
      <c r="HAS46" s="15"/>
      <c r="HAT46" s="125"/>
      <c r="HAU46" s="125"/>
      <c r="HAV46" s="14"/>
      <c r="HAW46" s="10"/>
      <c r="HAX46" s="125"/>
      <c r="HAY46" s="125"/>
      <c r="HAZ46" s="14"/>
      <c r="HBA46" s="15"/>
      <c r="HBB46" s="125"/>
      <c r="HBC46" s="125"/>
      <c r="HBD46" s="14"/>
      <c r="HBE46" s="15"/>
      <c r="HBF46" s="125"/>
      <c r="HBG46" s="125"/>
      <c r="HBH46" s="14"/>
      <c r="HBI46" s="15"/>
      <c r="HBJ46" s="125"/>
      <c r="HBK46" s="125"/>
      <c r="HBL46" s="14"/>
      <c r="HBM46" s="10"/>
      <c r="HBN46" s="125"/>
      <c r="HBO46" s="125"/>
      <c r="HBP46" s="14"/>
      <c r="HBQ46" s="15"/>
      <c r="HBR46" s="125"/>
      <c r="HBS46" s="125"/>
      <c r="HBT46" s="14"/>
      <c r="HBU46" s="15"/>
      <c r="HBV46" s="125"/>
      <c r="HBW46" s="125"/>
      <c r="HBX46" s="14"/>
      <c r="HBY46" s="15"/>
      <c r="HBZ46" s="125"/>
      <c r="HCA46" s="125"/>
      <c r="HCB46" s="14"/>
      <c r="HCC46" s="10"/>
      <c r="HCD46" s="125"/>
      <c r="HCE46" s="125"/>
      <c r="HCF46" s="14"/>
      <c r="HCG46" s="15"/>
      <c r="HCH46" s="125"/>
      <c r="HCI46" s="125"/>
      <c r="HCJ46" s="14"/>
      <c r="HCK46" s="15"/>
      <c r="HCL46" s="125"/>
      <c r="HCM46" s="125"/>
      <c r="HCN46" s="14"/>
      <c r="HCO46" s="15"/>
      <c r="HCP46" s="125"/>
      <c r="HCQ46" s="125"/>
      <c r="HCR46" s="14"/>
      <c r="HCS46" s="10"/>
      <c r="HCT46" s="125"/>
      <c r="HCU46" s="125"/>
      <c r="HCV46" s="14"/>
      <c r="HCW46" s="15"/>
      <c r="HCX46" s="125"/>
      <c r="HCY46" s="125"/>
      <c r="HCZ46" s="14"/>
      <c r="HDA46" s="15"/>
      <c r="HDB46" s="125"/>
      <c r="HDC46" s="125"/>
      <c r="HDD46" s="14"/>
      <c r="HDE46" s="15"/>
      <c r="HDF46" s="125"/>
      <c r="HDG46" s="125"/>
      <c r="HDH46" s="14"/>
      <c r="HDI46" s="10"/>
      <c r="HDJ46" s="125"/>
      <c r="HDK46" s="125"/>
      <c r="HDL46" s="14"/>
      <c r="HDM46" s="15"/>
      <c r="HDN46" s="125"/>
      <c r="HDO46" s="125"/>
      <c r="HDP46" s="14"/>
      <c r="HDQ46" s="15"/>
      <c r="HDR46" s="125"/>
      <c r="HDS46" s="125"/>
      <c r="HDT46" s="14"/>
      <c r="HDU46" s="15"/>
      <c r="HDV46" s="125"/>
      <c r="HDW46" s="125"/>
      <c r="HDX46" s="14"/>
      <c r="HDY46" s="10"/>
      <c r="HDZ46" s="125"/>
      <c r="HEA46" s="125"/>
      <c r="HEB46" s="14"/>
      <c r="HEC46" s="15"/>
      <c r="HED46" s="125"/>
      <c r="HEE46" s="125"/>
      <c r="HEF46" s="14"/>
      <c r="HEG46" s="15"/>
      <c r="HEH46" s="125"/>
      <c r="HEI46" s="125"/>
      <c r="HEJ46" s="14"/>
      <c r="HEK46" s="15"/>
      <c r="HEL46" s="125"/>
      <c r="HEM46" s="125"/>
      <c r="HEN46" s="14"/>
      <c r="HEO46" s="10"/>
      <c r="HEP46" s="125"/>
      <c r="HEQ46" s="125"/>
      <c r="HER46" s="14"/>
      <c r="HES46" s="15"/>
      <c r="HET46" s="125"/>
      <c r="HEU46" s="125"/>
      <c r="HEV46" s="14"/>
      <c r="HEW46" s="15"/>
      <c r="HEX46" s="125"/>
      <c r="HEY46" s="125"/>
      <c r="HEZ46" s="14"/>
      <c r="HFA46" s="15"/>
      <c r="HFB46" s="125"/>
      <c r="HFC46" s="125"/>
      <c r="HFD46" s="14"/>
      <c r="HFE46" s="10"/>
      <c r="HFF46" s="125"/>
      <c r="HFG46" s="125"/>
      <c r="HFH46" s="14"/>
      <c r="HFI46" s="15"/>
      <c r="HFJ46" s="125"/>
      <c r="HFK46" s="125"/>
      <c r="HFL46" s="14"/>
      <c r="HFM46" s="15"/>
      <c r="HFN46" s="125"/>
      <c r="HFO46" s="125"/>
      <c r="HFP46" s="14"/>
      <c r="HFQ46" s="15"/>
      <c r="HFR46" s="125"/>
      <c r="HFS46" s="125"/>
      <c r="HFT46" s="14"/>
      <c r="HFU46" s="10"/>
      <c r="HFV46" s="125"/>
      <c r="HFW46" s="125"/>
      <c r="HFX46" s="14"/>
      <c r="HFY46" s="15"/>
      <c r="HFZ46" s="125"/>
      <c r="HGA46" s="125"/>
      <c r="HGB46" s="14"/>
      <c r="HGC46" s="15"/>
      <c r="HGD46" s="125"/>
      <c r="HGE46" s="125"/>
      <c r="HGF46" s="14"/>
      <c r="HGG46" s="15"/>
      <c r="HGH46" s="125"/>
      <c r="HGI46" s="125"/>
      <c r="HGJ46" s="14"/>
      <c r="HGK46" s="10"/>
      <c r="HGL46" s="125"/>
      <c r="HGM46" s="125"/>
      <c r="HGN46" s="14"/>
      <c r="HGO46" s="15"/>
      <c r="HGP46" s="125"/>
      <c r="HGQ46" s="125"/>
      <c r="HGR46" s="14"/>
      <c r="HGS46" s="15"/>
      <c r="HGT46" s="125"/>
      <c r="HGU46" s="125"/>
      <c r="HGV46" s="14"/>
      <c r="HGW46" s="15"/>
      <c r="HGX46" s="125"/>
      <c r="HGY46" s="125"/>
      <c r="HGZ46" s="14"/>
      <c r="HHA46" s="10"/>
      <c r="HHB46" s="125"/>
      <c r="HHC46" s="125"/>
      <c r="HHD46" s="14"/>
      <c r="HHE46" s="15"/>
      <c r="HHF46" s="125"/>
      <c r="HHG46" s="125"/>
      <c r="HHH46" s="14"/>
      <c r="HHI46" s="15"/>
      <c r="HHJ46" s="125"/>
      <c r="HHK46" s="125"/>
      <c r="HHL46" s="14"/>
      <c r="HHM46" s="15"/>
      <c r="HHN46" s="125"/>
      <c r="HHO46" s="125"/>
      <c r="HHP46" s="14"/>
      <c r="HHQ46" s="10"/>
      <c r="HHR46" s="125"/>
      <c r="HHS46" s="125"/>
      <c r="HHT46" s="14"/>
      <c r="HHU46" s="15"/>
      <c r="HHV46" s="125"/>
      <c r="HHW46" s="125"/>
      <c r="HHX46" s="14"/>
      <c r="HHY46" s="15"/>
      <c r="HHZ46" s="125"/>
      <c r="HIA46" s="125"/>
      <c r="HIB46" s="14"/>
      <c r="HIC46" s="15"/>
      <c r="HID46" s="125"/>
      <c r="HIE46" s="125"/>
      <c r="HIF46" s="14"/>
      <c r="HIG46" s="10"/>
      <c r="HIH46" s="125"/>
      <c r="HII46" s="125"/>
      <c r="HIJ46" s="14"/>
      <c r="HIK46" s="15"/>
      <c r="HIL46" s="125"/>
      <c r="HIM46" s="125"/>
      <c r="HIN46" s="14"/>
      <c r="HIO46" s="15"/>
      <c r="HIP46" s="125"/>
      <c r="HIQ46" s="125"/>
      <c r="HIR46" s="14"/>
      <c r="HIS46" s="15"/>
      <c r="HIT46" s="125"/>
      <c r="HIU46" s="125"/>
      <c r="HIV46" s="14"/>
      <c r="HIW46" s="10"/>
      <c r="HIX46" s="125"/>
      <c r="HIY46" s="125"/>
      <c r="HIZ46" s="14"/>
      <c r="HJA46" s="15"/>
      <c r="HJB46" s="125"/>
      <c r="HJC46" s="125"/>
      <c r="HJD46" s="14"/>
      <c r="HJE46" s="15"/>
      <c r="HJF46" s="125"/>
      <c r="HJG46" s="125"/>
      <c r="HJH46" s="14"/>
      <c r="HJI46" s="15"/>
      <c r="HJJ46" s="125"/>
      <c r="HJK46" s="125"/>
      <c r="HJL46" s="14"/>
      <c r="HJM46" s="10"/>
      <c r="HJN46" s="125"/>
      <c r="HJO46" s="125"/>
      <c r="HJP46" s="14"/>
      <c r="HJQ46" s="15"/>
      <c r="HJR46" s="125"/>
      <c r="HJS46" s="125"/>
      <c r="HJT46" s="14"/>
      <c r="HJU46" s="15"/>
      <c r="HJV46" s="125"/>
      <c r="HJW46" s="125"/>
      <c r="HJX46" s="14"/>
      <c r="HJY46" s="15"/>
      <c r="HJZ46" s="125"/>
      <c r="HKA46" s="125"/>
      <c r="HKB46" s="14"/>
      <c r="HKC46" s="10"/>
      <c r="HKD46" s="125"/>
      <c r="HKE46" s="125"/>
      <c r="HKF46" s="14"/>
      <c r="HKG46" s="15"/>
      <c r="HKH46" s="125"/>
      <c r="HKI46" s="125"/>
      <c r="HKJ46" s="14"/>
      <c r="HKK46" s="15"/>
      <c r="HKL46" s="125"/>
      <c r="HKM46" s="125"/>
      <c r="HKN46" s="14"/>
      <c r="HKO46" s="15"/>
      <c r="HKP46" s="125"/>
      <c r="HKQ46" s="125"/>
      <c r="HKR46" s="14"/>
      <c r="HKS46" s="10"/>
      <c r="HKT46" s="125"/>
      <c r="HKU46" s="125"/>
      <c r="HKV46" s="14"/>
      <c r="HKW46" s="15"/>
      <c r="HKX46" s="125"/>
      <c r="HKY46" s="125"/>
      <c r="HKZ46" s="14"/>
      <c r="HLA46" s="15"/>
      <c r="HLB46" s="125"/>
      <c r="HLC46" s="125"/>
      <c r="HLD46" s="14"/>
      <c r="HLE46" s="15"/>
      <c r="HLF46" s="125"/>
      <c r="HLG46" s="125"/>
      <c r="HLH46" s="14"/>
      <c r="HLI46" s="10"/>
      <c r="HLJ46" s="125"/>
      <c r="HLK46" s="125"/>
      <c r="HLL46" s="14"/>
      <c r="HLM46" s="15"/>
      <c r="HLN46" s="125"/>
      <c r="HLO46" s="125"/>
      <c r="HLP46" s="14"/>
      <c r="HLQ46" s="15"/>
      <c r="HLR46" s="125"/>
      <c r="HLS46" s="125"/>
      <c r="HLT46" s="14"/>
      <c r="HLU46" s="15"/>
      <c r="HLV46" s="125"/>
      <c r="HLW46" s="125"/>
      <c r="HLX46" s="14"/>
      <c r="HLY46" s="10"/>
      <c r="HLZ46" s="125"/>
      <c r="HMA46" s="125"/>
      <c r="HMB46" s="14"/>
      <c r="HMC46" s="15"/>
      <c r="HMD46" s="125"/>
      <c r="HME46" s="125"/>
      <c r="HMF46" s="14"/>
      <c r="HMG46" s="15"/>
      <c r="HMH46" s="125"/>
      <c r="HMI46" s="125"/>
      <c r="HMJ46" s="14"/>
      <c r="HMK46" s="15"/>
      <c r="HML46" s="125"/>
      <c r="HMM46" s="125"/>
      <c r="HMN46" s="14"/>
      <c r="HMO46" s="10"/>
      <c r="HMP46" s="125"/>
      <c r="HMQ46" s="125"/>
      <c r="HMR46" s="14"/>
      <c r="HMS46" s="15"/>
      <c r="HMT46" s="125"/>
      <c r="HMU46" s="125"/>
      <c r="HMV46" s="14"/>
      <c r="HMW46" s="15"/>
      <c r="HMX46" s="125"/>
      <c r="HMY46" s="125"/>
      <c r="HMZ46" s="14"/>
      <c r="HNA46" s="15"/>
      <c r="HNB46" s="125"/>
      <c r="HNC46" s="125"/>
      <c r="HND46" s="14"/>
      <c r="HNE46" s="10"/>
      <c r="HNF46" s="125"/>
      <c r="HNG46" s="125"/>
      <c r="HNH46" s="14"/>
      <c r="HNI46" s="15"/>
      <c r="HNJ46" s="125"/>
      <c r="HNK46" s="125"/>
      <c r="HNL46" s="14"/>
      <c r="HNM46" s="15"/>
      <c r="HNN46" s="125"/>
      <c r="HNO46" s="125"/>
      <c r="HNP46" s="14"/>
      <c r="HNQ46" s="15"/>
      <c r="HNR46" s="125"/>
      <c r="HNS46" s="125"/>
      <c r="HNT46" s="14"/>
      <c r="HNU46" s="10"/>
      <c r="HNV46" s="125"/>
      <c r="HNW46" s="125"/>
      <c r="HNX46" s="14"/>
      <c r="HNY46" s="15"/>
      <c r="HNZ46" s="125"/>
      <c r="HOA46" s="125"/>
      <c r="HOB46" s="14"/>
      <c r="HOC46" s="15"/>
      <c r="HOD46" s="125"/>
      <c r="HOE46" s="125"/>
      <c r="HOF46" s="14"/>
      <c r="HOG46" s="15"/>
      <c r="HOH46" s="125"/>
      <c r="HOI46" s="125"/>
      <c r="HOJ46" s="14"/>
      <c r="HOK46" s="10"/>
      <c r="HOL46" s="125"/>
      <c r="HOM46" s="125"/>
      <c r="HON46" s="14"/>
      <c r="HOO46" s="15"/>
      <c r="HOP46" s="125"/>
      <c r="HOQ46" s="125"/>
      <c r="HOR46" s="14"/>
      <c r="HOS46" s="15"/>
      <c r="HOT46" s="125"/>
      <c r="HOU46" s="125"/>
      <c r="HOV46" s="14"/>
      <c r="HOW46" s="15"/>
      <c r="HOX46" s="125"/>
      <c r="HOY46" s="125"/>
      <c r="HOZ46" s="14"/>
      <c r="HPA46" s="10"/>
      <c r="HPB46" s="125"/>
      <c r="HPC46" s="125"/>
      <c r="HPD46" s="14"/>
      <c r="HPE46" s="15"/>
      <c r="HPF46" s="125"/>
      <c r="HPG46" s="125"/>
      <c r="HPH46" s="14"/>
      <c r="HPI46" s="15"/>
      <c r="HPJ46" s="125"/>
      <c r="HPK46" s="125"/>
      <c r="HPL46" s="14"/>
      <c r="HPM46" s="15"/>
      <c r="HPN46" s="125"/>
      <c r="HPO46" s="125"/>
      <c r="HPP46" s="14"/>
      <c r="HPQ46" s="10"/>
      <c r="HPR46" s="125"/>
      <c r="HPS46" s="125"/>
      <c r="HPT46" s="14"/>
      <c r="HPU46" s="15"/>
      <c r="HPV46" s="125"/>
      <c r="HPW46" s="125"/>
      <c r="HPX46" s="14"/>
      <c r="HPY46" s="15"/>
      <c r="HPZ46" s="125"/>
      <c r="HQA46" s="125"/>
      <c r="HQB46" s="14"/>
      <c r="HQC46" s="15"/>
      <c r="HQD46" s="125"/>
      <c r="HQE46" s="125"/>
      <c r="HQF46" s="14"/>
      <c r="HQG46" s="10"/>
      <c r="HQH46" s="125"/>
      <c r="HQI46" s="125"/>
      <c r="HQJ46" s="14"/>
      <c r="HQK46" s="15"/>
      <c r="HQL46" s="125"/>
      <c r="HQM46" s="125"/>
      <c r="HQN46" s="14"/>
      <c r="HQO46" s="15"/>
      <c r="HQP46" s="125"/>
      <c r="HQQ46" s="125"/>
      <c r="HQR46" s="14"/>
      <c r="HQS46" s="15"/>
      <c r="HQT46" s="125"/>
      <c r="HQU46" s="125"/>
      <c r="HQV46" s="14"/>
      <c r="HQW46" s="10"/>
      <c r="HQX46" s="125"/>
      <c r="HQY46" s="125"/>
      <c r="HQZ46" s="14"/>
      <c r="HRA46" s="15"/>
      <c r="HRB46" s="125"/>
      <c r="HRC46" s="125"/>
      <c r="HRD46" s="14"/>
      <c r="HRE46" s="15"/>
      <c r="HRF46" s="125"/>
      <c r="HRG46" s="125"/>
      <c r="HRH46" s="14"/>
      <c r="HRI46" s="15"/>
      <c r="HRJ46" s="125"/>
      <c r="HRK46" s="125"/>
      <c r="HRL46" s="14"/>
      <c r="HRM46" s="10"/>
      <c r="HRN46" s="125"/>
      <c r="HRO46" s="125"/>
      <c r="HRP46" s="14"/>
      <c r="HRQ46" s="15"/>
      <c r="HRR46" s="125"/>
      <c r="HRS46" s="125"/>
      <c r="HRT46" s="14"/>
      <c r="HRU46" s="15"/>
      <c r="HRV46" s="125"/>
      <c r="HRW46" s="125"/>
      <c r="HRX46" s="14"/>
      <c r="HRY46" s="15"/>
      <c r="HRZ46" s="125"/>
      <c r="HSA46" s="125"/>
      <c r="HSB46" s="14"/>
      <c r="HSC46" s="10"/>
      <c r="HSD46" s="125"/>
      <c r="HSE46" s="125"/>
      <c r="HSF46" s="14"/>
      <c r="HSG46" s="15"/>
      <c r="HSH46" s="125"/>
      <c r="HSI46" s="125"/>
      <c r="HSJ46" s="14"/>
      <c r="HSK46" s="15"/>
      <c r="HSL46" s="125"/>
      <c r="HSM46" s="125"/>
      <c r="HSN46" s="14"/>
      <c r="HSO46" s="15"/>
      <c r="HSP46" s="125"/>
      <c r="HSQ46" s="125"/>
      <c r="HSR46" s="14"/>
      <c r="HSS46" s="10"/>
      <c r="HST46" s="125"/>
      <c r="HSU46" s="125"/>
      <c r="HSV46" s="14"/>
      <c r="HSW46" s="15"/>
      <c r="HSX46" s="125"/>
      <c r="HSY46" s="125"/>
      <c r="HSZ46" s="14"/>
      <c r="HTA46" s="15"/>
      <c r="HTB46" s="125"/>
      <c r="HTC46" s="125"/>
      <c r="HTD46" s="14"/>
      <c r="HTE46" s="15"/>
      <c r="HTF46" s="125"/>
      <c r="HTG46" s="125"/>
      <c r="HTH46" s="14"/>
      <c r="HTI46" s="10"/>
      <c r="HTJ46" s="125"/>
      <c r="HTK46" s="125"/>
      <c r="HTL46" s="14"/>
      <c r="HTM46" s="15"/>
      <c r="HTN46" s="125"/>
      <c r="HTO46" s="125"/>
      <c r="HTP46" s="14"/>
      <c r="HTQ46" s="15"/>
      <c r="HTR46" s="125"/>
      <c r="HTS46" s="125"/>
      <c r="HTT46" s="14"/>
      <c r="HTU46" s="15"/>
      <c r="HTV46" s="125"/>
      <c r="HTW46" s="125"/>
      <c r="HTX46" s="14"/>
      <c r="HTY46" s="10"/>
      <c r="HTZ46" s="125"/>
      <c r="HUA46" s="125"/>
      <c r="HUB46" s="14"/>
      <c r="HUC46" s="15"/>
      <c r="HUD46" s="125"/>
      <c r="HUE46" s="125"/>
      <c r="HUF46" s="14"/>
      <c r="HUG46" s="15"/>
      <c r="HUH46" s="125"/>
      <c r="HUI46" s="125"/>
      <c r="HUJ46" s="14"/>
      <c r="HUK46" s="15"/>
      <c r="HUL46" s="125"/>
      <c r="HUM46" s="125"/>
      <c r="HUN46" s="14"/>
      <c r="HUO46" s="10"/>
      <c r="HUP46" s="125"/>
      <c r="HUQ46" s="125"/>
      <c r="HUR46" s="14"/>
      <c r="HUS46" s="15"/>
      <c r="HUT46" s="125"/>
      <c r="HUU46" s="125"/>
      <c r="HUV46" s="14"/>
      <c r="HUW46" s="15"/>
      <c r="HUX46" s="125"/>
      <c r="HUY46" s="125"/>
      <c r="HUZ46" s="14"/>
      <c r="HVA46" s="15"/>
      <c r="HVB46" s="125"/>
      <c r="HVC46" s="125"/>
      <c r="HVD46" s="14"/>
      <c r="HVE46" s="10"/>
      <c r="HVF46" s="125"/>
      <c r="HVG46" s="125"/>
      <c r="HVH46" s="14"/>
      <c r="HVI46" s="15"/>
      <c r="HVJ46" s="125"/>
      <c r="HVK46" s="125"/>
      <c r="HVL46" s="14"/>
      <c r="HVM46" s="15"/>
      <c r="HVN46" s="125"/>
      <c r="HVO46" s="125"/>
      <c r="HVP46" s="14"/>
      <c r="HVQ46" s="15"/>
      <c r="HVR46" s="125"/>
      <c r="HVS46" s="125"/>
      <c r="HVT46" s="14"/>
      <c r="HVU46" s="10"/>
      <c r="HVV46" s="125"/>
      <c r="HVW46" s="125"/>
      <c r="HVX46" s="14"/>
      <c r="HVY46" s="15"/>
      <c r="HVZ46" s="125"/>
      <c r="HWA46" s="125"/>
      <c r="HWB46" s="14"/>
      <c r="HWC46" s="15"/>
      <c r="HWD46" s="125"/>
      <c r="HWE46" s="125"/>
      <c r="HWF46" s="14"/>
      <c r="HWG46" s="15"/>
      <c r="HWH46" s="125"/>
      <c r="HWI46" s="125"/>
      <c r="HWJ46" s="14"/>
      <c r="HWK46" s="10"/>
      <c r="HWL46" s="125"/>
      <c r="HWM46" s="125"/>
      <c r="HWN46" s="14"/>
      <c r="HWO46" s="15"/>
      <c r="HWP46" s="125"/>
      <c r="HWQ46" s="125"/>
      <c r="HWR46" s="14"/>
      <c r="HWS46" s="15"/>
      <c r="HWT46" s="125"/>
      <c r="HWU46" s="125"/>
      <c r="HWV46" s="14"/>
      <c r="HWW46" s="15"/>
      <c r="HWX46" s="125"/>
      <c r="HWY46" s="125"/>
      <c r="HWZ46" s="14"/>
      <c r="HXA46" s="10"/>
      <c r="HXB46" s="125"/>
      <c r="HXC46" s="125"/>
      <c r="HXD46" s="14"/>
      <c r="HXE46" s="15"/>
      <c r="HXF46" s="125"/>
      <c r="HXG46" s="125"/>
      <c r="HXH46" s="14"/>
      <c r="HXI46" s="15"/>
      <c r="HXJ46" s="125"/>
      <c r="HXK46" s="125"/>
      <c r="HXL46" s="14"/>
      <c r="HXM46" s="15"/>
      <c r="HXN46" s="125"/>
      <c r="HXO46" s="125"/>
      <c r="HXP46" s="14"/>
      <c r="HXQ46" s="10"/>
      <c r="HXR46" s="125"/>
      <c r="HXS46" s="125"/>
      <c r="HXT46" s="14"/>
      <c r="HXU46" s="15"/>
      <c r="HXV46" s="125"/>
      <c r="HXW46" s="125"/>
      <c r="HXX46" s="14"/>
      <c r="HXY46" s="15"/>
      <c r="HXZ46" s="125"/>
      <c r="HYA46" s="125"/>
      <c r="HYB46" s="14"/>
      <c r="HYC46" s="15"/>
      <c r="HYD46" s="125"/>
      <c r="HYE46" s="125"/>
      <c r="HYF46" s="14"/>
      <c r="HYG46" s="10"/>
      <c r="HYH46" s="125"/>
      <c r="HYI46" s="125"/>
      <c r="HYJ46" s="14"/>
      <c r="HYK46" s="15"/>
      <c r="HYL46" s="125"/>
      <c r="HYM46" s="125"/>
      <c r="HYN46" s="14"/>
      <c r="HYO46" s="15"/>
      <c r="HYP46" s="125"/>
      <c r="HYQ46" s="125"/>
      <c r="HYR46" s="14"/>
      <c r="HYS46" s="15"/>
      <c r="HYT46" s="125"/>
      <c r="HYU46" s="125"/>
      <c r="HYV46" s="14"/>
      <c r="HYW46" s="10"/>
      <c r="HYX46" s="125"/>
      <c r="HYY46" s="125"/>
      <c r="HYZ46" s="14"/>
      <c r="HZA46" s="15"/>
      <c r="HZB46" s="125"/>
      <c r="HZC46" s="125"/>
      <c r="HZD46" s="14"/>
      <c r="HZE46" s="15"/>
      <c r="HZF46" s="125"/>
      <c r="HZG46" s="125"/>
      <c r="HZH46" s="14"/>
      <c r="HZI46" s="15"/>
      <c r="HZJ46" s="125"/>
      <c r="HZK46" s="125"/>
      <c r="HZL46" s="14"/>
      <c r="HZM46" s="10"/>
      <c r="HZN46" s="125"/>
      <c r="HZO46" s="125"/>
      <c r="HZP46" s="14"/>
      <c r="HZQ46" s="15"/>
      <c r="HZR46" s="125"/>
      <c r="HZS46" s="125"/>
      <c r="HZT46" s="14"/>
      <c r="HZU46" s="15"/>
      <c r="HZV46" s="125"/>
      <c r="HZW46" s="125"/>
      <c r="HZX46" s="14"/>
      <c r="HZY46" s="15"/>
      <c r="HZZ46" s="125"/>
      <c r="IAA46" s="125"/>
      <c r="IAB46" s="14"/>
      <c r="IAC46" s="10"/>
      <c r="IAD46" s="125"/>
      <c r="IAE46" s="125"/>
      <c r="IAF46" s="14"/>
      <c r="IAG46" s="15"/>
      <c r="IAH46" s="125"/>
      <c r="IAI46" s="125"/>
      <c r="IAJ46" s="14"/>
      <c r="IAK46" s="15"/>
      <c r="IAL46" s="125"/>
      <c r="IAM46" s="125"/>
      <c r="IAN46" s="14"/>
      <c r="IAO46" s="15"/>
      <c r="IAP46" s="125"/>
      <c r="IAQ46" s="125"/>
      <c r="IAR46" s="14"/>
      <c r="IAS46" s="10"/>
      <c r="IAT46" s="125"/>
      <c r="IAU46" s="125"/>
      <c r="IAV46" s="14"/>
      <c r="IAW46" s="15"/>
      <c r="IAX46" s="125"/>
      <c r="IAY46" s="125"/>
      <c r="IAZ46" s="14"/>
      <c r="IBA46" s="15"/>
      <c r="IBB46" s="125"/>
      <c r="IBC46" s="125"/>
      <c r="IBD46" s="14"/>
      <c r="IBE46" s="15"/>
      <c r="IBF46" s="125"/>
      <c r="IBG46" s="125"/>
      <c r="IBH46" s="14"/>
      <c r="IBI46" s="10"/>
      <c r="IBJ46" s="125"/>
      <c r="IBK46" s="125"/>
      <c r="IBL46" s="14"/>
      <c r="IBM46" s="15"/>
      <c r="IBN46" s="125"/>
      <c r="IBO46" s="125"/>
      <c r="IBP46" s="14"/>
      <c r="IBQ46" s="15"/>
      <c r="IBR46" s="125"/>
      <c r="IBS46" s="125"/>
      <c r="IBT46" s="14"/>
      <c r="IBU46" s="15"/>
      <c r="IBV46" s="125"/>
      <c r="IBW46" s="125"/>
      <c r="IBX46" s="14"/>
      <c r="IBY46" s="10"/>
      <c r="IBZ46" s="125"/>
      <c r="ICA46" s="125"/>
      <c r="ICB46" s="14"/>
      <c r="ICC46" s="15"/>
      <c r="ICD46" s="125"/>
      <c r="ICE46" s="125"/>
      <c r="ICF46" s="14"/>
      <c r="ICG46" s="15"/>
      <c r="ICH46" s="125"/>
      <c r="ICI46" s="125"/>
      <c r="ICJ46" s="14"/>
      <c r="ICK46" s="15"/>
      <c r="ICL46" s="125"/>
      <c r="ICM46" s="125"/>
      <c r="ICN46" s="14"/>
      <c r="ICO46" s="10"/>
      <c r="ICP46" s="125"/>
      <c r="ICQ46" s="125"/>
      <c r="ICR46" s="14"/>
      <c r="ICS46" s="15"/>
      <c r="ICT46" s="125"/>
      <c r="ICU46" s="125"/>
      <c r="ICV46" s="14"/>
      <c r="ICW46" s="15"/>
      <c r="ICX46" s="125"/>
      <c r="ICY46" s="125"/>
      <c r="ICZ46" s="14"/>
      <c r="IDA46" s="15"/>
      <c r="IDB46" s="125"/>
      <c r="IDC46" s="125"/>
      <c r="IDD46" s="14"/>
      <c r="IDE46" s="10"/>
      <c r="IDF46" s="125"/>
      <c r="IDG46" s="125"/>
      <c r="IDH46" s="14"/>
      <c r="IDI46" s="15"/>
      <c r="IDJ46" s="125"/>
      <c r="IDK46" s="125"/>
      <c r="IDL46" s="14"/>
      <c r="IDM46" s="15"/>
      <c r="IDN46" s="125"/>
      <c r="IDO46" s="125"/>
      <c r="IDP46" s="14"/>
      <c r="IDQ46" s="15"/>
      <c r="IDR46" s="125"/>
      <c r="IDS46" s="125"/>
      <c r="IDT46" s="14"/>
      <c r="IDU46" s="10"/>
      <c r="IDV46" s="125"/>
      <c r="IDW46" s="125"/>
      <c r="IDX46" s="14"/>
      <c r="IDY46" s="15"/>
      <c r="IDZ46" s="125"/>
      <c r="IEA46" s="125"/>
      <c r="IEB46" s="14"/>
      <c r="IEC46" s="15"/>
      <c r="IED46" s="125"/>
      <c r="IEE46" s="125"/>
      <c r="IEF46" s="14"/>
      <c r="IEG46" s="15"/>
      <c r="IEH46" s="125"/>
      <c r="IEI46" s="125"/>
      <c r="IEJ46" s="14"/>
      <c r="IEK46" s="10"/>
      <c r="IEL46" s="125"/>
      <c r="IEM46" s="125"/>
      <c r="IEN46" s="14"/>
      <c r="IEO46" s="15"/>
      <c r="IEP46" s="125"/>
      <c r="IEQ46" s="125"/>
      <c r="IER46" s="14"/>
      <c r="IES46" s="15"/>
      <c r="IET46" s="125"/>
      <c r="IEU46" s="125"/>
      <c r="IEV46" s="14"/>
      <c r="IEW46" s="15"/>
      <c r="IEX46" s="125"/>
      <c r="IEY46" s="125"/>
      <c r="IEZ46" s="14"/>
      <c r="IFA46" s="10"/>
      <c r="IFB46" s="125"/>
      <c r="IFC46" s="125"/>
      <c r="IFD46" s="14"/>
      <c r="IFE46" s="15"/>
      <c r="IFF46" s="125"/>
      <c r="IFG46" s="125"/>
      <c r="IFH46" s="14"/>
      <c r="IFI46" s="15"/>
      <c r="IFJ46" s="125"/>
      <c r="IFK46" s="125"/>
      <c r="IFL46" s="14"/>
      <c r="IFM46" s="15"/>
      <c r="IFN46" s="125"/>
      <c r="IFO46" s="125"/>
      <c r="IFP46" s="14"/>
      <c r="IFQ46" s="10"/>
      <c r="IFR46" s="125"/>
      <c r="IFS46" s="125"/>
      <c r="IFT46" s="14"/>
      <c r="IFU46" s="15"/>
      <c r="IFV46" s="125"/>
      <c r="IFW46" s="125"/>
      <c r="IFX46" s="14"/>
      <c r="IFY46" s="15"/>
      <c r="IFZ46" s="125"/>
      <c r="IGA46" s="125"/>
      <c r="IGB46" s="14"/>
      <c r="IGC46" s="15"/>
      <c r="IGD46" s="125"/>
      <c r="IGE46" s="125"/>
      <c r="IGF46" s="14"/>
      <c r="IGG46" s="10"/>
      <c r="IGH46" s="125"/>
      <c r="IGI46" s="125"/>
      <c r="IGJ46" s="14"/>
      <c r="IGK46" s="15"/>
      <c r="IGL46" s="125"/>
      <c r="IGM46" s="125"/>
      <c r="IGN46" s="14"/>
      <c r="IGO46" s="15"/>
      <c r="IGP46" s="125"/>
      <c r="IGQ46" s="125"/>
      <c r="IGR46" s="14"/>
      <c r="IGS46" s="15"/>
      <c r="IGT46" s="125"/>
      <c r="IGU46" s="125"/>
      <c r="IGV46" s="14"/>
      <c r="IGW46" s="10"/>
      <c r="IGX46" s="125"/>
      <c r="IGY46" s="125"/>
      <c r="IGZ46" s="14"/>
      <c r="IHA46" s="15"/>
      <c r="IHB46" s="125"/>
      <c r="IHC46" s="125"/>
      <c r="IHD46" s="14"/>
      <c r="IHE46" s="15"/>
      <c r="IHF46" s="125"/>
      <c r="IHG46" s="125"/>
      <c r="IHH46" s="14"/>
      <c r="IHI46" s="15"/>
      <c r="IHJ46" s="125"/>
      <c r="IHK46" s="125"/>
      <c r="IHL46" s="14"/>
      <c r="IHM46" s="10"/>
      <c r="IHN46" s="125"/>
      <c r="IHO46" s="125"/>
      <c r="IHP46" s="14"/>
      <c r="IHQ46" s="15"/>
      <c r="IHR46" s="125"/>
      <c r="IHS46" s="125"/>
      <c r="IHT46" s="14"/>
      <c r="IHU46" s="15"/>
      <c r="IHV46" s="125"/>
      <c r="IHW46" s="125"/>
      <c r="IHX46" s="14"/>
      <c r="IHY46" s="15"/>
      <c r="IHZ46" s="125"/>
      <c r="IIA46" s="125"/>
      <c r="IIB46" s="14"/>
      <c r="IIC46" s="10"/>
      <c r="IID46" s="125"/>
      <c r="IIE46" s="125"/>
      <c r="IIF46" s="14"/>
      <c r="IIG46" s="15"/>
      <c r="IIH46" s="125"/>
      <c r="III46" s="125"/>
      <c r="IIJ46" s="14"/>
      <c r="IIK46" s="15"/>
      <c r="IIL46" s="125"/>
      <c r="IIM46" s="125"/>
      <c r="IIN46" s="14"/>
      <c r="IIO46" s="15"/>
      <c r="IIP46" s="125"/>
      <c r="IIQ46" s="125"/>
      <c r="IIR46" s="14"/>
      <c r="IIS46" s="10"/>
      <c r="IIT46" s="125"/>
      <c r="IIU46" s="125"/>
      <c r="IIV46" s="14"/>
      <c r="IIW46" s="15"/>
      <c r="IIX46" s="125"/>
      <c r="IIY46" s="125"/>
      <c r="IIZ46" s="14"/>
      <c r="IJA46" s="15"/>
      <c r="IJB46" s="125"/>
      <c r="IJC46" s="125"/>
      <c r="IJD46" s="14"/>
      <c r="IJE46" s="15"/>
      <c r="IJF46" s="125"/>
      <c r="IJG46" s="125"/>
      <c r="IJH46" s="14"/>
      <c r="IJI46" s="10"/>
      <c r="IJJ46" s="125"/>
      <c r="IJK46" s="125"/>
      <c r="IJL46" s="14"/>
      <c r="IJM46" s="15"/>
      <c r="IJN46" s="125"/>
      <c r="IJO46" s="125"/>
      <c r="IJP46" s="14"/>
      <c r="IJQ46" s="15"/>
      <c r="IJR46" s="125"/>
      <c r="IJS46" s="125"/>
      <c r="IJT46" s="14"/>
      <c r="IJU46" s="15"/>
      <c r="IJV46" s="125"/>
      <c r="IJW46" s="125"/>
      <c r="IJX46" s="14"/>
      <c r="IJY46" s="10"/>
      <c r="IJZ46" s="125"/>
      <c r="IKA46" s="125"/>
      <c r="IKB46" s="14"/>
      <c r="IKC46" s="15"/>
      <c r="IKD46" s="125"/>
      <c r="IKE46" s="125"/>
      <c r="IKF46" s="14"/>
      <c r="IKG46" s="15"/>
      <c r="IKH46" s="125"/>
      <c r="IKI46" s="125"/>
      <c r="IKJ46" s="14"/>
      <c r="IKK46" s="15"/>
      <c r="IKL46" s="125"/>
      <c r="IKM46" s="125"/>
      <c r="IKN46" s="14"/>
      <c r="IKO46" s="10"/>
      <c r="IKP46" s="125"/>
      <c r="IKQ46" s="125"/>
      <c r="IKR46" s="14"/>
      <c r="IKS46" s="15"/>
      <c r="IKT46" s="125"/>
      <c r="IKU46" s="125"/>
      <c r="IKV46" s="14"/>
      <c r="IKW46" s="15"/>
      <c r="IKX46" s="125"/>
      <c r="IKY46" s="125"/>
      <c r="IKZ46" s="14"/>
      <c r="ILA46" s="15"/>
      <c r="ILB46" s="125"/>
      <c r="ILC46" s="125"/>
      <c r="ILD46" s="14"/>
      <c r="ILE46" s="10"/>
      <c r="ILF46" s="125"/>
      <c r="ILG46" s="125"/>
      <c r="ILH46" s="14"/>
      <c r="ILI46" s="15"/>
      <c r="ILJ46" s="125"/>
      <c r="ILK46" s="125"/>
      <c r="ILL46" s="14"/>
      <c r="ILM46" s="15"/>
      <c r="ILN46" s="125"/>
      <c r="ILO46" s="125"/>
      <c r="ILP46" s="14"/>
      <c r="ILQ46" s="15"/>
      <c r="ILR46" s="125"/>
      <c r="ILS46" s="125"/>
      <c r="ILT46" s="14"/>
      <c r="ILU46" s="10"/>
      <c r="ILV46" s="125"/>
      <c r="ILW46" s="125"/>
      <c r="ILX46" s="14"/>
      <c r="ILY46" s="15"/>
      <c r="ILZ46" s="125"/>
      <c r="IMA46" s="125"/>
      <c r="IMB46" s="14"/>
      <c r="IMC46" s="15"/>
      <c r="IMD46" s="125"/>
      <c r="IME46" s="125"/>
      <c r="IMF46" s="14"/>
      <c r="IMG46" s="15"/>
      <c r="IMH46" s="125"/>
      <c r="IMI46" s="125"/>
      <c r="IMJ46" s="14"/>
      <c r="IMK46" s="10"/>
      <c r="IML46" s="125"/>
      <c r="IMM46" s="125"/>
      <c r="IMN46" s="14"/>
      <c r="IMO46" s="15"/>
      <c r="IMP46" s="125"/>
      <c r="IMQ46" s="125"/>
      <c r="IMR46" s="14"/>
      <c r="IMS46" s="15"/>
      <c r="IMT46" s="125"/>
      <c r="IMU46" s="125"/>
      <c r="IMV46" s="14"/>
      <c r="IMW46" s="15"/>
      <c r="IMX46" s="125"/>
      <c r="IMY46" s="125"/>
      <c r="IMZ46" s="14"/>
      <c r="INA46" s="10"/>
      <c r="INB46" s="125"/>
      <c r="INC46" s="125"/>
      <c r="IND46" s="14"/>
      <c r="INE46" s="15"/>
      <c r="INF46" s="125"/>
      <c r="ING46" s="125"/>
      <c r="INH46" s="14"/>
      <c r="INI46" s="15"/>
      <c r="INJ46" s="125"/>
      <c r="INK46" s="125"/>
      <c r="INL46" s="14"/>
      <c r="INM46" s="15"/>
      <c r="INN46" s="125"/>
      <c r="INO46" s="125"/>
      <c r="INP46" s="14"/>
      <c r="INQ46" s="10"/>
      <c r="INR46" s="125"/>
      <c r="INS46" s="125"/>
      <c r="INT46" s="14"/>
      <c r="INU46" s="15"/>
      <c r="INV46" s="125"/>
      <c r="INW46" s="125"/>
      <c r="INX46" s="14"/>
      <c r="INY46" s="15"/>
      <c r="INZ46" s="125"/>
      <c r="IOA46" s="125"/>
      <c r="IOB46" s="14"/>
      <c r="IOC46" s="15"/>
      <c r="IOD46" s="125"/>
      <c r="IOE46" s="125"/>
      <c r="IOF46" s="14"/>
      <c r="IOG46" s="10"/>
      <c r="IOH46" s="125"/>
      <c r="IOI46" s="125"/>
      <c r="IOJ46" s="14"/>
      <c r="IOK46" s="15"/>
      <c r="IOL46" s="125"/>
      <c r="IOM46" s="125"/>
      <c r="ION46" s="14"/>
      <c r="IOO46" s="15"/>
      <c r="IOP46" s="125"/>
      <c r="IOQ46" s="125"/>
      <c r="IOR46" s="14"/>
      <c r="IOS46" s="15"/>
      <c r="IOT46" s="125"/>
      <c r="IOU46" s="125"/>
      <c r="IOV46" s="14"/>
      <c r="IOW46" s="10"/>
      <c r="IOX46" s="125"/>
      <c r="IOY46" s="125"/>
      <c r="IOZ46" s="14"/>
      <c r="IPA46" s="15"/>
      <c r="IPB46" s="125"/>
      <c r="IPC46" s="125"/>
      <c r="IPD46" s="14"/>
      <c r="IPE46" s="15"/>
      <c r="IPF46" s="125"/>
      <c r="IPG46" s="125"/>
      <c r="IPH46" s="14"/>
      <c r="IPI46" s="15"/>
      <c r="IPJ46" s="125"/>
      <c r="IPK46" s="125"/>
      <c r="IPL46" s="14"/>
      <c r="IPM46" s="10"/>
      <c r="IPN46" s="125"/>
      <c r="IPO46" s="125"/>
      <c r="IPP46" s="14"/>
      <c r="IPQ46" s="15"/>
      <c r="IPR46" s="125"/>
      <c r="IPS46" s="125"/>
      <c r="IPT46" s="14"/>
      <c r="IPU46" s="15"/>
      <c r="IPV46" s="125"/>
      <c r="IPW46" s="125"/>
      <c r="IPX46" s="14"/>
      <c r="IPY46" s="15"/>
      <c r="IPZ46" s="125"/>
      <c r="IQA46" s="125"/>
      <c r="IQB46" s="14"/>
      <c r="IQC46" s="10"/>
      <c r="IQD46" s="125"/>
      <c r="IQE46" s="125"/>
      <c r="IQF46" s="14"/>
      <c r="IQG46" s="15"/>
      <c r="IQH46" s="125"/>
      <c r="IQI46" s="125"/>
      <c r="IQJ46" s="14"/>
      <c r="IQK46" s="15"/>
      <c r="IQL46" s="125"/>
      <c r="IQM46" s="125"/>
      <c r="IQN46" s="14"/>
      <c r="IQO46" s="15"/>
      <c r="IQP46" s="125"/>
      <c r="IQQ46" s="125"/>
      <c r="IQR46" s="14"/>
      <c r="IQS46" s="10"/>
      <c r="IQT46" s="125"/>
      <c r="IQU46" s="125"/>
      <c r="IQV46" s="14"/>
      <c r="IQW46" s="15"/>
      <c r="IQX46" s="125"/>
      <c r="IQY46" s="125"/>
      <c r="IQZ46" s="14"/>
      <c r="IRA46" s="15"/>
      <c r="IRB46" s="125"/>
      <c r="IRC46" s="125"/>
      <c r="IRD46" s="14"/>
      <c r="IRE46" s="15"/>
      <c r="IRF46" s="125"/>
      <c r="IRG46" s="125"/>
      <c r="IRH46" s="14"/>
      <c r="IRI46" s="10"/>
      <c r="IRJ46" s="125"/>
      <c r="IRK46" s="125"/>
      <c r="IRL46" s="14"/>
      <c r="IRM46" s="15"/>
      <c r="IRN46" s="125"/>
      <c r="IRO46" s="125"/>
      <c r="IRP46" s="14"/>
      <c r="IRQ46" s="15"/>
      <c r="IRR46" s="125"/>
      <c r="IRS46" s="125"/>
      <c r="IRT46" s="14"/>
      <c r="IRU46" s="15"/>
      <c r="IRV46" s="125"/>
      <c r="IRW46" s="125"/>
      <c r="IRX46" s="14"/>
      <c r="IRY46" s="10"/>
      <c r="IRZ46" s="125"/>
      <c r="ISA46" s="125"/>
      <c r="ISB46" s="14"/>
      <c r="ISC46" s="15"/>
      <c r="ISD46" s="125"/>
      <c r="ISE46" s="125"/>
      <c r="ISF46" s="14"/>
      <c r="ISG46" s="15"/>
      <c r="ISH46" s="125"/>
      <c r="ISI46" s="125"/>
      <c r="ISJ46" s="14"/>
      <c r="ISK46" s="15"/>
      <c r="ISL46" s="125"/>
      <c r="ISM46" s="125"/>
      <c r="ISN46" s="14"/>
      <c r="ISO46" s="10"/>
      <c r="ISP46" s="125"/>
      <c r="ISQ46" s="125"/>
      <c r="ISR46" s="14"/>
      <c r="ISS46" s="15"/>
      <c r="IST46" s="125"/>
      <c r="ISU46" s="125"/>
      <c r="ISV46" s="14"/>
      <c r="ISW46" s="15"/>
      <c r="ISX46" s="125"/>
      <c r="ISY46" s="125"/>
      <c r="ISZ46" s="14"/>
      <c r="ITA46" s="15"/>
      <c r="ITB46" s="125"/>
      <c r="ITC46" s="125"/>
      <c r="ITD46" s="14"/>
      <c r="ITE46" s="10"/>
      <c r="ITF46" s="125"/>
      <c r="ITG46" s="125"/>
      <c r="ITH46" s="14"/>
      <c r="ITI46" s="15"/>
      <c r="ITJ46" s="125"/>
      <c r="ITK46" s="125"/>
      <c r="ITL46" s="14"/>
      <c r="ITM46" s="15"/>
      <c r="ITN46" s="125"/>
      <c r="ITO46" s="125"/>
      <c r="ITP46" s="14"/>
      <c r="ITQ46" s="15"/>
      <c r="ITR46" s="125"/>
      <c r="ITS46" s="125"/>
      <c r="ITT46" s="14"/>
      <c r="ITU46" s="10"/>
      <c r="ITV46" s="125"/>
      <c r="ITW46" s="125"/>
      <c r="ITX46" s="14"/>
      <c r="ITY46" s="15"/>
      <c r="ITZ46" s="125"/>
      <c r="IUA46" s="125"/>
      <c r="IUB46" s="14"/>
      <c r="IUC46" s="15"/>
      <c r="IUD46" s="125"/>
      <c r="IUE46" s="125"/>
      <c r="IUF46" s="14"/>
      <c r="IUG46" s="15"/>
      <c r="IUH46" s="125"/>
      <c r="IUI46" s="125"/>
      <c r="IUJ46" s="14"/>
      <c r="IUK46" s="10"/>
      <c r="IUL46" s="125"/>
      <c r="IUM46" s="125"/>
      <c r="IUN46" s="14"/>
      <c r="IUO46" s="15"/>
      <c r="IUP46" s="125"/>
      <c r="IUQ46" s="125"/>
      <c r="IUR46" s="14"/>
      <c r="IUS46" s="15"/>
      <c r="IUT46" s="125"/>
      <c r="IUU46" s="125"/>
      <c r="IUV46" s="14"/>
      <c r="IUW46" s="15"/>
      <c r="IUX46" s="125"/>
      <c r="IUY46" s="125"/>
      <c r="IUZ46" s="14"/>
      <c r="IVA46" s="10"/>
      <c r="IVB46" s="125"/>
      <c r="IVC46" s="125"/>
      <c r="IVD46" s="14"/>
      <c r="IVE46" s="15"/>
      <c r="IVF46" s="125"/>
      <c r="IVG46" s="125"/>
      <c r="IVH46" s="14"/>
      <c r="IVI46" s="15"/>
      <c r="IVJ46" s="125"/>
      <c r="IVK46" s="125"/>
      <c r="IVL46" s="14"/>
      <c r="IVM46" s="15"/>
      <c r="IVN46" s="125"/>
      <c r="IVO46" s="125"/>
      <c r="IVP46" s="14"/>
      <c r="IVQ46" s="10"/>
      <c r="IVR46" s="125"/>
      <c r="IVS46" s="125"/>
      <c r="IVT46" s="14"/>
      <c r="IVU46" s="15"/>
      <c r="IVV46" s="125"/>
      <c r="IVW46" s="125"/>
      <c r="IVX46" s="14"/>
      <c r="IVY46" s="15"/>
      <c r="IVZ46" s="125"/>
      <c r="IWA46" s="125"/>
      <c r="IWB46" s="14"/>
      <c r="IWC46" s="15"/>
      <c r="IWD46" s="125"/>
      <c r="IWE46" s="125"/>
      <c r="IWF46" s="14"/>
      <c r="IWG46" s="10"/>
      <c r="IWH46" s="125"/>
      <c r="IWI46" s="125"/>
      <c r="IWJ46" s="14"/>
      <c r="IWK46" s="15"/>
      <c r="IWL46" s="125"/>
      <c r="IWM46" s="125"/>
      <c r="IWN46" s="14"/>
      <c r="IWO46" s="15"/>
      <c r="IWP46" s="125"/>
      <c r="IWQ46" s="125"/>
      <c r="IWR46" s="14"/>
      <c r="IWS46" s="15"/>
      <c r="IWT46" s="125"/>
      <c r="IWU46" s="125"/>
      <c r="IWV46" s="14"/>
      <c r="IWW46" s="10"/>
      <c r="IWX46" s="125"/>
      <c r="IWY46" s="125"/>
      <c r="IWZ46" s="14"/>
      <c r="IXA46" s="15"/>
      <c r="IXB46" s="125"/>
      <c r="IXC46" s="125"/>
      <c r="IXD46" s="14"/>
      <c r="IXE46" s="15"/>
      <c r="IXF46" s="125"/>
      <c r="IXG46" s="125"/>
      <c r="IXH46" s="14"/>
      <c r="IXI46" s="15"/>
      <c r="IXJ46" s="125"/>
      <c r="IXK46" s="125"/>
      <c r="IXL46" s="14"/>
      <c r="IXM46" s="10"/>
      <c r="IXN46" s="125"/>
      <c r="IXO46" s="125"/>
      <c r="IXP46" s="14"/>
      <c r="IXQ46" s="15"/>
      <c r="IXR46" s="125"/>
      <c r="IXS46" s="125"/>
      <c r="IXT46" s="14"/>
      <c r="IXU46" s="15"/>
      <c r="IXV46" s="125"/>
      <c r="IXW46" s="125"/>
      <c r="IXX46" s="14"/>
      <c r="IXY46" s="15"/>
      <c r="IXZ46" s="125"/>
      <c r="IYA46" s="125"/>
      <c r="IYB46" s="14"/>
      <c r="IYC46" s="10"/>
      <c r="IYD46" s="125"/>
      <c r="IYE46" s="125"/>
      <c r="IYF46" s="14"/>
      <c r="IYG46" s="15"/>
      <c r="IYH46" s="125"/>
      <c r="IYI46" s="125"/>
      <c r="IYJ46" s="14"/>
      <c r="IYK46" s="15"/>
      <c r="IYL46" s="125"/>
      <c r="IYM46" s="125"/>
      <c r="IYN46" s="14"/>
      <c r="IYO46" s="15"/>
      <c r="IYP46" s="125"/>
      <c r="IYQ46" s="125"/>
      <c r="IYR46" s="14"/>
      <c r="IYS46" s="10"/>
      <c r="IYT46" s="125"/>
      <c r="IYU46" s="125"/>
      <c r="IYV46" s="14"/>
      <c r="IYW46" s="15"/>
      <c r="IYX46" s="125"/>
      <c r="IYY46" s="125"/>
      <c r="IYZ46" s="14"/>
      <c r="IZA46" s="15"/>
      <c r="IZB46" s="125"/>
      <c r="IZC46" s="125"/>
      <c r="IZD46" s="14"/>
      <c r="IZE46" s="15"/>
      <c r="IZF46" s="125"/>
      <c r="IZG46" s="125"/>
      <c r="IZH46" s="14"/>
      <c r="IZI46" s="10"/>
      <c r="IZJ46" s="125"/>
      <c r="IZK46" s="125"/>
      <c r="IZL46" s="14"/>
      <c r="IZM46" s="15"/>
      <c r="IZN46" s="125"/>
      <c r="IZO46" s="125"/>
      <c r="IZP46" s="14"/>
      <c r="IZQ46" s="15"/>
      <c r="IZR46" s="125"/>
      <c r="IZS46" s="125"/>
      <c r="IZT46" s="14"/>
      <c r="IZU46" s="15"/>
      <c r="IZV46" s="125"/>
      <c r="IZW46" s="125"/>
      <c r="IZX46" s="14"/>
      <c r="IZY46" s="10"/>
      <c r="IZZ46" s="125"/>
      <c r="JAA46" s="125"/>
      <c r="JAB46" s="14"/>
      <c r="JAC46" s="15"/>
      <c r="JAD46" s="125"/>
      <c r="JAE46" s="125"/>
      <c r="JAF46" s="14"/>
      <c r="JAG46" s="15"/>
      <c r="JAH46" s="125"/>
      <c r="JAI46" s="125"/>
      <c r="JAJ46" s="14"/>
      <c r="JAK46" s="15"/>
      <c r="JAL46" s="125"/>
      <c r="JAM46" s="125"/>
      <c r="JAN46" s="14"/>
      <c r="JAO46" s="10"/>
      <c r="JAP46" s="125"/>
      <c r="JAQ46" s="125"/>
      <c r="JAR46" s="14"/>
      <c r="JAS46" s="15"/>
      <c r="JAT46" s="125"/>
      <c r="JAU46" s="125"/>
      <c r="JAV46" s="14"/>
      <c r="JAW46" s="15"/>
      <c r="JAX46" s="125"/>
      <c r="JAY46" s="125"/>
      <c r="JAZ46" s="14"/>
      <c r="JBA46" s="15"/>
      <c r="JBB46" s="125"/>
      <c r="JBC46" s="125"/>
      <c r="JBD46" s="14"/>
      <c r="JBE46" s="10"/>
      <c r="JBF46" s="125"/>
      <c r="JBG46" s="125"/>
      <c r="JBH46" s="14"/>
      <c r="JBI46" s="15"/>
      <c r="JBJ46" s="125"/>
      <c r="JBK46" s="125"/>
      <c r="JBL46" s="14"/>
      <c r="JBM46" s="15"/>
      <c r="JBN46" s="125"/>
      <c r="JBO46" s="125"/>
      <c r="JBP46" s="14"/>
      <c r="JBQ46" s="15"/>
      <c r="JBR46" s="125"/>
      <c r="JBS46" s="125"/>
      <c r="JBT46" s="14"/>
      <c r="JBU46" s="10"/>
      <c r="JBV46" s="125"/>
      <c r="JBW46" s="125"/>
      <c r="JBX46" s="14"/>
      <c r="JBY46" s="15"/>
      <c r="JBZ46" s="125"/>
      <c r="JCA46" s="125"/>
      <c r="JCB46" s="14"/>
      <c r="JCC46" s="15"/>
      <c r="JCD46" s="125"/>
      <c r="JCE46" s="125"/>
      <c r="JCF46" s="14"/>
      <c r="JCG46" s="15"/>
      <c r="JCH46" s="125"/>
      <c r="JCI46" s="125"/>
      <c r="JCJ46" s="14"/>
      <c r="JCK46" s="10"/>
      <c r="JCL46" s="125"/>
      <c r="JCM46" s="125"/>
      <c r="JCN46" s="14"/>
      <c r="JCO46" s="15"/>
      <c r="JCP46" s="125"/>
      <c r="JCQ46" s="125"/>
      <c r="JCR46" s="14"/>
      <c r="JCS46" s="15"/>
      <c r="JCT46" s="125"/>
      <c r="JCU46" s="125"/>
      <c r="JCV46" s="14"/>
      <c r="JCW46" s="15"/>
      <c r="JCX46" s="125"/>
      <c r="JCY46" s="125"/>
      <c r="JCZ46" s="14"/>
      <c r="JDA46" s="10"/>
      <c r="JDB46" s="125"/>
      <c r="JDC46" s="125"/>
      <c r="JDD46" s="14"/>
      <c r="JDE46" s="15"/>
      <c r="JDF46" s="125"/>
      <c r="JDG46" s="125"/>
      <c r="JDH46" s="14"/>
      <c r="JDI46" s="15"/>
      <c r="JDJ46" s="125"/>
      <c r="JDK46" s="125"/>
      <c r="JDL46" s="14"/>
      <c r="JDM46" s="15"/>
      <c r="JDN46" s="125"/>
      <c r="JDO46" s="125"/>
      <c r="JDP46" s="14"/>
      <c r="JDQ46" s="10"/>
      <c r="JDR46" s="125"/>
      <c r="JDS46" s="125"/>
      <c r="JDT46" s="14"/>
      <c r="JDU46" s="15"/>
      <c r="JDV46" s="125"/>
      <c r="JDW46" s="125"/>
      <c r="JDX46" s="14"/>
      <c r="JDY46" s="15"/>
      <c r="JDZ46" s="125"/>
      <c r="JEA46" s="125"/>
      <c r="JEB46" s="14"/>
      <c r="JEC46" s="15"/>
      <c r="JED46" s="125"/>
      <c r="JEE46" s="125"/>
      <c r="JEF46" s="14"/>
      <c r="JEG46" s="10"/>
      <c r="JEH46" s="125"/>
      <c r="JEI46" s="125"/>
      <c r="JEJ46" s="14"/>
      <c r="JEK46" s="15"/>
      <c r="JEL46" s="125"/>
      <c r="JEM46" s="125"/>
      <c r="JEN46" s="14"/>
      <c r="JEO46" s="15"/>
      <c r="JEP46" s="125"/>
      <c r="JEQ46" s="125"/>
      <c r="JER46" s="14"/>
      <c r="JES46" s="15"/>
      <c r="JET46" s="125"/>
      <c r="JEU46" s="125"/>
      <c r="JEV46" s="14"/>
      <c r="JEW46" s="10"/>
      <c r="JEX46" s="125"/>
      <c r="JEY46" s="125"/>
      <c r="JEZ46" s="14"/>
      <c r="JFA46" s="15"/>
      <c r="JFB46" s="125"/>
      <c r="JFC46" s="125"/>
      <c r="JFD46" s="14"/>
      <c r="JFE46" s="15"/>
      <c r="JFF46" s="125"/>
      <c r="JFG46" s="125"/>
      <c r="JFH46" s="14"/>
      <c r="JFI46" s="15"/>
      <c r="JFJ46" s="125"/>
      <c r="JFK46" s="125"/>
      <c r="JFL46" s="14"/>
      <c r="JFM46" s="10"/>
      <c r="JFN46" s="125"/>
      <c r="JFO46" s="125"/>
      <c r="JFP46" s="14"/>
      <c r="JFQ46" s="15"/>
      <c r="JFR46" s="125"/>
      <c r="JFS46" s="125"/>
      <c r="JFT46" s="14"/>
      <c r="JFU46" s="15"/>
      <c r="JFV46" s="125"/>
      <c r="JFW46" s="125"/>
      <c r="JFX46" s="14"/>
      <c r="JFY46" s="15"/>
      <c r="JFZ46" s="125"/>
      <c r="JGA46" s="125"/>
      <c r="JGB46" s="14"/>
      <c r="JGC46" s="10"/>
      <c r="JGD46" s="125"/>
      <c r="JGE46" s="125"/>
      <c r="JGF46" s="14"/>
      <c r="JGG46" s="15"/>
      <c r="JGH46" s="125"/>
      <c r="JGI46" s="125"/>
      <c r="JGJ46" s="14"/>
      <c r="JGK46" s="15"/>
      <c r="JGL46" s="125"/>
      <c r="JGM46" s="125"/>
      <c r="JGN46" s="14"/>
      <c r="JGO46" s="15"/>
      <c r="JGP46" s="125"/>
      <c r="JGQ46" s="125"/>
      <c r="JGR46" s="14"/>
      <c r="JGS46" s="10"/>
      <c r="JGT46" s="125"/>
      <c r="JGU46" s="125"/>
      <c r="JGV46" s="14"/>
      <c r="JGW46" s="15"/>
      <c r="JGX46" s="125"/>
      <c r="JGY46" s="125"/>
      <c r="JGZ46" s="14"/>
      <c r="JHA46" s="15"/>
      <c r="JHB46" s="125"/>
      <c r="JHC46" s="125"/>
      <c r="JHD46" s="14"/>
      <c r="JHE46" s="15"/>
      <c r="JHF46" s="125"/>
      <c r="JHG46" s="125"/>
      <c r="JHH46" s="14"/>
      <c r="JHI46" s="10"/>
      <c r="JHJ46" s="125"/>
      <c r="JHK46" s="125"/>
      <c r="JHL46" s="14"/>
      <c r="JHM46" s="15"/>
      <c r="JHN46" s="125"/>
      <c r="JHO46" s="125"/>
      <c r="JHP46" s="14"/>
      <c r="JHQ46" s="15"/>
      <c r="JHR46" s="125"/>
      <c r="JHS46" s="125"/>
      <c r="JHT46" s="14"/>
      <c r="JHU46" s="15"/>
      <c r="JHV46" s="125"/>
      <c r="JHW46" s="125"/>
      <c r="JHX46" s="14"/>
      <c r="JHY46" s="10"/>
      <c r="JHZ46" s="125"/>
      <c r="JIA46" s="125"/>
      <c r="JIB46" s="14"/>
      <c r="JIC46" s="15"/>
      <c r="JID46" s="125"/>
      <c r="JIE46" s="125"/>
      <c r="JIF46" s="14"/>
      <c r="JIG46" s="15"/>
      <c r="JIH46" s="125"/>
      <c r="JII46" s="125"/>
      <c r="JIJ46" s="14"/>
      <c r="JIK46" s="15"/>
      <c r="JIL46" s="125"/>
      <c r="JIM46" s="125"/>
      <c r="JIN46" s="14"/>
      <c r="JIO46" s="10"/>
      <c r="JIP46" s="125"/>
      <c r="JIQ46" s="125"/>
      <c r="JIR46" s="14"/>
      <c r="JIS46" s="15"/>
      <c r="JIT46" s="125"/>
      <c r="JIU46" s="125"/>
      <c r="JIV46" s="14"/>
      <c r="JIW46" s="15"/>
      <c r="JIX46" s="125"/>
      <c r="JIY46" s="125"/>
      <c r="JIZ46" s="14"/>
      <c r="JJA46" s="15"/>
      <c r="JJB46" s="125"/>
      <c r="JJC46" s="125"/>
      <c r="JJD46" s="14"/>
      <c r="JJE46" s="10"/>
      <c r="JJF46" s="125"/>
      <c r="JJG46" s="125"/>
      <c r="JJH46" s="14"/>
      <c r="JJI46" s="15"/>
      <c r="JJJ46" s="125"/>
      <c r="JJK46" s="125"/>
      <c r="JJL46" s="14"/>
      <c r="JJM46" s="15"/>
      <c r="JJN46" s="125"/>
      <c r="JJO46" s="125"/>
      <c r="JJP46" s="14"/>
      <c r="JJQ46" s="15"/>
      <c r="JJR46" s="125"/>
      <c r="JJS46" s="125"/>
      <c r="JJT46" s="14"/>
      <c r="JJU46" s="10"/>
      <c r="JJV46" s="125"/>
      <c r="JJW46" s="125"/>
      <c r="JJX46" s="14"/>
      <c r="JJY46" s="15"/>
      <c r="JJZ46" s="125"/>
      <c r="JKA46" s="125"/>
      <c r="JKB46" s="14"/>
      <c r="JKC46" s="15"/>
      <c r="JKD46" s="125"/>
      <c r="JKE46" s="125"/>
      <c r="JKF46" s="14"/>
      <c r="JKG46" s="15"/>
      <c r="JKH46" s="125"/>
      <c r="JKI46" s="125"/>
      <c r="JKJ46" s="14"/>
      <c r="JKK46" s="10"/>
      <c r="JKL46" s="125"/>
      <c r="JKM46" s="125"/>
      <c r="JKN46" s="14"/>
      <c r="JKO46" s="15"/>
      <c r="JKP46" s="125"/>
      <c r="JKQ46" s="125"/>
      <c r="JKR46" s="14"/>
      <c r="JKS46" s="15"/>
      <c r="JKT46" s="125"/>
      <c r="JKU46" s="125"/>
      <c r="JKV46" s="14"/>
      <c r="JKW46" s="15"/>
      <c r="JKX46" s="125"/>
      <c r="JKY46" s="125"/>
      <c r="JKZ46" s="14"/>
      <c r="JLA46" s="10"/>
      <c r="JLB46" s="125"/>
      <c r="JLC46" s="125"/>
      <c r="JLD46" s="14"/>
      <c r="JLE46" s="15"/>
      <c r="JLF46" s="125"/>
      <c r="JLG46" s="125"/>
      <c r="JLH46" s="14"/>
      <c r="JLI46" s="15"/>
      <c r="JLJ46" s="125"/>
      <c r="JLK46" s="125"/>
      <c r="JLL46" s="14"/>
      <c r="JLM46" s="15"/>
      <c r="JLN46" s="125"/>
      <c r="JLO46" s="125"/>
      <c r="JLP46" s="14"/>
      <c r="JLQ46" s="10"/>
      <c r="JLR46" s="125"/>
      <c r="JLS46" s="125"/>
      <c r="JLT46" s="14"/>
      <c r="JLU46" s="15"/>
      <c r="JLV46" s="125"/>
      <c r="JLW46" s="125"/>
      <c r="JLX46" s="14"/>
      <c r="JLY46" s="15"/>
      <c r="JLZ46" s="125"/>
      <c r="JMA46" s="125"/>
      <c r="JMB46" s="14"/>
      <c r="JMC46" s="15"/>
      <c r="JMD46" s="125"/>
      <c r="JME46" s="125"/>
      <c r="JMF46" s="14"/>
      <c r="JMG46" s="10"/>
      <c r="JMH46" s="125"/>
      <c r="JMI46" s="125"/>
      <c r="JMJ46" s="14"/>
      <c r="JMK46" s="15"/>
      <c r="JML46" s="125"/>
      <c r="JMM46" s="125"/>
      <c r="JMN46" s="14"/>
      <c r="JMO46" s="15"/>
      <c r="JMP46" s="125"/>
      <c r="JMQ46" s="125"/>
      <c r="JMR46" s="14"/>
      <c r="JMS46" s="15"/>
      <c r="JMT46" s="125"/>
      <c r="JMU46" s="125"/>
      <c r="JMV46" s="14"/>
      <c r="JMW46" s="10"/>
      <c r="JMX46" s="125"/>
      <c r="JMY46" s="125"/>
      <c r="JMZ46" s="14"/>
      <c r="JNA46" s="15"/>
      <c r="JNB46" s="125"/>
      <c r="JNC46" s="125"/>
      <c r="JND46" s="14"/>
      <c r="JNE46" s="15"/>
      <c r="JNF46" s="125"/>
      <c r="JNG46" s="125"/>
      <c r="JNH46" s="14"/>
      <c r="JNI46" s="15"/>
      <c r="JNJ46" s="125"/>
      <c r="JNK46" s="125"/>
      <c r="JNL46" s="14"/>
      <c r="JNM46" s="10"/>
      <c r="JNN46" s="125"/>
      <c r="JNO46" s="125"/>
      <c r="JNP46" s="14"/>
      <c r="JNQ46" s="15"/>
      <c r="JNR46" s="125"/>
      <c r="JNS46" s="125"/>
      <c r="JNT46" s="14"/>
      <c r="JNU46" s="15"/>
      <c r="JNV46" s="125"/>
      <c r="JNW46" s="125"/>
      <c r="JNX46" s="14"/>
      <c r="JNY46" s="15"/>
      <c r="JNZ46" s="125"/>
      <c r="JOA46" s="125"/>
      <c r="JOB46" s="14"/>
      <c r="JOC46" s="10"/>
      <c r="JOD46" s="125"/>
      <c r="JOE46" s="125"/>
      <c r="JOF46" s="14"/>
      <c r="JOG46" s="15"/>
      <c r="JOH46" s="125"/>
      <c r="JOI46" s="125"/>
      <c r="JOJ46" s="14"/>
      <c r="JOK46" s="15"/>
      <c r="JOL46" s="125"/>
      <c r="JOM46" s="125"/>
      <c r="JON46" s="14"/>
      <c r="JOO46" s="15"/>
      <c r="JOP46" s="125"/>
      <c r="JOQ46" s="125"/>
      <c r="JOR46" s="14"/>
      <c r="JOS46" s="10"/>
      <c r="JOT46" s="125"/>
      <c r="JOU46" s="125"/>
      <c r="JOV46" s="14"/>
      <c r="JOW46" s="15"/>
      <c r="JOX46" s="125"/>
      <c r="JOY46" s="125"/>
      <c r="JOZ46" s="14"/>
      <c r="JPA46" s="15"/>
      <c r="JPB46" s="125"/>
      <c r="JPC46" s="125"/>
      <c r="JPD46" s="14"/>
      <c r="JPE46" s="15"/>
      <c r="JPF46" s="125"/>
      <c r="JPG46" s="125"/>
      <c r="JPH46" s="14"/>
      <c r="JPI46" s="10"/>
      <c r="JPJ46" s="125"/>
      <c r="JPK46" s="125"/>
      <c r="JPL46" s="14"/>
      <c r="JPM46" s="15"/>
      <c r="JPN46" s="125"/>
      <c r="JPO46" s="125"/>
      <c r="JPP46" s="14"/>
      <c r="JPQ46" s="15"/>
      <c r="JPR46" s="125"/>
      <c r="JPS46" s="125"/>
      <c r="JPT46" s="14"/>
      <c r="JPU46" s="15"/>
      <c r="JPV46" s="125"/>
      <c r="JPW46" s="125"/>
      <c r="JPX46" s="14"/>
      <c r="JPY46" s="10"/>
      <c r="JPZ46" s="125"/>
      <c r="JQA46" s="125"/>
      <c r="JQB46" s="14"/>
      <c r="JQC46" s="15"/>
      <c r="JQD46" s="125"/>
      <c r="JQE46" s="125"/>
      <c r="JQF46" s="14"/>
      <c r="JQG46" s="15"/>
      <c r="JQH46" s="125"/>
      <c r="JQI46" s="125"/>
      <c r="JQJ46" s="14"/>
      <c r="JQK46" s="15"/>
      <c r="JQL46" s="125"/>
      <c r="JQM46" s="125"/>
      <c r="JQN46" s="14"/>
      <c r="JQO46" s="10"/>
      <c r="JQP46" s="125"/>
      <c r="JQQ46" s="125"/>
      <c r="JQR46" s="14"/>
      <c r="JQS46" s="15"/>
      <c r="JQT46" s="125"/>
      <c r="JQU46" s="125"/>
      <c r="JQV46" s="14"/>
      <c r="JQW46" s="15"/>
      <c r="JQX46" s="125"/>
      <c r="JQY46" s="125"/>
      <c r="JQZ46" s="14"/>
      <c r="JRA46" s="15"/>
      <c r="JRB46" s="125"/>
      <c r="JRC46" s="125"/>
      <c r="JRD46" s="14"/>
      <c r="JRE46" s="10"/>
      <c r="JRF46" s="125"/>
      <c r="JRG46" s="125"/>
      <c r="JRH46" s="14"/>
      <c r="JRI46" s="15"/>
      <c r="JRJ46" s="125"/>
      <c r="JRK46" s="125"/>
      <c r="JRL46" s="14"/>
      <c r="JRM46" s="15"/>
      <c r="JRN46" s="125"/>
      <c r="JRO46" s="125"/>
      <c r="JRP46" s="14"/>
      <c r="JRQ46" s="15"/>
      <c r="JRR46" s="125"/>
      <c r="JRS46" s="125"/>
      <c r="JRT46" s="14"/>
      <c r="JRU46" s="10"/>
      <c r="JRV46" s="125"/>
      <c r="JRW46" s="125"/>
      <c r="JRX46" s="14"/>
      <c r="JRY46" s="15"/>
      <c r="JRZ46" s="125"/>
      <c r="JSA46" s="125"/>
      <c r="JSB46" s="14"/>
      <c r="JSC46" s="15"/>
      <c r="JSD46" s="125"/>
      <c r="JSE46" s="125"/>
      <c r="JSF46" s="14"/>
      <c r="JSG46" s="15"/>
      <c r="JSH46" s="125"/>
      <c r="JSI46" s="125"/>
      <c r="JSJ46" s="14"/>
      <c r="JSK46" s="10"/>
      <c r="JSL46" s="125"/>
      <c r="JSM46" s="125"/>
      <c r="JSN46" s="14"/>
      <c r="JSO46" s="15"/>
      <c r="JSP46" s="125"/>
      <c r="JSQ46" s="125"/>
      <c r="JSR46" s="14"/>
      <c r="JSS46" s="15"/>
      <c r="JST46" s="125"/>
      <c r="JSU46" s="125"/>
      <c r="JSV46" s="14"/>
      <c r="JSW46" s="15"/>
      <c r="JSX46" s="125"/>
      <c r="JSY46" s="125"/>
      <c r="JSZ46" s="14"/>
      <c r="JTA46" s="10"/>
      <c r="JTB46" s="125"/>
      <c r="JTC46" s="125"/>
      <c r="JTD46" s="14"/>
      <c r="JTE46" s="15"/>
      <c r="JTF46" s="125"/>
      <c r="JTG46" s="125"/>
      <c r="JTH46" s="14"/>
      <c r="JTI46" s="15"/>
      <c r="JTJ46" s="125"/>
      <c r="JTK46" s="125"/>
      <c r="JTL46" s="14"/>
      <c r="JTM46" s="15"/>
      <c r="JTN46" s="125"/>
      <c r="JTO46" s="125"/>
      <c r="JTP46" s="14"/>
      <c r="JTQ46" s="10"/>
      <c r="JTR46" s="125"/>
      <c r="JTS46" s="125"/>
      <c r="JTT46" s="14"/>
      <c r="JTU46" s="15"/>
      <c r="JTV46" s="125"/>
      <c r="JTW46" s="125"/>
      <c r="JTX46" s="14"/>
      <c r="JTY46" s="15"/>
      <c r="JTZ46" s="125"/>
      <c r="JUA46" s="125"/>
      <c r="JUB46" s="14"/>
      <c r="JUC46" s="15"/>
      <c r="JUD46" s="125"/>
      <c r="JUE46" s="125"/>
      <c r="JUF46" s="14"/>
      <c r="JUG46" s="10"/>
      <c r="JUH46" s="125"/>
      <c r="JUI46" s="125"/>
      <c r="JUJ46" s="14"/>
      <c r="JUK46" s="15"/>
      <c r="JUL46" s="125"/>
      <c r="JUM46" s="125"/>
      <c r="JUN46" s="14"/>
      <c r="JUO46" s="15"/>
      <c r="JUP46" s="125"/>
      <c r="JUQ46" s="125"/>
      <c r="JUR46" s="14"/>
      <c r="JUS46" s="15"/>
      <c r="JUT46" s="125"/>
      <c r="JUU46" s="125"/>
      <c r="JUV46" s="14"/>
      <c r="JUW46" s="10"/>
      <c r="JUX46" s="125"/>
      <c r="JUY46" s="125"/>
      <c r="JUZ46" s="14"/>
      <c r="JVA46" s="15"/>
      <c r="JVB46" s="125"/>
      <c r="JVC46" s="125"/>
      <c r="JVD46" s="14"/>
      <c r="JVE46" s="15"/>
      <c r="JVF46" s="125"/>
      <c r="JVG46" s="125"/>
      <c r="JVH46" s="14"/>
      <c r="JVI46" s="15"/>
      <c r="JVJ46" s="125"/>
      <c r="JVK46" s="125"/>
      <c r="JVL46" s="14"/>
      <c r="JVM46" s="10"/>
      <c r="JVN46" s="125"/>
      <c r="JVO46" s="125"/>
      <c r="JVP46" s="14"/>
      <c r="JVQ46" s="15"/>
      <c r="JVR46" s="125"/>
      <c r="JVS46" s="125"/>
      <c r="JVT46" s="14"/>
      <c r="JVU46" s="15"/>
      <c r="JVV46" s="125"/>
      <c r="JVW46" s="125"/>
      <c r="JVX46" s="14"/>
      <c r="JVY46" s="15"/>
      <c r="JVZ46" s="125"/>
      <c r="JWA46" s="125"/>
      <c r="JWB46" s="14"/>
      <c r="JWC46" s="10"/>
      <c r="JWD46" s="125"/>
      <c r="JWE46" s="125"/>
      <c r="JWF46" s="14"/>
      <c r="JWG46" s="15"/>
      <c r="JWH46" s="125"/>
      <c r="JWI46" s="125"/>
      <c r="JWJ46" s="14"/>
      <c r="JWK46" s="15"/>
      <c r="JWL46" s="125"/>
      <c r="JWM46" s="125"/>
      <c r="JWN46" s="14"/>
      <c r="JWO46" s="15"/>
      <c r="JWP46" s="125"/>
      <c r="JWQ46" s="125"/>
      <c r="JWR46" s="14"/>
      <c r="JWS46" s="10"/>
      <c r="JWT46" s="125"/>
      <c r="JWU46" s="125"/>
      <c r="JWV46" s="14"/>
      <c r="JWW46" s="15"/>
      <c r="JWX46" s="125"/>
      <c r="JWY46" s="125"/>
      <c r="JWZ46" s="14"/>
      <c r="JXA46" s="15"/>
      <c r="JXB46" s="125"/>
      <c r="JXC46" s="125"/>
      <c r="JXD46" s="14"/>
      <c r="JXE46" s="15"/>
      <c r="JXF46" s="125"/>
      <c r="JXG46" s="125"/>
      <c r="JXH46" s="14"/>
      <c r="JXI46" s="10"/>
      <c r="JXJ46" s="125"/>
      <c r="JXK46" s="125"/>
      <c r="JXL46" s="14"/>
      <c r="JXM46" s="15"/>
      <c r="JXN46" s="125"/>
      <c r="JXO46" s="125"/>
      <c r="JXP46" s="14"/>
      <c r="JXQ46" s="15"/>
      <c r="JXR46" s="125"/>
      <c r="JXS46" s="125"/>
      <c r="JXT46" s="14"/>
      <c r="JXU46" s="15"/>
      <c r="JXV46" s="125"/>
      <c r="JXW46" s="125"/>
      <c r="JXX46" s="14"/>
      <c r="JXY46" s="10"/>
      <c r="JXZ46" s="125"/>
      <c r="JYA46" s="125"/>
      <c r="JYB46" s="14"/>
      <c r="JYC46" s="15"/>
      <c r="JYD46" s="125"/>
      <c r="JYE46" s="125"/>
      <c r="JYF46" s="14"/>
      <c r="JYG46" s="15"/>
      <c r="JYH46" s="125"/>
      <c r="JYI46" s="125"/>
      <c r="JYJ46" s="14"/>
      <c r="JYK46" s="15"/>
      <c r="JYL46" s="125"/>
      <c r="JYM46" s="125"/>
      <c r="JYN46" s="14"/>
      <c r="JYO46" s="10"/>
      <c r="JYP46" s="125"/>
      <c r="JYQ46" s="125"/>
      <c r="JYR46" s="14"/>
      <c r="JYS46" s="15"/>
      <c r="JYT46" s="125"/>
      <c r="JYU46" s="125"/>
      <c r="JYV46" s="14"/>
      <c r="JYW46" s="15"/>
      <c r="JYX46" s="125"/>
      <c r="JYY46" s="125"/>
      <c r="JYZ46" s="14"/>
      <c r="JZA46" s="15"/>
      <c r="JZB46" s="125"/>
      <c r="JZC46" s="125"/>
      <c r="JZD46" s="14"/>
      <c r="JZE46" s="10"/>
      <c r="JZF46" s="125"/>
      <c r="JZG46" s="125"/>
      <c r="JZH46" s="14"/>
      <c r="JZI46" s="15"/>
      <c r="JZJ46" s="125"/>
      <c r="JZK46" s="125"/>
      <c r="JZL46" s="14"/>
      <c r="JZM46" s="15"/>
      <c r="JZN46" s="125"/>
      <c r="JZO46" s="125"/>
      <c r="JZP46" s="14"/>
      <c r="JZQ46" s="15"/>
      <c r="JZR46" s="125"/>
      <c r="JZS46" s="125"/>
      <c r="JZT46" s="14"/>
      <c r="JZU46" s="10"/>
      <c r="JZV46" s="125"/>
      <c r="JZW46" s="125"/>
      <c r="JZX46" s="14"/>
      <c r="JZY46" s="15"/>
      <c r="JZZ46" s="125"/>
      <c r="KAA46" s="125"/>
      <c r="KAB46" s="14"/>
      <c r="KAC46" s="15"/>
      <c r="KAD46" s="125"/>
      <c r="KAE46" s="125"/>
      <c r="KAF46" s="14"/>
      <c r="KAG46" s="15"/>
      <c r="KAH46" s="125"/>
      <c r="KAI46" s="125"/>
      <c r="KAJ46" s="14"/>
      <c r="KAK46" s="10"/>
      <c r="KAL46" s="125"/>
      <c r="KAM46" s="125"/>
      <c r="KAN46" s="14"/>
      <c r="KAO46" s="15"/>
      <c r="KAP46" s="125"/>
      <c r="KAQ46" s="125"/>
      <c r="KAR46" s="14"/>
      <c r="KAS46" s="15"/>
      <c r="KAT46" s="125"/>
      <c r="KAU46" s="125"/>
      <c r="KAV46" s="14"/>
      <c r="KAW46" s="15"/>
      <c r="KAX46" s="125"/>
      <c r="KAY46" s="125"/>
      <c r="KAZ46" s="14"/>
      <c r="KBA46" s="10"/>
      <c r="KBB46" s="125"/>
      <c r="KBC46" s="125"/>
      <c r="KBD46" s="14"/>
      <c r="KBE46" s="15"/>
      <c r="KBF46" s="125"/>
      <c r="KBG46" s="125"/>
      <c r="KBH46" s="14"/>
      <c r="KBI46" s="15"/>
      <c r="KBJ46" s="125"/>
      <c r="KBK46" s="125"/>
      <c r="KBL46" s="14"/>
      <c r="KBM46" s="15"/>
      <c r="KBN46" s="125"/>
      <c r="KBO46" s="125"/>
      <c r="KBP46" s="14"/>
      <c r="KBQ46" s="10"/>
      <c r="KBR46" s="125"/>
      <c r="KBS46" s="125"/>
      <c r="KBT46" s="14"/>
      <c r="KBU46" s="15"/>
      <c r="KBV46" s="125"/>
      <c r="KBW46" s="125"/>
      <c r="KBX46" s="14"/>
      <c r="KBY46" s="15"/>
      <c r="KBZ46" s="125"/>
      <c r="KCA46" s="125"/>
      <c r="KCB46" s="14"/>
      <c r="KCC46" s="15"/>
      <c r="KCD46" s="125"/>
      <c r="KCE46" s="125"/>
      <c r="KCF46" s="14"/>
      <c r="KCG46" s="10"/>
      <c r="KCH46" s="125"/>
      <c r="KCI46" s="125"/>
      <c r="KCJ46" s="14"/>
      <c r="KCK46" s="15"/>
      <c r="KCL46" s="125"/>
      <c r="KCM46" s="125"/>
      <c r="KCN46" s="14"/>
      <c r="KCO46" s="15"/>
      <c r="KCP46" s="125"/>
      <c r="KCQ46" s="125"/>
      <c r="KCR46" s="14"/>
      <c r="KCS46" s="15"/>
      <c r="KCT46" s="125"/>
      <c r="KCU46" s="125"/>
      <c r="KCV46" s="14"/>
      <c r="KCW46" s="10"/>
      <c r="KCX46" s="125"/>
      <c r="KCY46" s="125"/>
      <c r="KCZ46" s="14"/>
      <c r="KDA46" s="15"/>
      <c r="KDB46" s="125"/>
      <c r="KDC46" s="125"/>
      <c r="KDD46" s="14"/>
      <c r="KDE46" s="15"/>
      <c r="KDF46" s="125"/>
      <c r="KDG46" s="125"/>
      <c r="KDH46" s="14"/>
      <c r="KDI46" s="15"/>
      <c r="KDJ46" s="125"/>
      <c r="KDK46" s="125"/>
      <c r="KDL46" s="14"/>
      <c r="KDM46" s="10"/>
      <c r="KDN46" s="125"/>
      <c r="KDO46" s="125"/>
      <c r="KDP46" s="14"/>
      <c r="KDQ46" s="15"/>
      <c r="KDR46" s="125"/>
      <c r="KDS46" s="125"/>
      <c r="KDT46" s="14"/>
      <c r="KDU46" s="15"/>
      <c r="KDV46" s="125"/>
      <c r="KDW46" s="125"/>
      <c r="KDX46" s="14"/>
      <c r="KDY46" s="15"/>
      <c r="KDZ46" s="125"/>
      <c r="KEA46" s="125"/>
      <c r="KEB46" s="14"/>
      <c r="KEC46" s="10"/>
      <c r="KED46" s="125"/>
      <c r="KEE46" s="125"/>
      <c r="KEF46" s="14"/>
      <c r="KEG46" s="15"/>
      <c r="KEH46" s="125"/>
      <c r="KEI46" s="125"/>
      <c r="KEJ46" s="14"/>
      <c r="KEK46" s="15"/>
      <c r="KEL46" s="125"/>
      <c r="KEM46" s="125"/>
      <c r="KEN46" s="14"/>
      <c r="KEO46" s="15"/>
      <c r="KEP46" s="125"/>
      <c r="KEQ46" s="125"/>
      <c r="KER46" s="14"/>
      <c r="KES46" s="10"/>
      <c r="KET46" s="125"/>
      <c r="KEU46" s="125"/>
      <c r="KEV46" s="14"/>
      <c r="KEW46" s="15"/>
      <c r="KEX46" s="125"/>
      <c r="KEY46" s="125"/>
      <c r="KEZ46" s="14"/>
      <c r="KFA46" s="15"/>
      <c r="KFB46" s="125"/>
      <c r="KFC46" s="125"/>
      <c r="KFD46" s="14"/>
      <c r="KFE46" s="15"/>
      <c r="KFF46" s="125"/>
      <c r="KFG46" s="125"/>
      <c r="KFH46" s="14"/>
      <c r="KFI46" s="10"/>
      <c r="KFJ46" s="125"/>
      <c r="KFK46" s="125"/>
      <c r="KFL46" s="14"/>
      <c r="KFM46" s="15"/>
      <c r="KFN46" s="125"/>
      <c r="KFO46" s="125"/>
      <c r="KFP46" s="14"/>
      <c r="KFQ46" s="15"/>
      <c r="KFR46" s="125"/>
      <c r="KFS46" s="125"/>
      <c r="KFT46" s="14"/>
      <c r="KFU46" s="15"/>
      <c r="KFV46" s="125"/>
      <c r="KFW46" s="125"/>
      <c r="KFX46" s="14"/>
      <c r="KFY46" s="10"/>
      <c r="KFZ46" s="125"/>
      <c r="KGA46" s="125"/>
      <c r="KGB46" s="14"/>
      <c r="KGC46" s="15"/>
      <c r="KGD46" s="125"/>
      <c r="KGE46" s="125"/>
      <c r="KGF46" s="14"/>
      <c r="KGG46" s="15"/>
      <c r="KGH46" s="125"/>
      <c r="KGI46" s="125"/>
      <c r="KGJ46" s="14"/>
      <c r="KGK46" s="15"/>
      <c r="KGL46" s="125"/>
      <c r="KGM46" s="125"/>
      <c r="KGN46" s="14"/>
      <c r="KGO46" s="10"/>
      <c r="KGP46" s="125"/>
      <c r="KGQ46" s="125"/>
      <c r="KGR46" s="14"/>
      <c r="KGS46" s="15"/>
      <c r="KGT46" s="125"/>
      <c r="KGU46" s="125"/>
      <c r="KGV46" s="14"/>
      <c r="KGW46" s="15"/>
      <c r="KGX46" s="125"/>
      <c r="KGY46" s="125"/>
      <c r="KGZ46" s="14"/>
      <c r="KHA46" s="15"/>
      <c r="KHB46" s="125"/>
      <c r="KHC46" s="125"/>
      <c r="KHD46" s="14"/>
      <c r="KHE46" s="10"/>
      <c r="KHF46" s="125"/>
      <c r="KHG46" s="125"/>
      <c r="KHH46" s="14"/>
      <c r="KHI46" s="15"/>
      <c r="KHJ46" s="125"/>
      <c r="KHK46" s="125"/>
      <c r="KHL46" s="14"/>
      <c r="KHM46" s="15"/>
      <c r="KHN46" s="125"/>
      <c r="KHO46" s="125"/>
      <c r="KHP46" s="14"/>
      <c r="KHQ46" s="15"/>
      <c r="KHR46" s="125"/>
      <c r="KHS46" s="125"/>
      <c r="KHT46" s="14"/>
      <c r="KHU46" s="10"/>
      <c r="KHV46" s="125"/>
      <c r="KHW46" s="125"/>
      <c r="KHX46" s="14"/>
      <c r="KHY46" s="15"/>
      <c r="KHZ46" s="125"/>
      <c r="KIA46" s="125"/>
      <c r="KIB46" s="14"/>
      <c r="KIC46" s="15"/>
      <c r="KID46" s="125"/>
      <c r="KIE46" s="125"/>
      <c r="KIF46" s="14"/>
      <c r="KIG46" s="15"/>
      <c r="KIH46" s="125"/>
      <c r="KII46" s="125"/>
      <c r="KIJ46" s="14"/>
      <c r="KIK46" s="10"/>
      <c r="KIL46" s="125"/>
      <c r="KIM46" s="125"/>
      <c r="KIN46" s="14"/>
      <c r="KIO46" s="15"/>
      <c r="KIP46" s="125"/>
      <c r="KIQ46" s="125"/>
      <c r="KIR46" s="14"/>
      <c r="KIS46" s="15"/>
      <c r="KIT46" s="125"/>
      <c r="KIU46" s="125"/>
      <c r="KIV46" s="14"/>
      <c r="KIW46" s="15"/>
      <c r="KIX46" s="125"/>
      <c r="KIY46" s="125"/>
      <c r="KIZ46" s="14"/>
      <c r="KJA46" s="10"/>
      <c r="KJB46" s="125"/>
      <c r="KJC46" s="125"/>
      <c r="KJD46" s="14"/>
      <c r="KJE46" s="15"/>
      <c r="KJF46" s="125"/>
      <c r="KJG46" s="125"/>
      <c r="KJH46" s="14"/>
      <c r="KJI46" s="15"/>
      <c r="KJJ46" s="125"/>
      <c r="KJK46" s="125"/>
      <c r="KJL46" s="14"/>
      <c r="KJM46" s="15"/>
      <c r="KJN46" s="125"/>
      <c r="KJO46" s="125"/>
      <c r="KJP46" s="14"/>
      <c r="KJQ46" s="10"/>
      <c r="KJR46" s="125"/>
      <c r="KJS46" s="125"/>
      <c r="KJT46" s="14"/>
      <c r="KJU46" s="15"/>
      <c r="KJV46" s="125"/>
      <c r="KJW46" s="125"/>
      <c r="KJX46" s="14"/>
      <c r="KJY46" s="15"/>
      <c r="KJZ46" s="125"/>
      <c r="KKA46" s="125"/>
      <c r="KKB46" s="14"/>
      <c r="KKC46" s="15"/>
      <c r="KKD46" s="125"/>
      <c r="KKE46" s="125"/>
      <c r="KKF46" s="14"/>
      <c r="KKG46" s="10"/>
      <c r="KKH46" s="125"/>
      <c r="KKI46" s="125"/>
      <c r="KKJ46" s="14"/>
      <c r="KKK46" s="15"/>
      <c r="KKL46" s="125"/>
      <c r="KKM46" s="125"/>
      <c r="KKN46" s="14"/>
      <c r="KKO46" s="15"/>
      <c r="KKP46" s="125"/>
      <c r="KKQ46" s="125"/>
      <c r="KKR46" s="14"/>
      <c r="KKS46" s="15"/>
      <c r="KKT46" s="125"/>
      <c r="KKU46" s="125"/>
      <c r="KKV46" s="14"/>
      <c r="KKW46" s="10"/>
      <c r="KKX46" s="125"/>
      <c r="KKY46" s="125"/>
      <c r="KKZ46" s="14"/>
      <c r="KLA46" s="15"/>
      <c r="KLB46" s="125"/>
      <c r="KLC46" s="125"/>
      <c r="KLD46" s="14"/>
      <c r="KLE46" s="15"/>
      <c r="KLF46" s="125"/>
      <c r="KLG46" s="125"/>
      <c r="KLH46" s="14"/>
      <c r="KLI46" s="15"/>
      <c r="KLJ46" s="125"/>
      <c r="KLK46" s="125"/>
      <c r="KLL46" s="14"/>
      <c r="KLM46" s="10"/>
      <c r="KLN46" s="125"/>
      <c r="KLO46" s="125"/>
      <c r="KLP46" s="14"/>
      <c r="KLQ46" s="15"/>
      <c r="KLR46" s="125"/>
      <c r="KLS46" s="125"/>
      <c r="KLT46" s="14"/>
      <c r="KLU46" s="15"/>
      <c r="KLV46" s="125"/>
      <c r="KLW46" s="125"/>
      <c r="KLX46" s="14"/>
      <c r="KLY46" s="15"/>
      <c r="KLZ46" s="125"/>
      <c r="KMA46" s="125"/>
      <c r="KMB46" s="14"/>
      <c r="KMC46" s="10"/>
      <c r="KMD46" s="125"/>
      <c r="KME46" s="125"/>
      <c r="KMF46" s="14"/>
      <c r="KMG46" s="15"/>
      <c r="KMH46" s="125"/>
      <c r="KMI46" s="125"/>
      <c r="KMJ46" s="14"/>
      <c r="KMK46" s="15"/>
      <c r="KML46" s="125"/>
      <c r="KMM46" s="125"/>
      <c r="KMN46" s="14"/>
      <c r="KMO46" s="15"/>
      <c r="KMP46" s="125"/>
      <c r="KMQ46" s="125"/>
      <c r="KMR46" s="14"/>
      <c r="KMS46" s="10"/>
      <c r="KMT46" s="125"/>
      <c r="KMU46" s="125"/>
      <c r="KMV46" s="14"/>
      <c r="KMW46" s="15"/>
      <c r="KMX46" s="125"/>
      <c r="KMY46" s="125"/>
      <c r="KMZ46" s="14"/>
      <c r="KNA46" s="15"/>
      <c r="KNB46" s="125"/>
      <c r="KNC46" s="125"/>
      <c r="KND46" s="14"/>
      <c r="KNE46" s="15"/>
      <c r="KNF46" s="125"/>
      <c r="KNG46" s="125"/>
      <c r="KNH46" s="14"/>
      <c r="KNI46" s="10"/>
      <c r="KNJ46" s="125"/>
      <c r="KNK46" s="125"/>
      <c r="KNL46" s="14"/>
      <c r="KNM46" s="15"/>
      <c r="KNN46" s="125"/>
      <c r="KNO46" s="125"/>
      <c r="KNP46" s="14"/>
      <c r="KNQ46" s="15"/>
      <c r="KNR46" s="125"/>
      <c r="KNS46" s="125"/>
      <c r="KNT46" s="14"/>
      <c r="KNU46" s="15"/>
      <c r="KNV46" s="125"/>
      <c r="KNW46" s="125"/>
      <c r="KNX46" s="14"/>
      <c r="KNY46" s="10"/>
      <c r="KNZ46" s="125"/>
      <c r="KOA46" s="125"/>
      <c r="KOB46" s="14"/>
      <c r="KOC46" s="15"/>
      <c r="KOD46" s="125"/>
      <c r="KOE46" s="125"/>
      <c r="KOF46" s="14"/>
      <c r="KOG46" s="15"/>
      <c r="KOH46" s="125"/>
      <c r="KOI46" s="125"/>
      <c r="KOJ46" s="14"/>
      <c r="KOK46" s="15"/>
      <c r="KOL46" s="125"/>
      <c r="KOM46" s="125"/>
      <c r="KON46" s="14"/>
      <c r="KOO46" s="10"/>
      <c r="KOP46" s="125"/>
      <c r="KOQ46" s="125"/>
      <c r="KOR46" s="14"/>
      <c r="KOS46" s="15"/>
      <c r="KOT46" s="125"/>
      <c r="KOU46" s="125"/>
      <c r="KOV46" s="14"/>
      <c r="KOW46" s="15"/>
      <c r="KOX46" s="125"/>
      <c r="KOY46" s="125"/>
      <c r="KOZ46" s="14"/>
      <c r="KPA46" s="15"/>
      <c r="KPB46" s="125"/>
      <c r="KPC46" s="125"/>
      <c r="KPD46" s="14"/>
      <c r="KPE46" s="10"/>
      <c r="KPF46" s="125"/>
      <c r="KPG46" s="125"/>
      <c r="KPH46" s="14"/>
      <c r="KPI46" s="15"/>
      <c r="KPJ46" s="125"/>
      <c r="KPK46" s="125"/>
      <c r="KPL46" s="14"/>
      <c r="KPM46" s="15"/>
      <c r="KPN46" s="125"/>
      <c r="KPO46" s="125"/>
      <c r="KPP46" s="14"/>
      <c r="KPQ46" s="15"/>
      <c r="KPR46" s="125"/>
      <c r="KPS46" s="125"/>
      <c r="KPT46" s="14"/>
      <c r="KPU46" s="10"/>
      <c r="KPV46" s="125"/>
      <c r="KPW46" s="125"/>
      <c r="KPX46" s="14"/>
      <c r="KPY46" s="15"/>
      <c r="KPZ46" s="125"/>
      <c r="KQA46" s="125"/>
      <c r="KQB46" s="14"/>
      <c r="KQC46" s="15"/>
      <c r="KQD46" s="125"/>
      <c r="KQE46" s="125"/>
      <c r="KQF46" s="14"/>
      <c r="KQG46" s="15"/>
      <c r="KQH46" s="125"/>
      <c r="KQI46" s="125"/>
      <c r="KQJ46" s="14"/>
      <c r="KQK46" s="10"/>
      <c r="KQL46" s="125"/>
      <c r="KQM46" s="125"/>
      <c r="KQN46" s="14"/>
      <c r="KQO46" s="15"/>
      <c r="KQP46" s="125"/>
      <c r="KQQ46" s="125"/>
      <c r="KQR46" s="14"/>
      <c r="KQS46" s="15"/>
      <c r="KQT46" s="125"/>
      <c r="KQU46" s="125"/>
      <c r="KQV46" s="14"/>
      <c r="KQW46" s="15"/>
      <c r="KQX46" s="125"/>
      <c r="KQY46" s="125"/>
      <c r="KQZ46" s="14"/>
      <c r="KRA46" s="10"/>
      <c r="KRB46" s="125"/>
      <c r="KRC46" s="125"/>
      <c r="KRD46" s="14"/>
      <c r="KRE46" s="15"/>
      <c r="KRF46" s="125"/>
      <c r="KRG46" s="125"/>
      <c r="KRH46" s="14"/>
      <c r="KRI46" s="15"/>
      <c r="KRJ46" s="125"/>
      <c r="KRK46" s="125"/>
      <c r="KRL46" s="14"/>
      <c r="KRM46" s="15"/>
      <c r="KRN46" s="125"/>
      <c r="KRO46" s="125"/>
      <c r="KRP46" s="14"/>
      <c r="KRQ46" s="10"/>
      <c r="KRR46" s="125"/>
      <c r="KRS46" s="125"/>
      <c r="KRT46" s="14"/>
      <c r="KRU46" s="15"/>
      <c r="KRV46" s="125"/>
      <c r="KRW46" s="125"/>
      <c r="KRX46" s="14"/>
      <c r="KRY46" s="15"/>
      <c r="KRZ46" s="125"/>
      <c r="KSA46" s="125"/>
      <c r="KSB46" s="14"/>
      <c r="KSC46" s="15"/>
      <c r="KSD46" s="125"/>
      <c r="KSE46" s="125"/>
      <c r="KSF46" s="14"/>
      <c r="KSG46" s="10"/>
      <c r="KSH46" s="125"/>
      <c r="KSI46" s="125"/>
      <c r="KSJ46" s="14"/>
      <c r="KSK46" s="15"/>
      <c r="KSL46" s="125"/>
      <c r="KSM46" s="125"/>
      <c r="KSN46" s="14"/>
      <c r="KSO46" s="15"/>
      <c r="KSP46" s="125"/>
      <c r="KSQ46" s="125"/>
      <c r="KSR46" s="14"/>
      <c r="KSS46" s="15"/>
      <c r="KST46" s="125"/>
      <c r="KSU46" s="125"/>
      <c r="KSV46" s="14"/>
      <c r="KSW46" s="10"/>
      <c r="KSX46" s="125"/>
      <c r="KSY46" s="125"/>
      <c r="KSZ46" s="14"/>
      <c r="KTA46" s="15"/>
      <c r="KTB46" s="125"/>
      <c r="KTC46" s="125"/>
      <c r="KTD46" s="14"/>
      <c r="KTE46" s="15"/>
      <c r="KTF46" s="125"/>
      <c r="KTG46" s="125"/>
      <c r="KTH46" s="14"/>
      <c r="KTI46" s="15"/>
      <c r="KTJ46" s="125"/>
      <c r="KTK46" s="125"/>
      <c r="KTL46" s="14"/>
      <c r="KTM46" s="10"/>
      <c r="KTN46" s="125"/>
      <c r="KTO46" s="125"/>
      <c r="KTP46" s="14"/>
      <c r="KTQ46" s="15"/>
      <c r="KTR46" s="125"/>
      <c r="KTS46" s="125"/>
      <c r="KTT46" s="14"/>
      <c r="KTU46" s="15"/>
      <c r="KTV46" s="125"/>
      <c r="KTW46" s="125"/>
      <c r="KTX46" s="14"/>
      <c r="KTY46" s="15"/>
      <c r="KTZ46" s="125"/>
      <c r="KUA46" s="125"/>
      <c r="KUB46" s="14"/>
      <c r="KUC46" s="10"/>
      <c r="KUD46" s="125"/>
      <c r="KUE46" s="125"/>
      <c r="KUF46" s="14"/>
      <c r="KUG46" s="15"/>
      <c r="KUH46" s="125"/>
      <c r="KUI46" s="125"/>
      <c r="KUJ46" s="14"/>
      <c r="KUK46" s="15"/>
      <c r="KUL46" s="125"/>
      <c r="KUM46" s="125"/>
      <c r="KUN46" s="14"/>
      <c r="KUO46" s="15"/>
      <c r="KUP46" s="125"/>
      <c r="KUQ46" s="125"/>
      <c r="KUR46" s="14"/>
      <c r="KUS46" s="10"/>
      <c r="KUT46" s="125"/>
      <c r="KUU46" s="125"/>
      <c r="KUV46" s="14"/>
      <c r="KUW46" s="15"/>
      <c r="KUX46" s="125"/>
      <c r="KUY46" s="125"/>
      <c r="KUZ46" s="14"/>
      <c r="KVA46" s="15"/>
      <c r="KVB46" s="125"/>
      <c r="KVC46" s="125"/>
      <c r="KVD46" s="14"/>
      <c r="KVE46" s="15"/>
      <c r="KVF46" s="125"/>
      <c r="KVG46" s="125"/>
      <c r="KVH46" s="14"/>
      <c r="KVI46" s="10"/>
      <c r="KVJ46" s="125"/>
      <c r="KVK46" s="125"/>
      <c r="KVL46" s="14"/>
      <c r="KVM46" s="15"/>
      <c r="KVN46" s="125"/>
      <c r="KVO46" s="125"/>
      <c r="KVP46" s="14"/>
      <c r="KVQ46" s="15"/>
      <c r="KVR46" s="125"/>
      <c r="KVS46" s="125"/>
      <c r="KVT46" s="14"/>
      <c r="KVU46" s="15"/>
      <c r="KVV46" s="125"/>
      <c r="KVW46" s="125"/>
      <c r="KVX46" s="14"/>
      <c r="KVY46" s="10"/>
      <c r="KVZ46" s="125"/>
      <c r="KWA46" s="125"/>
      <c r="KWB46" s="14"/>
      <c r="KWC46" s="15"/>
      <c r="KWD46" s="125"/>
      <c r="KWE46" s="125"/>
      <c r="KWF46" s="14"/>
      <c r="KWG46" s="15"/>
      <c r="KWH46" s="125"/>
      <c r="KWI46" s="125"/>
      <c r="KWJ46" s="14"/>
      <c r="KWK46" s="15"/>
      <c r="KWL46" s="125"/>
      <c r="KWM46" s="125"/>
      <c r="KWN46" s="14"/>
      <c r="KWO46" s="10"/>
      <c r="KWP46" s="125"/>
      <c r="KWQ46" s="125"/>
      <c r="KWR46" s="14"/>
      <c r="KWS46" s="15"/>
      <c r="KWT46" s="125"/>
      <c r="KWU46" s="125"/>
      <c r="KWV46" s="14"/>
      <c r="KWW46" s="15"/>
      <c r="KWX46" s="125"/>
      <c r="KWY46" s="125"/>
      <c r="KWZ46" s="14"/>
      <c r="KXA46" s="15"/>
      <c r="KXB46" s="125"/>
      <c r="KXC46" s="125"/>
      <c r="KXD46" s="14"/>
      <c r="KXE46" s="10"/>
      <c r="KXF46" s="125"/>
      <c r="KXG46" s="125"/>
      <c r="KXH46" s="14"/>
      <c r="KXI46" s="15"/>
      <c r="KXJ46" s="125"/>
      <c r="KXK46" s="125"/>
      <c r="KXL46" s="14"/>
      <c r="KXM46" s="15"/>
      <c r="KXN46" s="125"/>
      <c r="KXO46" s="125"/>
      <c r="KXP46" s="14"/>
      <c r="KXQ46" s="15"/>
      <c r="KXR46" s="125"/>
      <c r="KXS46" s="125"/>
      <c r="KXT46" s="14"/>
      <c r="KXU46" s="10"/>
      <c r="KXV46" s="125"/>
      <c r="KXW46" s="125"/>
      <c r="KXX46" s="14"/>
      <c r="KXY46" s="15"/>
      <c r="KXZ46" s="125"/>
      <c r="KYA46" s="125"/>
      <c r="KYB46" s="14"/>
      <c r="KYC46" s="15"/>
      <c r="KYD46" s="125"/>
      <c r="KYE46" s="125"/>
      <c r="KYF46" s="14"/>
      <c r="KYG46" s="15"/>
      <c r="KYH46" s="125"/>
      <c r="KYI46" s="125"/>
      <c r="KYJ46" s="14"/>
      <c r="KYK46" s="10"/>
      <c r="KYL46" s="125"/>
      <c r="KYM46" s="125"/>
      <c r="KYN46" s="14"/>
      <c r="KYO46" s="15"/>
      <c r="KYP46" s="125"/>
      <c r="KYQ46" s="125"/>
      <c r="KYR46" s="14"/>
      <c r="KYS46" s="15"/>
      <c r="KYT46" s="125"/>
      <c r="KYU46" s="125"/>
      <c r="KYV46" s="14"/>
      <c r="KYW46" s="15"/>
      <c r="KYX46" s="125"/>
      <c r="KYY46" s="125"/>
      <c r="KYZ46" s="14"/>
      <c r="KZA46" s="10"/>
      <c r="KZB46" s="125"/>
      <c r="KZC46" s="125"/>
      <c r="KZD46" s="14"/>
      <c r="KZE46" s="15"/>
      <c r="KZF46" s="125"/>
      <c r="KZG46" s="125"/>
      <c r="KZH46" s="14"/>
      <c r="KZI46" s="15"/>
      <c r="KZJ46" s="125"/>
      <c r="KZK46" s="125"/>
      <c r="KZL46" s="14"/>
      <c r="KZM46" s="15"/>
      <c r="KZN46" s="125"/>
      <c r="KZO46" s="125"/>
      <c r="KZP46" s="14"/>
      <c r="KZQ46" s="10"/>
      <c r="KZR46" s="125"/>
      <c r="KZS46" s="125"/>
      <c r="KZT46" s="14"/>
      <c r="KZU46" s="15"/>
      <c r="KZV46" s="125"/>
      <c r="KZW46" s="125"/>
      <c r="KZX46" s="14"/>
      <c r="KZY46" s="15"/>
      <c r="KZZ46" s="125"/>
      <c r="LAA46" s="125"/>
      <c r="LAB46" s="14"/>
      <c r="LAC46" s="15"/>
      <c r="LAD46" s="125"/>
      <c r="LAE46" s="125"/>
      <c r="LAF46" s="14"/>
      <c r="LAG46" s="10"/>
      <c r="LAH46" s="125"/>
      <c r="LAI46" s="125"/>
      <c r="LAJ46" s="14"/>
      <c r="LAK46" s="15"/>
      <c r="LAL46" s="125"/>
      <c r="LAM46" s="125"/>
      <c r="LAN46" s="14"/>
      <c r="LAO46" s="15"/>
      <c r="LAP46" s="125"/>
      <c r="LAQ46" s="125"/>
      <c r="LAR46" s="14"/>
      <c r="LAS46" s="15"/>
      <c r="LAT46" s="125"/>
      <c r="LAU46" s="125"/>
      <c r="LAV46" s="14"/>
      <c r="LAW46" s="10"/>
      <c r="LAX46" s="125"/>
      <c r="LAY46" s="125"/>
      <c r="LAZ46" s="14"/>
      <c r="LBA46" s="15"/>
      <c r="LBB46" s="125"/>
      <c r="LBC46" s="125"/>
      <c r="LBD46" s="14"/>
      <c r="LBE46" s="15"/>
      <c r="LBF46" s="125"/>
      <c r="LBG46" s="125"/>
      <c r="LBH46" s="14"/>
      <c r="LBI46" s="15"/>
      <c r="LBJ46" s="125"/>
      <c r="LBK46" s="125"/>
      <c r="LBL46" s="14"/>
      <c r="LBM46" s="10"/>
      <c r="LBN46" s="125"/>
      <c r="LBO46" s="125"/>
      <c r="LBP46" s="14"/>
      <c r="LBQ46" s="15"/>
      <c r="LBR46" s="125"/>
      <c r="LBS46" s="125"/>
      <c r="LBT46" s="14"/>
      <c r="LBU46" s="15"/>
      <c r="LBV46" s="125"/>
      <c r="LBW46" s="125"/>
      <c r="LBX46" s="14"/>
      <c r="LBY46" s="15"/>
      <c r="LBZ46" s="125"/>
      <c r="LCA46" s="125"/>
      <c r="LCB46" s="14"/>
      <c r="LCC46" s="10"/>
      <c r="LCD46" s="125"/>
      <c r="LCE46" s="125"/>
      <c r="LCF46" s="14"/>
      <c r="LCG46" s="15"/>
      <c r="LCH46" s="125"/>
      <c r="LCI46" s="125"/>
      <c r="LCJ46" s="14"/>
      <c r="LCK46" s="15"/>
      <c r="LCL46" s="125"/>
      <c r="LCM46" s="125"/>
      <c r="LCN46" s="14"/>
      <c r="LCO46" s="15"/>
      <c r="LCP46" s="125"/>
      <c r="LCQ46" s="125"/>
      <c r="LCR46" s="14"/>
      <c r="LCS46" s="10"/>
      <c r="LCT46" s="125"/>
      <c r="LCU46" s="125"/>
      <c r="LCV46" s="14"/>
      <c r="LCW46" s="15"/>
      <c r="LCX46" s="125"/>
      <c r="LCY46" s="125"/>
      <c r="LCZ46" s="14"/>
      <c r="LDA46" s="15"/>
      <c r="LDB46" s="125"/>
      <c r="LDC46" s="125"/>
      <c r="LDD46" s="14"/>
      <c r="LDE46" s="15"/>
      <c r="LDF46" s="125"/>
      <c r="LDG46" s="125"/>
      <c r="LDH46" s="14"/>
      <c r="LDI46" s="10"/>
      <c r="LDJ46" s="125"/>
      <c r="LDK46" s="125"/>
      <c r="LDL46" s="14"/>
      <c r="LDM46" s="15"/>
      <c r="LDN46" s="125"/>
      <c r="LDO46" s="125"/>
      <c r="LDP46" s="14"/>
      <c r="LDQ46" s="15"/>
      <c r="LDR46" s="125"/>
      <c r="LDS46" s="125"/>
      <c r="LDT46" s="14"/>
      <c r="LDU46" s="15"/>
      <c r="LDV46" s="125"/>
      <c r="LDW46" s="125"/>
      <c r="LDX46" s="14"/>
      <c r="LDY46" s="10"/>
      <c r="LDZ46" s="125"/>
      <c r="LEA46" s="125"/>
      <c r="LEB46" s="14"/>
      <c r="LEC46" s="15"/>
      <c r="LED46" s="125"/>
      <c r="LEE46" s="125"/>
      <c r="LEF46" s="14"/>
      <c r="LEG46" s="15"/>
      <c r="LEH46" s="125"/>
      <c r="LEI46" s="125"/>
      <c r="LEJ46" s="14"/>
      <c r="LEK46" s="15"/>
      <c r="LEL46" s="125"/>
      <c r="LEM46" s="125"/>
      <c r="LEN46" s="14"/>
      <c r="LEO46" s="10"/>
      <c r="LEP46" s="125"/>
      <c r="LEQ46" s="125"/>
      <c r="LER46" s="14"/>
      <c r="LES46" s="15"/>
      <c r="LET46" s="125"/>
      <c r="LEU46" s="125"/>
      <c r="LEV46" s="14"/>
      <c r="LEW46" s="15"/>
      <c r="LEX46" s="125"/>
      <c r="LEY46" s="125"/>
      <c r="LEZ46" s="14"/>
      <c r="LFA46" s="15"/>
      <c r="LFB46" s="125"/>
      <c r="LFC46" s="125"/>
      <c r="LFD46" s="14"/>
      <c r="LFE46" s="10"/>
      <c r="LFF46" s="125"/>
      <c r="LFG46" s="125"/>
      <c r="LFH46" s="14"/>
      <c r="LFI46" s="15"/>
      <c r="LFJ46" s="125"/>
      <c r="LFK46" s="125"/>
      <c r="LFL46" s="14"/>
      <c r="LFM46" s="15"/>
      <c r="LFN46" s="125"/>
      <c r="LFO46" s="125"/>
      <c r="LFP46" s="14"/>
      <c r="LFQ46" s="15"/>
      <c r="LFR46" s="125"/>
      <c r="LFS46" s="125"/>
      <c r="LFT46" s="14"/>
      <c r="LFU46" s="10"/>
      <c r="LFV46" s="125"/>
      <c r="LFW46" s="125"/>
      <c r="LFX46" s="14"/>
      <c r="LFY46" s="15"/>
      <c r="LFZ46" s="125"/>
      <c r="LGA46" s="125"/>
      <c r="LGB46" s="14"/>
      <c r="LGC46" s="15"/>
      <c r="LGD46" s="125"/>
      <c r="LGE46" s="125"/>
      <c r="LGF46" s="14"/>
      <c r="LGG46" s="15"/>
      <c r="LGH46" s="125"/>
      <c r="LGI46" s="125"/>
      <c r="LGJ46" s="14"/>
      <c r="LGK46" s="10"/>
      <c r="LGL46" s="125"/>
      <c r="LGM46" s="125"/>
      <c r="LGN46" s="14"/>
      <c r="LGO46" s="15"/>
      <c r="LGP46" s="125"/>
      <c r="LGQ46" s="125"/>
      <c r="LGR46" s="14"/>
      <c r="LGS46" s="15"/>
      <c r="LGT46" s="125"/>
      <c r="LGU46" s="125"/>
      <c r="LGV46" s="14"/>
      <c r="LGW46" s="15"/>
      <c r="LGX46" s="125"/>
      <c r="LGY46" s="125"/>
      <c r="LGZ46" s="14"/>
      <c r="LHA46" s="10"/>
      <c r="LHB46" s="125"/>
      <c r="LHC46" s="125"/>
      <c r="LHD46" s="14"/>
      <c r="LHE46" s="15"/>
      <c r="LHF46" s="125"/>
      <c r="LHG46" s="125"/>
      <c r="LHH46" s="14"/>
      <c r="LHI46" s="15"/>
      <c r="LHJ46" s="125"/>
      <c r="LHK46" s="125"/>
      <c r="LHL46" s="14"/>
      <c r="LHM46" s="15"/>
      <c r="LHN46" s="125"/>
      <c r="LHO46" s="125"/>
      <c r="LHP46" s="14"/>
      <c r="LHQ46" s="10"/>
      <c r="LHR46" s="125"/>
      <c r="LHS46" s="125"/>
      <c r="LHT46" s="14"/>
      <c r="LHU46" s="15"/>
      <c r="LHV46" s="125"/>
      <c r="LHW46" s="125"/>
      <c r="LHX46" s="14"/>
      <c r="LHY46" s="15"/>
      <c r="LHZ46" s="125"/>
      <c r="LIA46" s="125"/>
      <c r="LIB46" s="14"/>
      <c r="LIC46" s="15"/>
      <c r="LID46" s="125"/>
      <c r="LIE46" s="125"/>
      <c r="LIF46" s="14"/>
      <c r="LIG46" s="10"/>
      <c r="LIH46" s="125"/>
      <c r="LII46" s="125"/>
      <c r="LIJ46" s="14"/>
      <c r="LIK46" s="15"/>
      <c r="LIL46" s="125"/>
      <c r="LIM46" s="125"/>
      <c r="LIN46" s="14"/>
      <c r="LIO46" s="15"/>
      <c r="LIP46" s="125"/>
      <c r="LIQ46" s="125"/>
      <c r="LIR46" s="14"/>
      <c r="LIS46" s="15"/>
      <c r="LIT46" s="125"/>
      <c r="LIU46" s="125"/>
      <c r="LIV46" s="14"/>
      <c r="LIW46" s="10"/>
      <c r="LIX46" s="125"/>
      <c r="LIY46" s="125"/>
      <c r="LIZ46" s="14"/>
      <c r="LJA46" s="15"/>
      <c r="LJB46" s="125"/>
      <c r="LJC46" s="125"/>
      <c r="LJD46" s="14"/>
      <c r="LJE46" s="15"/>
      <c r="LJF46" s="125"/>
      <c r="LJG46" s="125"/>
      <c r="LJH46" s="14"/>
      <c r="LJI46" s="15"/>
      <c r="LJJ46" s="125"/>
      <c r="LJK46" s="125"/>
      <c r="LJL46" s="14"/>
      <c r="LJM46" s="10"/>
      <c r="LJN46" s="125"/>
      <c r="LJO46" s="125"/>
      <c r="LJP46" s="14"/>
      <c r="LJQ46" s="15"/>
      <c r="LJR46" s="125"/>
      <c r="LJS46" s="125"/>
      <c r="LJT46" s="14"/>
      <c r="LJU46" s="15"/>
      <c r="LJV46" s="125"/>
      <c r="LJW46" s="125"/>
      <c r="LJX46" s="14"/>
      <c r="LJY46" s="15"/>
      <c r="LJZ46" s="125"/>
      <c r="LKA46" s="125"/>
      <c r="LKB46" s="14"/>
      <c r="LKC46" s="10"/>
      <c r="LKD46" s="125"/>
      <c r="LKE46" s="125"/>
      <c r="LKF46" s="14"/>
      <c r="LKG46" s="15"/>
      <c r="LKH46" s="125"/>
      <c r="LKI46" s="125"/>
      <c r="LKJ46" s="14"/>
      <c r="LKK46" s="15"/>
      <c r="LKL46" s="125"/>
      <c r="LKM46" s="125"/>
      <c r="LKN46" s="14"/>
      <c r="LKO46" s="15"/>
      <c r="LKP46" s="125"/>
      <c r="LKQ46" s="125"/>
      <c r="LKR46" s="14"/>
      <c r="LKS46" s="10"/>
      <c r="LKT46" s="125"/>
      <c r="LKU46" s="125"/>
      <c r="LKV46" s="14"/>
      <c r="LKW46" s="15"/>
      <c r="LKX46" s="125"/>
      <c r="LKY46" s="125"/>
      <c r="LKZ46" s="14"/>
      <c r="LLA46" s="15"/>
      <c r="LLB46" s="125"/>
      <c r="LLC46" s="125"/>
      <c r="LLD46" s="14"/>
      <c r="LLE46" s="15"/>
      <c r="LLF46" s="125"/>
      <c r="LLG46" s="125"/>
      <c r="LLH46" s="14"/>
      <c r="LLI46" s="10"/>
      <c r="LLJ46" s="125"/>
      <c r="LLK46" s="125"/>
      <c r="LLL46" s="14"/>
      <c r="LLM46" s="15"/>
      <c r="LLN46" s="125"/>
      <c r="LLO46" s="125"/>
      <c r="LLP46" s="14"/>
      <c r="LLQ46" s="15"/>
      <c r="LLR46" s="125"/>
      <c r="LLS46" s="125"/>
      <c r="LLT46" s="14"/>
      <c r="LLU46" s="15"/>
      <c r="LLV46" s="125"/>
      <c r="LLW46" s="125"/>
      <c r="LLX46" s="14"/>
      <c r="LLY46" s="10"/>
      <c r="LLZ46" s="125"/>
      <c r="LMA46" s="125"/>
      <c r="LMB46" s="14"/>
      <c r="LMC46" s="15"/>
      <c r="LMD46" s="125"/>
      <c r="LME46" s="125"/>
      <c r="LMF46" s="14"/>
      <c r="LMG46" s="15"/>
      <c r="LMH46" s="125"/>
      <c r="LMI46" s="125"/>
      <c r="LMJ46" s="14"/>
      <c r="LMK46" s="15"/>
      <c r="LML46" s="125"/>
      <c r="LMM46" s="125"/>
      <c r="LMN46" s="14"/>
      <c r="LMO46" s="10"/>
      <c r="LMP46" s="125"/>
      <c r="LMQ46" s="125"/>
      <c r="LMR46" s="14"/>
      <c r="LMS46" s="15"/>
      <c r="LMT46" s="125"/>
      <c r="LMU46" s="125"/>
      <c r="LMV46" s="14"/>
      <c r="LMW46" s="15"/>
      <c r="LMX46" s="125"/>
      <c r="LMY46" s="125"/>
      <c r="LMZ46" s="14"/>
      <c r="LNA46" s="15"/>
      <c r="LNB46" s="125"/>
      <c r="LNC46" s="125"/>
      <c r="LND46" s="14"/>
      <c r="LNE46" s="10"/>
      <c r="LNF46" s="125"/>
      <c r="LNG46" s="125"/>
      <c r="LNH46" s="14"/>
      <c r="LNI46" s="15"/>
      <c r="LNJ46" s="125"/>
      <c r="LNK46" s="125"/>
      <c r="LNL46" s="14"/>
      <c r="LNM46" s="15"/>
      <c r="LNN46" s="125"/>
      <c r="LNO46" s="125"/>
      <c r="LNP46" s="14"/>
      <c r="LNQ46" s="15"/>
      <c r="LNR46" s="125"/>
      <c r="LNS46" s="125"/>
      <c r="LNT46" s="14"/>
      <c r="LNU46" s="10"/>
      <c r="LNV46" s="125"/>
      <c r="LNW46" s="125"/>
      <c r="LNX46" s="14"/>
      <c r="LNY46" s="15"/>
      <c r="LNZ46" s="125"/>
      <c r="LOA46" s="125"/>
      <c r="LOB46" s="14"/>
      <c r="LOC46" s="15"/>
      <c r="LOD46" s="125"/>
      <c r="LOE46" s="125"/>
      <c r="LOF46" s="14"/>
      <c r="LOG46" s="15"/>
      <c r="LOH46" s="125"/>
      <c r="LOI46" s="125"/>
      <c r="LOJ46" s="14"/>
      <c r="LOK46" s="10"/>
      <c r="LOL46" s="125"/>
      <c r="LOM46" s="125"/>
      <c r="LON46" s="14"/>
      <c r="LOO46" s="15"/>
      <c r="LOP46" s="125"/>
      <c r="LOQ46" s="125"/>
      <c r="LOR46" s="14"/>
      <c r="LOS46" s="15"/>
      <c r="LOT46" s="125"/>
      <c r="LOU46" s="125"/>
      <c r="LOV46" s="14"/>
      <c r="LOW46" s="15"/>
      <c r="LOX46" s="125"/>
      <c r="LOY46" s="125"/>
      <c r="LOZ46" s="14"/>
      <c r="LPA46" s="10"/>
      <c r="LPB46" s="125"/>
      <c r="LPC46" s="125"/>
      <c r="LPD46" s="14"/>
      <c r="LPE46" s="15"/>
      <c r="LPF46" s="125"/>
      <c r="LPG46" s="125"/>
      <c r="LPH46" s="14"/>
      <c r="LPI46" s="15"/>
      <c r="LPJ46" s="125"/>
      <c r="LPK46" s="125"/>
      <c r="LPL46" s="14"/>
      <c r="LPM46" s="15"/>
      <c r="LPN46" s="125"/>
      <c r="LPO46" s="125"/>
      <c r="LPP46" s="14"/>
      <c r="LPQ46" s="10"/>
      <c r="LPR46" s="125"/>
      <c r="LPS46" s="125"/>
      <c r="LPT46" s="14"/>
      <c r="LPU46" s="15"/>
      <c r="LPV46" s="125"/>
      <c r="LPW46" s="125"/>
      <c r="LPX46" s="14"/>
      <c r="LPY46" s="15"/>
      <c r="LPZ46" s="125"/>
      <c r="LQA46" s="125"/>
      <c r="LQB46" s="14"/>
      <c r="LQC46" s="15"/>
      <c r="LQD46" s="125"/>
      <c r="LQE46" s="125"/>
      <c r="LQF46" s="14"/>
      <c r="LQG46" s="10"/>
      <c r="LQH46" s="125"/>
      <c r="LQI46" s="125"/>
      <c r="LQJ46" s="14"/>
      <c r="LQK46" s="15"/>
      <c r="LQL46" s="125"/>
      <c r="LQM46" s="125"/>
      <c r="LQN46" s="14"/>
      <c r="LQO46" s="15"/>
      <c r="LQP46" s="125"/>
      <c r="LQQ46" s="125"/>
      <c r="LQR46" s="14"/>
      <c r="LQS46" s="15"/>
      <c r="LQT46" s="125"/>
      <c r="LQU46" s="125"/>
      <c r="LQV46" s="14"/>
      <c r="LQW46" s="10"/>
      <c r="LQX46" s="125"/>
      <c r="LQY46" s="125"/>
      <c r="LQZ46" s="14"/>
      <c r="LRA46" s="15"/>
      <c r="LRB46" s="125"/>
      <c r="LRC46" s="125"/>
      <c r="LRD46" s="14"/>
      <c r="LRE46" s="15"/>
      <c r="LRF46" s="125"/>
      <c r="LRG46" s="125"/>
      <c r="LRH46" s="14"/>
      <c r="LRI46" s="15"/>
      <c r="LRJ46" s="125"/>
      <c r="LRK46" s="125"/>
      <c r="LRL46" s="14"/>
      <c r="LRM46" s="10"/>
      <c r="LRN46" s="125"/>
      <c r="LRO46" s="125"/>
      <c r="LRP46" s="14"/>
      <c r="LRQ46" s="15"/>
      <c r="LRR46" s="125"/>
      <c r="LRS46" s="125"/>
      <c r="LRT46" s="14"/>
      <c r="LRU46" s="15"/>
      <c r="LRV46" s="125"/>
      <c r="LRW46" s="125"/>
      <c r="LRX46" s="14"/>
      <c r="LRY46" s="15"/>
      <c r="LRZ46" s="125"/>
      <c r="LSA46" s="125"/>
      <c r="LSB46" s="14"/>
      <c r="LSC46" s="10"/>
      <c r="LSD46" s="125"/>
      <c r="LSE46" s="125"/>
      <c r="LSF46" s="14"/>
      <c r="LSG46" s="15"/>
      <c r="LSH46" s="125"/>
      <c r="LSI46" s="125"/>
      <c r="LSJ46" s="14"/>
      <c r="LSK46" s="15"/>
      <c r="LSL46" s="125"/>
      <c r="LSM46" s="125"/>
      <c r="LSN46" s="14"/>
      <c r="LSO46" s="15"/>
      <c r="LSP46" s="125"/>
      <c r="LSQ46" s="125"/>
      <c r="LSR46" s="14"/>
      <c r="LSS46" s="10"/>
      <c r="LST46" s="125"/>
      <c r="LSU46" s="125"/>
      <c r="LSV46" s="14"/>
      <c r="LSW46" s="15"/>
      <c r="LSX46" s="125"/>
      <c r="LSY46" s="125"/>
      <c r="LSZ46" s="14"/>
      <c r="LTA46" s="15"/>
      <c r="LTB46" s="125"/>
      <c r="LTC46" s="125"/>
      <c r="LTD46" s="14"/>
      <c r="LTE46" s="15"/>
      <c r="LTF46" s="125"/>
      <c r="LTG46" s="125"/>
      <c r="LTH46" s="14"/>
      <c r="LTI46" s="10"/>
      <c r="LTJ46" s="125"/>
      <c r="LTK46" s="125"/>
      <c r="LTL46" s="14"/>
      <c r="LTM46" s="15"/>
      <c r="LTN46" s="125"/>
      <c r="LTO46" s="125"/>
      <c r="LTP46" s="14"/>
      <c r="LTQ46" s="15"/>
      <c r="LTR46" s="125"/>
      <c r="LTS46" s="125"/>
      <c r="LTT46" s="14"/>
      <c r="LTU46" s="15"/>
      <c r="LTV46" s="125"/>
      <c r="LTW46" s="125"/>
      <c r="LTX46" s="14"/>
      <c r="LTY46" s="10"/>
      <c r="LTZ46" s="125"/>
      <c r="LUA46" s="125"/>
      <c r="LUB46" s="14"/>
      <c r="LUC46" s="15"/>
      <c r="LUD46" s="125"/>
      <c r="LUE46" s="125"/>
      <c r="LUF46" s="14"/>
      <c r="LUG46" s="15"/>
      <c r="LUH46" s="125"/>
      <c r="LUI46" s="125"/>
      <c r="LUJ46" s="14"/>
      <c r="LUK46" s="15"/>
      <c r="LUL46" s="125"/>
      <c r="LUM46" s="125"/>
      <c r="LUN46" s="14"/>
      <c r="LUO46" s="10"/>
      <c r="LUP46" s="125"/>
      <c r="LUQ46" s="125"/>
      <c r="LUR46" s="14"/>
      <c r="LUS46" s="15"/>
      <c r="LUT46" s="125"/>
      <c r="LUU46" s="125"/>
      <c r="LUV46" s="14"/>
      <c r="LUW46" s="15"/>
      <c r="LUX46" s="125"/>
      <c r="LUY46" s="125"/>
      <c r="LUZ46" s="14"/>
      <c r="LVA46" s="15"/>
      <c r="LVB46" s="125"/>
      <c r="LVC46" s="125"/>
      <c r="LVD46" s="14"/>
      <c r="LVE46" s="10"/>
      <c r="LVF46" s="125"/>
      <c r="LVG46" s="125"/>
      <c r="LVH46" s="14"/>
      <c r="LVI46" s="15"/>
      <c r="LVJ46" s="125"/>
      <c r="LVK46" s="125"/>
      <c r="LVL46" s="14"/>
      <c r="LVM46" s="15"/>
      <c r="LVN46" s="125"/>
      <c r="LVO46" s="125"/>
      <c r="LVP46" s="14"/>
      <c r="LVQ46" s="15"/>
      <c r="LVR46" s="125"/>
      <c r="LVS46" s="125"/>
      <c r="LVT46" s="14"/>
      <c r="LVU46" s="10"/>
      <c r="LVV46" s="125"/>
      <c r="LVW46" s="125"/>
      <c r="LVX46" s="14"/>
      <c r="LVY46" s="15"/>
      <c r="LVZ46" s="125"/>
      <c r="LWA46" s="125"/>
      <c r="LWB46" s="14"/>
      <c r="LWC46" s="15"/>
      <c r="LWD46" s="125"/>
      <c r="LWE46" s="125"/>
      <c r="LWF46" s="14"/>
      <c r="LWG46" s="15"/>
      <c r="LWH46" s="125"/>
      <c r="LWI46" s="125"/>
      <c r="LWJ46" s="14"/>
      <c r="LWK46" s="10"/>
      <c r="LWL46" s="125"/>
      <c r="LWM46" s="125"/>
      <c r="LWN46" s="14"/>
      <c r="LWO46" s="15"/>
      <c r="LWP46" s="125"/>
      <c r="LWQ46" s="125"/>
      <c r="LWR46" s="14"/>
      <c r="LWS46" s="15"/>
      <c r="LWT46" s="125"/>
      <c r="LWU46" s="125"/>
      <c r="LWV46" s="14"/>
      <c r="LWW46" s="15"/>
      <c r="LWX46" s="125"/>
      <c r="LWY46" s="125"/>
      <c r="LWZ46" s="14"/>
      <c r="LXA46" s="10"/>
      <c r="LXB46" s="125"/>
      <c r="LXC46" s="125"/>
      <c r="LXD46" s="14"/>
      <c r="LXE46" s="15"/>
      <c r="LXF46" s="125"/>
      <c r="LXG46" s="125"/>
      <c r="LXH46" s="14"/>
      <c r="LXI46" s="15"/>
      <c r="LXJ46" s="125"/>
      <c r="LXK46" s="125"/>
      <c r="LXL46" s="14"/>
      <c r="LXM46" s="15"/>
      <c r="LXN46" s="125"/>
      <c r="LXO46" s="125"/>
      <c r="LXP46" s="14"/>
      <c r="LXQ46" s="10"/>
      <c r="LXR46" s="125"/>
      <c r="LXS46" s="125"/>
      <c r="LXT46" s="14"/>
      <c r="LXU46" s="15"/>
      <c r="LXV46" s="125"/>
      <c r="LXW46" s="125"/>
      <c r="LXX46" s="14"/>
      <c r="LXY46" s="15"/>
      <c r="LXZ46" s="125"/>
      <c r="LYA46" s="125"/>
      <c r="LYB46" s="14"/>
      <c r="LYC46" s="15"/>
      <c r="LYD46" s="125"/>
      <c r="LYE46" s="125"/>
      <c r="LYF46" s="14"/>
      <c r="LYG46" s="10"/>
      <c r="LYH46" s="125"/>
      <c r="LYI46" s="125"/>
      <c r="LYJ46" s="14"/>
      <c r="LYK46" s="15"/>
      <c r="LYL46" s="125"/>
      <c r="LYM46" s="125"/>
      <c r="LYN46" s="14"/>
      <c r="LYO46" s="15"/>
      <c r="LYP46" s="125"/>
      <c r="LYQ46" s="125"/>
      <c r="LYR46" s="14"/>
      <c r="LYS46" s="15"/>
      <c r="LYT46" s="125"/>
      <c r="LYU46" s="125"/>
      <c r="LYV46" s="14"/>
      <c r="LYW46" s="10"/>
      <c r="LYX46" s="125"/>
      <c r="LYY46" s="125"/>
      <c r="LYZ46" s="14"/>
      <c r="LZA46" s="15"/>
      <c r="LZB46" s="125"/>
      <c r="LZC46" s="125"/>
      <c r="LZD46" s="14"/>
      <c r="LZE46" s="15"/>
      <c r="LZF46" s="125"/>
      <c r="LZG46" s="125"/>
      <c r="LZH46" s="14"/>
      <c r="LZI46" s="15"/>
      <c r="LZJ46" s="125"/>
      <c r="LZK46" s="125"/>
      <c r="LZL46" s="14"/>
      <c r="LZM46" s="10"/>
      <c r="LZN46" s="125"/>
      <c r="LZO46" s="125"/>
      <c r="LZP46" s="14"/>
      <c r="LZQ46" s="15"/>
      <c r="LZR46" s="125"/>
      <c r="LZS46" s="125"/>
      <c r="LZT46" s="14"/>
      <c r="LZU46" s="15"/>
      <c r="LZV46" s="125"/>
      <c r="LZW46" s="125"/>
      <c r="LZX46" s="14"/>
      <c r="LZY46" s="15"/>
      <c r="LZZ46" s="125"/>
      <c r="MAA46" s="125"/>
      <c r="MAB46" s="14"/>
      <c r="MAC46" s="10"/>
      <c r="MAD46" s="125"/>
      <c r="MAE46" s="125"/>
      <c r="MAF46" s="14"/>
      <c r="MAG46" s="15"/>
      <c r="MAH46" s="125"/>
      <c r="MAI46" s="125"/>
      <c r="MAJ46" s="14"/>
      <c r="MAK46" s="15"/>
      <c r="MAL46" s="125"/>
      <c r="MAM46" s="125"/>
      <c r="MAN46" s="14"/>
      <c r="MAO46" s="15"/>
      <c r="MAP46" s="125"/>
      <c r="MAQ46" s="125"/>
      <c r="MAR46" s="14"/>
      <c r="MAS46" s="10"/>
      <c r="MAT46" s="125"/>
      <c r="MAU46" s="125"/>
      <c r="MAV46" s="14"/>
      <c r="MAW46" s="15"/>
      <c r="MAX46" s="125"/>
      <c r="MAY46" s="125"/>
      <c r="MAZ46" s="14"/>
      <c r="MBA46" s="15"/>
      <c r="MBB46" s="125"/>
      <c r="MBC46" s="125"/>
      <c r="MBD46" s="14"/>
      <c r="MBE46" s="15"/>
      <c r="MBF46" s="125"/>
      <c r="MBG46" s="125"/>
      <c r="MBH46" s="14"/>
      <c r="MBI46" s="10"/>
      <c r="MBJ46" s="125"/>
      <c r="MBK46" s="125"/>
      <c r="MBL46" s="14"/>
      <c r="MBM46" s="15"/>
      <c r="MBN46" s="125"/>
      <c r="MBO46" s="125"/>
      <c r="MBP46" s="14"/>
      <c r="MBQ46" s="15"/>
      <c r="MBR46" s="125"/>
      <c r="MBS46" s="125"/>
      <c r="MBT46" s="14"/>
      <c r="MBU46" s="15"/>
      <c r="MBV46" s="125"/>
      <c r="MBW46" s="125"/>
      <c r="MBX46" s="14"/>
      <c r="MBY46" s="10"/>
      <c r="MBZ46" s="125"/>
      <c r="MCA46" s="125"/>
      <c r="MCB46" s="14"/>
      <c r="MCC46" s="15"/>
      <c r="MCD46" s="125"/>
      <c r="MCE46" s="125"/>
      <c r="MCF46" s="14"/>
      <c r="MCG46" s="15"/>
      <c r="MCH46" s="125"/>
      <c r="MCI46" s="125"/>
      <c r="MCJ46" s="14"/>
      <c r="MCK46" s="15"/>
      <c r="MCL46" s="125"/>
      <c r="MCM46" s="125"/>
      <c r="MCN46" s="14"/>
      <c r="MCO46" s="10"/>
      <c r="MCP46" s="125"/>
      <c r="MCQ46" s="125"/>
      <c r="MCR46" s="14"/>
      <c r="MCS46" s="15"/>
      <c r="MCT46" s="125"/>
      <c r="MCU46" s="125"/>
      <c r="MCV46" s="14"/>
      <c r="MCW46" s="15"/>
      <c r="MCX46" s="125"/>
      <c r="MCY46" s="125"/>
      <c r="MCZ46" s="14"/>
      <c r="MDA46" s="15"/>
      <c r="MDB46" s="125"/>
      <c r="MDC46" s="125"/>
      <c r="MDD46" s="14"/>
      <c r="MDE46" s="10"/>
      <c r="MDF46" s="125"/>
      <c r="MDG46" s="125"/>
      <c r="MDH46" s="14"/>
      <c r="MDI46" s="15"/>
      <c r="MDJ46" s="125"/>
      <c r="MDK46" s="125"/>
      <c r="MDL46" s="14"/>
      <c r="MDM46" s="15"/>
      <c r="MDN46" s="125"/>
      <c r="MDO46" s="125"/>
      <c r="MDP46" s="14"/>
      <c r="MDQ46" s="15"/>
      <c r="MDR46" s="125"/>
      <c r="MDS46" s="125"/>
      <c r="MDT46" s="14"/>
      <c r="MDU46" s="10"/>
      <c r="MDV46" s="125"/>
      <c r="MDW46" s="125"/>
      <c r="MDX46" s="14"/>
      <c r="MDY46" s="15"/>
      <c r="MDZ46" s="125"/>
      <c r="MEA46" s="125"/>
      <c r="MEB46" s="14"/>
      <c r="MEC46" s="15"/>
      <c r="MED46" s="125"/>
      <c r="MEE46" s="125"/>
      <c r="MEF46" s="14"/>
      <c r="MEG46" s="15"/>
      <c r="MEH46" s="125"/>
      <c r="MEI46" s="125"/>
      <c r="MEJ46" s="14"/>
      <c r="MEK46" s="10"/>
      <c r="MEL46" s="125"/>
      <c r="MEM46" s="125"/>
      <c r="MEN46" s="14"/>
      <c r="MEO46" s="15"/>
      <c r="MEP46" s="125"/>
      <c r="MEQ46" s="125"/>
      <c r="MER46" s="14"/>
      <c r="MES46" s="15"/>
      <c r="MET46" s="125"/>
      <c r="MEU46" s="125"/>
      <c r="MEV46" s="14"/>
      <c r="MEW46" s="15"/>
      <c r="MEX46" s="125"/>
      <c r="MEY46" s="125"/>
      <c r="MEZ46" s="14"/>
      <c r="MFA46" s="10"/>
      <c r="MFB46" s="125"/>
      <c r="MFC46" s="125"/>
      <c r="MFD46" s="14"/>
      <c r="MFE46" s="15"/>
      <c r="MFF46" s="125"/>
      <c r="MFG46" s="125"/>
      <c r="MFH46" s="14"/>
      <c r="MFI46" s="15"/>
      <c r="MFJ46" s="125"/>
      <c r="MFK46" s="125"/>
      <c r="MFL46" s="14"/>
      <c r="MFM46" s="15"/>
      <c r="MFN46" s="125"/>
      <c r="MFO46" s="125"/>
      <c r="MFP46" s="14"/>
      <c r="MFQ46" s="10"/>
      <c r="MFR46" s="125"/>
      <c r="MFS46" s="125"/>
      <c r="MFT46" s="14"/>
      <c r="MFU46" s="15"/>
      <c r="MFV46" s="125"/>
      <c r="MFW46" s="125"/>
      <c r="MFX46" s="14"/>
      <c r="MFY46" s="15"/>
      <c r="MFZ46" s="125"/>
      <c r="MGA46" s="125"/>
      <c r="MGB46" s="14"/>
      <c r="MGC46" s="15"/>
      <c r="MGD46" s="125"/>
      <c r="MGE46" s="125"/>
      <c r="MGF46" s="14"/>
      <c r="MGG46" s="10"/>
      <c r="MGH46" s="125"/>
      <c r="MGI46" s="125"/>
      <c r="MGJ46" s="14"/>
      <c r="MGK46" s="15"/>
      <c r="MGL46" s="125"/>
      <c r="MGM46" s="125"/>
      <c r="MGN46" s="14"/>
      <c r="MGO46" s="15"/>
      <c r="MGP46" s="125"/>
      <c r="MGQ46" s="125"/>
      <c r="MGR46" s="14"/>
      <c r="MGS46" s="15"/>
      <c r="MGT46" s="125"/>
      <c r="MGU46" s="125"/>
      <c r="MGV46" s="14"/>
      <c r="MGW46" s="10"/>
      <c r="MGX46" s="125"/>
      <c r="MGY46" s="125"/>
      <c r="MGZ46" s="14"/>
      <c r="MHA46" s="15"/>
      <c r="MHB46" s="125"/>
      <c r="MHC46" s="125"/>
      <c r="MHD46" s="14"/>
      <c r="MHE46" s="15"/>
      <c r="MHF46" s="125"/>
      <c r="MHG46" s="125"/>
      <c r="MHH46" s="14"/>
      <c r="MHI46" s="15"/>
      <c r="MHJ46" s="125"/>
      <c r="MHK46" s="125"/>
      <c r="MHL46" s="14"/>
      <c r="MHM46" s="10"/>
      <c r="MHN46" s="125"/>
      <c r="MHO46" s="125"/>
      <c r="MHP46" s="14"/>
      <c r="MHQ46" s="15"/>
      <c r="MHR46" s="125"/>
      <c r="MHS46" s="125"/>
      <c r="MHT46" s="14"/>
      <c r="MHU46" s="15"/>
      <c r="MHV46" s="125"/>
      <c r="MHW46" s="125"/>
      <c r="MHX46" s="14"/>
      <c r="MHY46" s="15"/>
      <c r="MHZ46" s="125"/>
      <c r="MIA46" s="125"/>
      <c r="MIB46" s="14"/>
      <c r="MIC46" s="10"/>
      <c r="MID46" s="125"/>
      <c r="MIE46" s="125"/>
      <c r="MIF46" s="14"/>
      <c r="MIG46" s="15"/>
      <c r="MIH46" s="125"/>
      <c r="MII46" s="125"/>
      <c r="MIJ46" s="14"/>
      <c r="MIK46" s="15"/>
      <c r="MIL46" s="125"/>
      <c r="MIM46" s="125"/>
      <c r="MIN46" s="14"/>
      <c r="MIO46" s="15"/>
      <c r="MIP46" s="125"/>
      <c r="MIQ46" s="125"/>
      <c r="MIR46" s="14"/>
      <c r="MIS46" s="10"/>
      <c r="MIT46" s="125"/>
      <c r="MIU46" s="125"/>
      <c r="MIV46" s="14"/>
      <c r="MIW46" s="15"/>
      <c r="MIX46" s="125"/>
      <c r="MIY46" s="125"/>
      <c r="MIZ46" s="14"/>
      <c r="MJA46" s="15"/>
      <c r="MJB46" s="125"/>
      <c r="MJC46" s="125"/>
      <c r="MJD46" s="14"/>
      <c r="MJE46" s="15"/>
      <c r="MJF46" s="125"/>
      <c r="MJG46" s="125"/>
      <c r="MJH46" s="14"/>
      <c r="MJI46" s="10"/>
      <c r="MJJ46" s="125"/>
      <c r="MJK46" s="125"/>
      <c r="MJL46" s="14"/>
      <c r="MJM46" s="15"/>
      <c r="MJN46" s="125"/>
      <c r="MJO46" s="125"/>
      <c r="MJP46" s="14"/>
      <c r="MJQ46" s="15"/>
      <c r="MJR46" s="125"/>
      <c r="MJS46" s="125"/>
      <c r="MJT46" s="14"/>
      <c r="MJU46" s="15"/>
      <c r="MJV46" s="125"/>
      <c r="MJW46" s="125"/>
      <c r="MJX46" s="14"/>
      <c r="MJY46" s="10"/>
      <c r="MJZ46" s="125"/>
      <c r="MKA46" s="125"/>
      <c r="MKB46" s="14"/>
      <c r="MKC46" s="15"/>
      <c r="MKD46" s="125"/>
      <c r="MKE46" s="125"/>
      <c r="MKF46" s="14"/>
      <c r="MKG46" s="15"/>
      <c r="MKH46" s="125"/>
      <c r="MKI46" s="125"/>
      <c r="MKJ46" s="14"/>
      <c r="MKK46" s="15"/>
      <c r="MKL46" s="125"/>
      <c r="MKM46" s="125"/>
      <c r="MKN46" s="14"/>
      <c r="MKO46" s="10"/>
      <c r="MKP46" s="125"/>
      <c r="MKQ46" s="125"/>
      <c r="MKR46" s="14"/>
      <c r="MKS46" s="15"/>
      <c r="MKT46" s="125"/>
      <c r="MKU46" s="125"/>
      <c r="MKV46" s="14"/>
      <c r="MKW46" s="15"/>
      <c r="MKX46" s="125"/>
      <c r="MKY46" s="125"/>
      <c r="MKZ46" s="14"/>
      <c r="MLA46" s="15"/>
      <c r="MLB46" s="125"/>
      <c r="MLC46" s="125"/>
      <c r="MLD46" s="14"/>
      <c r="MLE46" s="10"/>
      <c r="MLF46" s="125"/>
      <c r="MLG46" s="125"/>
      <c r="MLH46" s="14"/>
      <c r="MLI46" s="15"/>
      <c r="MLJ46" s="125"/>
      <c r="MLK46" s="125"/>
      <c r="MLL46" s="14"/>
      <c r="MLM46" s="15"/>
      <c r="MLN46" s="125"/>
      <c r="MLO46" s="125"/>
      <c r="MLP46" s="14"/>
      <c r="MLQ46" s="15"/>
      <c r="MLR46" s="125"/>
      <c r="MLS46" s="125"/>
      <c r="MLT46" s="14"/>
      <c r="MLU46" s="10"/>
      <c r="MLV46" s="125"/>
      <c r="MLW46" s="125"/>
      <c r="MLX46" s="14"/>
      <c r="MLY46" s="15"/>
      <c r="MLZ46" s="125"/>
      <c r="MMA46" s="125"/>
      <c r="MMB46" s="14"/>
      <c r="MMC46" s="15"/>
      <c r="MMD46" s="125"/>
      <c r="MME46" s="125"/>
      <c r="MMF46" s="14"/>
      <c r="MMG46" s="15"/>
      <c r="MMH46" s="125"/>
      <c r="MMI46" s="125"/>
      <c r="MMJ46" s="14"/>
      <c r="MMK46" s="10"/>
      <c r="MML46" s="125"/>
      <c r="MMM46" s="125"/>
      <c r="MMN46" s="14"/>
      <c r="MMO46" s="15"/>
      <c r="MMP46" s="125"/>
      <c r="MMQ46" s="125"/>
      <c r="MMR46" s="14"/>
      <c r="MMS46" s="15"/>
      <c r="MMT46" s="125"/>
      <c r="MMU46" s="125"/>
      <c r="MMV46" s="14"/>
      <c r="MMW46" s="15"/>
      <c r="MMX46" s="125"/>
      <c r="MMY46" s="125"/>
      <c r="MMZ46" s="14"/>
      <c r="MNA46" s="10"/>
      <c r="MNB46" s="125"/>
      <c r="MNC46" s="125"/>
      <c r="MND46" s="14"/>
      <c r="MNE46" s="15"/>
      <c r="MNF46" s="125"/>
      <c r="MNG46" s="125"/>
      <c r="MNH46" s="14"/>
      <c r="MNI46" s="15"/>
      <c r="MNJ46" s="125"/>
      <c r="MNK46" s="125"/>
      <c r="MNL46" s="14"/>
      <c r="MNM46" s="15"/>
      <c r="MNN46" s="125"/>
      <c r="MNO46" s="125"/>
      <c r="MNP46" s="14"/>
      <c r="MNQ46" s="10"/>
      <c r="MNR46" s="125"/>
      <c r="MNS46" s="125"/>
      <c r="MNT46" s="14"/>
      <c r="MNU46" s="15"/>
      <c r="MNV46" s="125"/>
      <c r="MNW46" s="125"/>
      <c r="MNX46" s="14"/>
      <c r="MNY46" s="15"/>
      <c r="MNZ46" s="125"/>
      <c r="MOA46" s="125"/>
      <c r="MOB46" s="14"/>
      <c r="MOC46" s="15"/>
      <c r="MOD46" s="125"/>
      <c r="MOE46" s="125"/>
      <c r="MOF46" s="14"/>
      <c r="MOG46" s="10"/>
      <c r="MOH46" s="125"/>
      <c r="MOI46" s="125"/>
      <c r="MOJ46" s="14"/>
      <c r="MOK46" s="15"/>
      <c r="MOL46" s="125"/>
      <c r="MOM46" s="125"/>
      <c r="MON46" s="14"/>
      <c r="MOO46" s="15"/>
      <c r="MOP46" s="125"/>
      <c r="MOQ46" s="125"/>
      <c r="MOR46" s="14"/>
      <c r="MOS46" s="15"/>
      <c r="MOT46" s="125"/>
      <c r="MOU46" s="125"/>
      <c r="MOV46" s="14"/>
      <c r="MOW46" s="10"/>
      <c r="MOX46" s="125"/>
      <c r="MOY46" s="125"/>
      <c r="MOZ46" s="14"/>
      <c r="MPA46" s="15"/>
      <c r="MPB46" s="125"/>
      <c r="MPC46" s="125"/>
      <c r="MPD46" s="14"/>
      <c r="MPE46" s="15"/>
      <c r="MPF46" s="125"/>
      <c r="MPG46" s="125"/>
      <c r="MPH46" s="14"/>
      <c r="MPI46" s="15"/>
      <c r="MPJ46" s="125"/>
      <c r="MPK46" s="125"/>
      <c r="MPL46" s="14"/>
      <c r="MPM46" s="10"/>
      <c r="MPN46" s="125"/>
      <c r="MPO46" s="125"/>
      <c r="MPP46" s="14"/>
      <c r="MPQ46" s="15"/>
      <c r="MPR46" s="125"/>
      <c r="MPS46" s="125"/>
      <c r="MPT46" s="14"/>
      <c r="MPU46" s="15"/>
      <c r="MPV46" s="125"/>
      <c r="MPW46" s="125"/>
      <c r="MPX46" s="14"/>
      <c r="MPY46" s="15"/>
      <c r="MPZ46" s="125"/>
      <c r="MQA46" s="125"/>
      <c r="MQB46" s="14"/>
      <c r="MQC46" s="10"/>
      <c r="MQD46" s="125"/>
      <c r="MQE46" s="125"/>
      <c r="MQF46" s="14"/>
      <c r="MQG46" s="15"/>
      <c r="MQH46" s="125"/>
      <c r="MQI46" s="125"/>
      <c r="MQJ46" s="14"/>
      <c r="MQK46" s="15"/>
      <c r="MQL46" s="125"/>
      <c r="MQM46" s="125"/>
      <c r="MQN46" s="14"/>
      <c r="MQO46" s="15"/>
      <c r="MQP46" s="125"/>
      <c r="MQQ46" s="125"/>
      <c r="MQR46" s="14"/>
      <c r="MQS46" s="10"/>
      <c r="MQT46" s="125"/>
      <c r="MQU46" s="125"/>
      <c r="MQV46" s="14"/>
      <c r="MQW46" s="15"/>
      <c r="MQX46" s="125"/>
      <c r="MQY46" s="125"/>
      <c r="MQZ46" s="14"/>
      <c r="MRA46" s="15"/>
      <c r="MRB46" s="125"/>
      <c r="MRC46" s="125"/>
      <c r="MRD46" s="14"/>
      <c r="MRE46" s="15"/>
      <c r="MRF46" s="125"/>
      <c r="MRG46" s="125"/>
      <c r="MRH46" s="14"/>
      <c r="MRI46" s="10"/>
      <c r="MRJ46" s="125"/>
      <c r="MRK46" s="125"/>
      <c r="MRL46" s="14"/>
      <c r="MRM46" s="15"/>
      <c r="MRN46" s="125"/>
      <c r="MRO46" s="125"/>
      <c r="MRP46" s="14"/>
      <c r="MRQ46" s="15"/>
      <c r="MRR46" s="125"/>
      <c r="MRS46" s="125"/>
      <c r="MRT46" s="14"/>
      <c r="MRU46" s="15"/>
      <c r="MRV46" s="125"/>
      <c r="MRW46" s="125"/>
      <c r="MRX46" s="14"/>
      <c r="MRY46" s="10"/>
      <c r="MRZ46" s="125"/>
      <c r="MSA46" s="125"/>
      <c r="MSB46" s="14"/>
      <c r="MSC46" s="15"/>
      <c r="MSD46" s="125"/>
      <c r="MSE46" s="125"/>
      <c r="MSF46" s="14"/>
      <c r="MSG46" s="15"/>
      <c r="MSH46" s="125"/>
      <c r="MSI46" s="125"/>
      <c r="MSJ46" s="14"/>
      <c r="MSK46" s="15"/>
      <c r="MSL46" s="125"/>
      <c r="MSM46" s="125"/>
      <c r="MSN46" s="14"/>
      <c r="MSO46" s="10"/>
      <c r="MSP46" s="125"/>
      <c r="MSQ46" s="125"/>
      <c r="MSR46" s="14"/>
      <c r="MSS46" s="15"/>
      <c r="MST46" s="125"/>
      <c r="MSU46" s="125"/>
      <c r="MSV46" s="14"/>
      <c r="MSW46" s="15"/>
      <c r="MSX46" s="125"/>
      <c r="MSY46" s="125"/>
      <c r="MSZ46" s="14"/>
      <c r="MTA46" s="15"/>
      <c r="MTB46" s="125"/>
      <c r="MTC46" s="125"/>
      <c r="MTD46" s="14"/>
      <c r="MTE46" s="10"/>
      <c r="MTF46" s="125"/>
      <c r="MTG46" s="125"/>
      <c r="MTH46" s="14"/>
      <c r="MTI46" s="15"/>
      <c r="MTJ46" s="125"/>
      <c r="MTK46" s="125"/>
      <c r="MTL46" s="14"/>
      <c r="MTM46" s="15"/>
      <c r="MTN46" s="125"/>
      <c r="MTO46" s="125"/>
      <c r="MTP46" s="14"/>
      <c r="MTQ46" s="15"/>
      <c r="MTR46" s="125"/>
      <c r="MTS46" s="125"/>
      <c r="MTT46" s="14"/>
      <c r="MTU46" s="10"/>
      <c r="MTV46" s="125"/>
      <c r="MTW46" s="125"/>
      <c r="MTX46" s="14"/>
      <c r="MTY46" s="15"/>
      <c r="MTZ46" s="125"/>
      <c r="MUA46" s="125"/>
      <c r="MUB46" s="14"/>
      <c r="MUC46" s="15"/>
      <c r="MUD46" s="125"/>
      <c r="MUE46" s="125"/>
      <c r="MUF46" s="14"/>
      <c r="MUG46" s="15"/>
      <c r="MUH46" s="125"/>
      <c r="MUI46" s="125"/>
      <c r="MUJ46" s="14"/>
      <c r="MUK46" s="10"/>
      <c r="MUL46" s="125"/>
      <c r="MUM46" s="125"/>
      <c r="MUN46" s="14"/>
      <c r="MUO46" s="15"/>
      <c r="MUP46" s="125"/>
      <c r="MUQ46" s="125"/>
      <c r="MUR46" s="14"/>
      <c r="MUS46" s="15"/>
      <c r="MUT46" s="125"/>
      <c r="MUU46" s="125"/>
      <c r="MUV46" s="14"/>
      <c r="MUW46" s="15"/>
      <c r="MUX46" s="125"/>
      <c r="MUY46" s="125"/>
      <c r="MUZ46" s="14"/>
      <c r="MVA46" s="10"/>
      <c r="MVB46" s="125"/>
      <c r="MVC46" s="125"/>
      <c r="MVD46" s="14"/>
      <c r="MVE46" s="15"/>
      <c r="MVF46" s="125"/>
      <c r="MVG46" s="125"/>
      <c r="MVH46" s="14"/>
      <c r="MVI46" s="15"/>
      <c r="MVJ46" s="125"/>
      <c r="MVK46" s="125"/>
      <c r="MVL46" s="14"/>
      <c r="MVM46" s="15"/>
      <c r="MVN46" s="125"/>
      <c r="MVO46" s="125"/>
      <c r="MVP46" s="14"/>
      <c r="MVQ46" s="10"/>
      <c r="MVR46" s="125"/>
      <c r="MVS46" s="125"/>
      <c r="MVT46" s="14"/>
      <c r="MVU46" s="15"/>
      <c r="MVV46" s="125"/>
      <c r="MVW46" s="125"/>
      <c r="MVX46" s="14"/>
      <c r="MVY46" s="15"/>
      <c r="MVZ46" s="125"/>
      <c r="MWA46" s="125"/>
      <c r="MWB46" s="14"/>
      <c r="MWC46" s="15"/>
      <c r="MWD46" s="125"/>
      <c r="MWE46" s="125"/>
      <c r="MWF46" s="14"/>
      <c r="MWG46" s="10"/>
      <c r="MWH46" s="125"/>
      <c r="MWI46" s="125"/>
      <c r="MWJ46" s="14"/>
      <c r="MWK46" s="15"/>
      <c r="MWL46" s="125"/>
      <c r="MWM46" s="125"/>
      <c r="MWN46" s="14"/>
      <c r="MWO46" s="15"/>
      <c r="MWP46" s="125"/>
      <c r="MWQ46" s="125"/>
      <c r="MWR46" s="14"/>
      <c r="MWS46" s="15"/>
      <c r="MWT46" s="125"/>
      <c r="MWU46" s="125"/>
      <c r="MWV46" s="14"/>
      <c r="MWW46" s="10"/>
      <c r="MWX46" s="125"/>
      <c r="MWY46" s="125"/>
      <c r="MWZ46" s="14"/>
      <c r="MXA46" s="15"/>
      <c r="MXB46" s="125"/>
      <c r="MXC46" s="125"/>
      <c r="MXD46" s="14"/>
      <c r="MXE46" s="15"/>
      <c r="MXF46" s="125"/>
      <c r="MXG46" s="125"/>
      <c r="MXH46" s="14"/>
      <c r="MXI46" s="15"/>
      <c r="MXJ46" s="125"/>
      <c r="MXK46" s="125"/>
      <c r="MXL46" s="14"/>
      <c r="MXM46" s="10"/>
      <c r="MXN46" s="125"/>
      <c r="MXO46" s="125"/>
      <c r="MXP46" s="14"/>
      <c r="MXQ46" s="15"/>
      <c r="MXR46" s="125"/>
      <c r="MXS46" s="125"/>
      <c r="MXT46" s="14"/>
      <c r="MXU46" s="15"/>
      <c r="MXV46" s="125"/>
      <c r="MXW46" s="125"/>
      <c r="MXX46" s="14"/>
      <c r="MXY46" s="15"/>
      <c r="MXZ46" s="125"/>
      <c r="MYA46" s="125"/>
      <c r="MYB46" s="14"/>
      <c r="MYC46" s="10"/>
      <c r="MYD46" s="125"/>
      <c r="MYE46" s="125"/>
      <c r="MYF46" s="14"/>
      <c r="MYG46" s="15"/>
      <c r="MYH46" s="125"/>
      <c r="MYI46" s="125"/>
      <c r="MYJ46" s="14"/>
      <c r="MYK46" s="15"/>
      <c r="MYL46" s="125"/>
      <c r="MYM46" s="125"/>
      <c r="MYN46" s="14"/>
      <c r="MYO46" s="15"/>
      <c r="MYP46" s="125"/>
      <c r="MYQ46" s="125"/>
      <c r="MYR46" s="14"/>
      <c r="MYS46" s="10"/>
      <c r="MYT46" s="125"/>
      <c r="MYU46" s="125"/>
      <c r="MYV46" s="14"/>
      <c r="MYW46" s="15"/>
      <c r="MYX46" s="125"/>
      <c r="MYY46" s="125"/>
      <c r="MYZ46" s="14"/>
      <c r="MZA46" s="15"/>
      <c r="MZB46" s="125"/>
      <c r="MZC46" s="125"/>
      <c r="MZD46" s="14"/>
      <c r="MZE46" s="15"/>
      <c r="MZF46" s="125"/>
      <c r="MZG46" s="125"/>
      <c r="MZH46" s="14"/>
      <c r="MZI46" s="10"/>
      <c r="MZJ46" s="125"/>
      <c r="MZK46" s="125"/>
      <c r="MZL46" s="14"/>
      <c r="MZM46" s="15"/>
      <c r="MZN46" s="125"/>
      <c r="MZO46" s="125"/>
      <c r="MZP46" s="14"/>
      <c r="MZQ46" s="15"/>
      <c r="MZR46" s="125"/>
      <c r="MZS46" s="125"/>
      <c r="MZT46" s="14"/>
      <c r="MZU46" s="15"/>
      <c r="MZV46" s="125"/>
      <c r="MZW46" s="125"/>
      <c r="MZX46" s="14"/>
      <c r="MZY46" s="10"/>
      <c r="MZZ46" s="125"/>
      <c r="NAA46" s="125"/>
      <c r="NAB46" s="14"/>
      <c r="NAC46" s="15"/>
      <c r="NAD46" s="125"/>
      <c r="NAE46" s="125"/>
      <c r="NAF46" s="14"/>
      <c r="NAG46" s="15"/>
      <c r="NAH46" s="125"/>
      <c r="NAI46" s="125"/>
      <c r="NAJ46" s="14"/>
      <c r="NAK46" s="15"/>
      <c r="NAL46" s="125"/>
      <c r="NAM46" s="125"/>
      <c r="NAN46" s="14"/>
      <c r="NAO46" s="10"/>
      <c r="NAP46" s="125"/>
      <c r="NAQ46" s="125"/>
      <c r="NAR46" s="14"/>
      <c r="NAS46" s="15"/>
      <c r="NAT46" s="125"/>
      <c r="NAU46" s="125"/>
      <c r="NAV46" s="14"/>
      <c r="NAW46" s="15"/>
      <c r="NAX46" s="125"/>
      <c r="NAY46" s="125"/>
      <c r="NAZ46" s="14"/>
      <c r="NBA46" s="15"/>
      <c r="NBB46" s="125"/>
      <c r="NBC46" s="125"/>
      <c r="NBD46" s="14"/>
      <c r="NBE46" s="10"/>
      <c r="NBF46" s="125"/>
      <c r="NBG46" s="125"/>
      <c r="NBH46" s="14"/>
      <c r="NBI46" s="15"/>
      <c r="NBJ46" s="125"/>
      <c r="NBK46" s="125"/>
      <c r="NBL46" s="14"/>
      <c r="NBM46" s="15"/>
      <c r="NBN46" s="125"/>
      <c r="NBO46" s="125"/>
      <c r="NBP46" s="14"/>
      <c r="NBQ46" s="15"/>
      <c r="NBR46" s="125"/>
      <c r="NBS46" s="125"/>
      <c r="NBT46" s="14"/>
      <c r="NBU46" s="10"/>
      <c r="NBV46" s="125"/>
      <c r="NBW46" s="125"/>
      <c r="NBX46" s="14"/>
      <c r="NBY46" s="15"/>
      <c r="NBZ46" s="125"/>
      <c r="NCA46" s="125"/>
      <c r="NCB46" s="14"/>
      <c r="NCC46" s="15"/>
      <c r="NCD46" s="125"/>
      <c r="NCE46" s="125"/>
      <c r="NCF46" s="14"/>
      <c r="NCG46" s="15"/>
      <c r="NCH46" s="125"/>
      <c r="NCI46" s="125"/>
      <c r="NCJ46" s="14"/>
      <c r="NCK46" s="10"/>
      <c r="NCL46" s="125"/>
      <c r="NCM46" s="125"/>
      <c r="NCN46" s="14"/>
      <c r="NCO46" s="15"/>
      <c r="NCP46" s="125"/>
      <c r="NCQ46" s="125"/>
      <c r="NCR46" s="14"/>
      <c r="NCS46" s="15"/>
      <c r="NCT46" s="125"/>
      <c r="NCU46" s="125"/>
      <c r="NCV46" s="14"/>
      <c r="NCW46" s="15"/>
      <c r="NCX46" s="125"/>
      <c r="NCY46" s="125"/>
      <c r="NCZ46" s="14"/>
      <c r="NDA46" s="10"/>
      <c r="NDB46" s="125"/>
      <c r="NDC46" s="125"/>
      <c r="NDD46" s="14"/>
      <c r="NDE46" s="15"/>
      <c r="NDF46" s="125"/>
      <c r="NDG46" s="125"/>
      <c r="NDH46" s="14"/>
      <c r="NDI46" s="15"/>
      <c r="NDJ46" s="125"/>
      <c r="NDK46" s="125"/>
      <c r="NDL46" s="14"/>
      <c r="NDM46" s="15"/>
      <c r="NDN46" s="125"/>
      <c r="NDO46" s="125"/>
      <c r="NDP46" s="14"/>
      <c r="NDQ46" s="10"/>
      <c r="NDR46" s="125"/>
      <c r="NDS46" s="125"/>
      <c r="NDT46" s="14"/>
      <c r="NDU46" s="15"/>
      <c r="NDV46" s="125"/>
      <c r="NDW46" s="125"/>
      <c r="NDX46" s="14"/>
      <c r="NDY46" s="15"/>
      <c r="NDZ46" s="125"/>
      <c r="NEA46" s="125"/>
      <c r="NEB46" s="14"/>
      <c r="NEC46" s="15"/>
      <c r="NED46" s="125"/>
      <c r="NEE46" s="125"/>
      <c r="NEF46" s="14"/>
      <c r="NEG46" s="10"/>
      <c r="NEH46" s="125"/>
      <c r="NEI46" s="125"/>
      <c r="NEJ46" s="14"/>
      <c r="NEK46" s="15"/>
      <c r="NEL46" s="125"/>
      <c r="NEM46" s="125"/>
      <c r="NEN46" s="14"/>
      <c r="NEO46" s="15"/>
      <c r="NEP46" s="125"/>
      <c r="NEQ46" s="125"/>
      <c r="NER46" s="14"/>
      <c r="NES46" s="15"/>
      <c r="NET46" s="125"/>
      <c r="NEU46" s="125"/>
      <c r="NEV46" s="14"/>
      <c r="NEW46" s="10"/>
      <c r="NEX46" s="125"/>
      <c r="NEY46" s="125"/>
      <c r="NEZ46" s="14"/>
      <c r="NFA46" s="15"/>
      <c r="NFB46" s="125"/>
      <c r="NFC46" s="125"/>
      <c r="NFD46" s="14"/>
      <c r="NFE46" s="15"/>
      <c r="NFF46" s="125"/>
      <c r="NFG46" s="125"/>
      <c r="NFH46" s="14"/>
      <c r="NFI46" s="15"/>
      <c r="NFJ46" s="125"/>
      <c r="NFK46" s="125"/>
      <c r="NFL46" s="14"/>
      <c r="NFM46" s="10"/>
      <c r="NFN46" s="125"/>
      <c r="NFO46" s="125"/>
      <c r="NFP46" s="14"/>
      <c r="NFQ46" s="15"/>
      <c r="NFR46" s="125"/>
      <c r="NFS46" s="125"/>
      <c r="NFT46" s="14"/>
      <c r="NFU46" s="15"/>
      <c r="NFV46" s="125"/>
      <c r="NFW46" s="125"/>
      <c r="NFX46" s="14"/>
      <c r="NFY46" s="15"/>
      <c r="NFZ46" s="125"/>
      <c r="NGA46" s="125"/>
      <c r="NGB46" s="14"/>
      <c r="NGC46" s="10"/>
      <c r="NGD46" s="125"/>
      <c r="NGE46" s="125"/>
      <c r="NGF46" s="14"/>
      <c r="NGG46" s="15"/>
      <c r="NGH46" s="125"/>
      <c r="NGI46" s="125"/>
      <c r="NGJ46" s="14"/>
      <c r="NGK46" s="15"/>
      <c r="NGL46" s="125"/>
      <c r="NGM46" s="125"/>
      <c r="NGN46" s="14"/>
      <c r="NGO46" s="15"/>
      <c r="NGP46" s="125"/>
      <c r="NGQ46" s="125"/>
      <c r="NGR46" s="14"/>
      <c r="NGS46" s="10"/>
      <c r="NGT46" s="125"/>
      <c r="NGU46" s="125"/>
      <c r="NGV46" s="14"/>
      <c r="NGW46" s="15"/>
      <c r="NGX46" s="125"/>
      <c r="NGY46" s="125"/>
      <c r="NGZ46" s="14"/>
      <c r="NHA46" s="15"/>
      <c r="NHB46" s="125"/>
      <c r="NHC46" s="125"/>
      <c r="NHD46" s="14"/>
      <c r="NHE46" s="15"/>
      <c r="NHF46" s="125"/>
      <c r="NHG46" s="125"/>
      <c r="NHH46" s="14"/>
      <c r="NHI46" s="10"/>
      <c r="NHJ46" s="125"/>
      <c r="NHK46" s="125"/>
      <c r="NHL46" s="14"/>
      <c r="NHM46" s="15"/>
      <c r="NHN46" s="125"/>
      <c r="NHO46" s="125"/>
      <c r="NHP46" s="14"/>
      <c r="NHQ46" s="15"/>
      <c r="NHR46" s="125"/>
      <c r="NHS46" s="125"/>
      <c r="NHT46" s="14"/>
      <c r="NHU46" s="15"/>
      <c r="NHV46" s="125"/>
      <c r="NHW46" s="125"/>
      <c r="NHX46" s="14"/>
      <c r="NHY46" s="10"/>
      <c r="NHZ46" s="125"/>
      <c r="NIA46" s="125"/>
      <c r="NIB46" s="14"/>
      <c r="NIC46" s="15"/>
      <c r="NID46" s="125"/>
      <c r="NIE46" s="125"/>
      <c r="NIF46" s="14"/>
      <c r="NIG46" s="15"/>
      <c r="NIH46" s="125"/>
      <c r="NII46" s="125"/>
      <c r="NIJ46" s="14"/>
      <c r="NIK46" s="15"/>
      <c r="NIL46" s="125"/>
      <c r="NIM46" s="125"/>
      <c r="NIN46" s="14"/>
      <c r="NIO46" s="10"/>
      <c r="NIP46" s="125"/>
      <c r="NIQ46" s="125"/>
      <c r="NIR46" s="14"/>
      <c r="NIS46" s="15"/>
      <c r="NIT46" s="125"/>
      <c r="NIU46" s="125"/>
      <c r="NIV46" s="14"/>
      <c r="NIW46" s="15"/>
      <c r="NIX46" s="125"/>
      <c r="NIY46" s="125"/>
      <c r="NIZ46" s="14"/>
      <c r="NJA46" s="15"/>
      <c r="NJB46" s="125"/>
      <c r="NJC46" s="125"/>
      <c r="NJD46" s="14"/>
      <c r="NJE46" s="10"/>
      <c r="NJF46" s="125"/>
      <c r="NJG46" s="125"/>
      <c r="NJH46" s="14"/>
      <c r="NJI46" s="15"/>
      <c r="NJJ46" s="125"/>
      <c r="NJK46" s="125"/>
      <c r="NJL46" s="14"/>
      <c r="NJM46" s="15"/>
      <c r="NJN46" s="125"/>
      <c r="NJO46" s="125"/>
      <c r="NJP46" s="14"/>
      <c r="NJQ46" s="15"/>
      <c r="NJR46" s="125"/>
      <c r="NJS46" s="125"/>
      <c r="NJT46" s="14"/>
      <c r="NJU46" s="10"/>
      <c r="NJV46" s="125"/>
      <c r="NJW46" s="125"/>
      <c r="NJX46" s="14"/>
      <c r="NJY46" s="15"/>
      <c r="NJZ46" s="125"/>
      <c r="NKA46" s="125"/>
      <c r="NKB46" s="14"/>
      <c r="NKC46" s="15"/>
      <c r="NKD46" s="125"/>
      <c r="NKE46" s="125"/>
      <c r="NKF46" s="14"/>
      <c r="NKG46" s="15"/>
      <c r="NKH46" s="125"/>
      <c r="NKI46" s="125"/>
      <c r="NKJ46" s="14"/>
      <c r="NKK46" s="10"/>
      <c r="NKL46" s="125"/>
      <c r="NKM46" s="125"/>
      <c r="NKN46" s="14"/>
      <c r="NKO46" s="15"/>
      <c r="NKP46" s="125"/>
      <c r="NKQ46" s="125"/>
      <c r="NKR46" s="14"/>
      <c r="NKS46" s="15"/>
      <c r="NKT46" s="125"/>
      <c r="NKU46" s="125"/>
      <c r="NKV46" s="14"/>
      <c r="NKW46" s="15"/>
      <c r="NKX46" s="125"/>
      <c r="NKY46" s="125"/>
      <c r="NKZ46" s="14"/>
      <c r="NLA46" s="10"/>
      <c r="NLB46" s="125"/>
      <c r="NLC46" s="125"/>
      <c r="NLD46" s="14"/>
      <c r="NLE46" s="15"/>
      <c r="NLF46" s="125"/>
      <c r="NLG46" s="125"/>
      <c r="NLH46" s="14"/>
      <c r="NLI46" s="15"/>
      <c r="NLJ46" s="125"/>
      <c r="NLK46" s="125"/>
      <c r="NLL46" s="14"/>
      <c r="NLM46" s="15"/>
      <c r="NLN46" s="125"/>
      <c r="NLO46" s="125"/>
      <c r="NLP46" s="14"/>
      <c r="NLQ46" s="10"/>
      <c r="NLR46" s="125"/>
      <c r="NLS46" s="125"/>
      <c r="NLT46" s="14"/>
      <c r="NLU46" s="15"/>
      <c r="NLV46" s="125"/>
      <c r="NLW46" s="125"/>
      <c r="NLX46" s="14"/>
      <c r="NLY46" s="15"/>
      <c r="NLZ46" s="125"/>
      <c r="NMA46" s="125"/>
      <c r="NMB46" s="14"/>
      <c r="NMC46" s="15"/>
      <c r="NMD46" s="125"/>
      <c r="NME46" s="125"/>
      <c r="NMF46" s="14"/>
      <c r="NMG46" s="10"/>
      <c r="NMH46" s="125"/>
      <c r="NMI46" s="125"/>
      <c r="NMJ46" s="14"/>
      <c r="NMK46" s="15"/>
      <c r="NML46" s="125"/>
      <c r="NMM46" s="125"/>
      <c r="NMN46" s="14"/>
      <c r="NMO46" s="15"/>
      <c r="NMP46" s="125"/>
      <c r="NMQ46" s="125"/>
      <c r="NMR46" s="14"/>
      <c r="NMS46" s="15"/>
      <c r="NMT46" s="125"/>
      <c r="NMU46" s="125"/>
      <c r="NMV46" s="14"/>
      <c r="NMW46" s="10"/>
      <c r="NMX46" s="125"/>
      <c r="NMY46" s="125"/>
      <c r="NMZ46" s="14"/>
      <c r="NNA46" s="15"/>
      <c r="NNB46" s="125"/>
      <c r="NNC46" s="125"/>
      <c r="NND46" s="14"/>
      <c r="NNE46" s="15"/>
      <c r="NNF46" s="125"/>
      <c r="NNG46" s="125"/>
      <c r="NNH46" s="14"/>
      <c r="NNI46" s="15"/>
      <c r="NNJ46" s="125"/>
      <c r="NNK46" s="125"/>
      <c r="NNL46" s="14"/>
      <c r="NNM46" s="10"/>
      <c r="NNN46" s="125"/>
      <c r="NNO46" s="125"/>
      <c r="NNP46" s="14"/>
      <c r="NNQ46" s="15"/>
      <c r="NNR46" s="125"/>
      <c r="NNS46" s="125"/>
      <c r="NNT46" s="14"/>
      <c r="NNU46" s="15"/>
      <c r="NNV46" s="125"/>
      <c r="NNW46" s="125"/>
      <c r="NNX46" s="14"/>
      <c r="NNY46" s="15"/>
      <c r="NNZ46" s="125"/>
      <c r="NOA46" s="125"/>
      <c r="NOB46" s="14"/>
      <c r="NOC46" s="10"/>
      <c r="NOD46" s="125"/>
      <c r="NOE46" s="125"/>
      <c r="NOF46" s="14"/>
      <c r="NOG46" s="15"/>
      <c r="NOH46" s="125"/>
      <c r="NOI46" s="125"/>
      <c r="NOJ46" s="14"/>
      <c r="NOK46" s="15"/>
      <c r="NOL46" s="125"/>
      <c r="NOM46" s="125"/>
      <c r="NON46" s="14"/>
      <c r="NOO46" s="15"/>
      <c r="NOP46" s="125"/>
      <c r="NOQ46" s="125"/>
      <c r="NOR46" s="14"/>
      <c r="NOS46" s="10"/>
      <c r="NOT46" s="125"/>
      <c r="NOU46" s="125"/>
      <c r="NOV46" s="14"/>
      <c r="NOW46" s="15"/>
      <c r="NOX46" s="125"/>
      <c r="NOY46" s="125"/>
      <c r="NOZ46" s="14"/>
      <c r="NPA46" s="15"/>
      <c r="NPB46" s="125"/>
      <c r="NPC46" s="125"/>
      <c r="NPD46" s="14"/>
      <c r="NPE46" s="15"/>
      <c r="NPF46" s="125"/>
      <c r="NPG46" s="125"/>
      <c r="NPH46" s="14"/>
      <c r="NPI46" s="10"/>
      <c r="NPJ46" s="125"/>
      <c r="NPK46" s="125"/>
      <c r="NPL46" s="14"/>
      <c r="NPM46" s="15"/>
      <c r="NPN46" s="125"/>
      <c r="NPO46" s="125"/>
      <c r="NPP46" s="14"/>
      <c r="NPQ46" s="15"/>
      <c r="NPR46" s="125"/>
      <c r="NPS46" s="125"/>
      <c r="NPT46" s="14"/>
      <c r="NPU46" s="15"/>
      <c r="NPV46" s="125"/>
      <c r="NPW46" s="125"/>
      <c r="NPX46" s="14"/>
      <c r="NPY46" s="10"/>
      <c r="NPZ46" s="125"/>
      <c r="NQA46" s="125"/>
      <c r="NQB46" s="14"/>
      <c r="NQC46" s="15"/>
      <c r="NQD46" s="125"/>
      <c r="NQE46" s="125"/>
      <c r="NQF46" s="14"/>
      <c r="NQG46" s="15"/>
      <c r="NQH46" s="125"/>
      <c r="NQI46" s="125"/>
      <c r="NQJ46" s="14"/>
      <c r="NQK46" s="15"/>
      <c r="NQL46" s="125"/>
      <c r="NQM46" s="125"/>
      <c r="NQN46" s="14"/>
      <c r="NQO46" s="10"/>
      <c r="NQP46" s="125"/>
      <c r="NQQ46" s="125"/>
      <c r="NQR46" s="14"/>
      <c r="NQS46" s="15"/>
      <c r="NQT46" s="125"/>
      <c r="NQU46" s="125"/>
      <c r="NQV46" s="14"/>
      <c r="NQW46" s="15"/>
      <c r="NQX46" s="125"/>
      <c r="NQY46" s="125"/>
      <c r="NQZ46" s="14"/>
      <c r="NRA46" s="15"/>
      <c r="NRB46" s="125"/>
      <c r="NRC46" s="125"/>
      <c r="NRD46" s="14"/>
      <c r="NRE46" s="10"/>
      <c r="NRF46" s="125"/>
      <c r="NRG46" s="125"/>
      <c r="NRH46" s="14"/>
      <c r="NRI46" s="15"/>
      <c r="NRJ46" s="125"/>
      <c r="NRK46" s="125"/>
      <c r="NRL46" s="14"/>
      <c r="NRM46" s="15"/>
      <c r="NRN46" s="125"/>
      <c r="NRO46" s="125"/>
      <c r="NRP46" s="14"/>
      <c r="NRQ46" s="15"/>
      <c r="NRR46" s="125"/>
      <c r="NRS46" s="125"/>
      <c r="NRT46" s="14"/>
      <c r="NRU46" s="10"/>
      <c r="NRV46" s="125"/>
      <c r="NRW46" s="125"/>
      <c r="NRX46" s="14"/>
      <c r="NRY46" s="15"/>
      <c r="NRZ46" s="125"/>
      <c r="NSA46" s="125"/>
      <c r="NSB46" s="14"/>
      <c r="NSC46" s="15"/>
      <c r="NSD46" s="125"/>
      <c r="NSE46" s="125"/>
      <c r="NSF46" s="14"/>
      <c r="NSG46" s="15"/>
      <c r="NSH46" s="125"/>
      <c r="NSI46" s="125"/>
      <c r="NSJ46" s="14"/>
      <c r="NSK46" s="10"/>
      <c r="NSL46" s="125"/>
      <c r="NSM46" s="125"/>
      <c r="NSN46" s="14"/>
      <c r="NSO46" s="15"/>
      <c r="NSP46" s="125"/>
      <c r="NSQ46" s="125"/>
      <c r="NSR46" s="14"/>
      <c r="NSS46" s="15"/>
      <c r="NST46" s="125"/>
      <c r="NSU46" s="125"/>
      <c r="NSV46" s="14"/>
      <c r="NSW46" s="15"/>
      <c r="NSX46" s="125"/>
      <c r="NSY46" s="125"/>
      <c r="NSZ46" s="14"/>
      <c r="NTA46" s="10"/>
      <c r="NTB46" s="125"/>
      <c r="NTC46" s="125"/>
      <c r="NTD46" s="14"/>
      <c r="NTE46" s="15"/>
      <c r="NTF46" s="125"/>
      <c r="NTG46" s="125"/>
      <c r="NTH46" s="14"/>
      <c r="NTI46" s="15"/>
      <c r="NTJ46" s="125"/>
      <c r="NTK46" s="125"/>
      <c r="NTL46" s="14"/>
      <c r="NTM46" s="15"/>
      <c r="NTN46" s="125"/>
      <c r="NTO46" s="125"/>
      <c r="NTP46" s="14"/>
      <c r="NTQ46" s="10"/>
      <c r="NTR46" s="125"/>
      <c r="NTS46" s="125"/>
      <c r="NTT46" s="14"/>
      <c r="NTU46" s="15"/>
      <c r="NTV46" s="125"/>
      <c r="NTW46" s="125"/>
      <c r="NTX46" s="14"/>
      <c r="NTY46" s="15"/>
      <c r="NTZ46" s="125"/>
      <c r="NUA46" s="125"/>
      <c r="NUB46" s="14"/>
      <c r="NUC46" s="15"/>
      <c r="NUD46" s="125"/>
      <c r="NUE46" s="125"/>
      <c r="NUF46" s="14"/>
      <c r="NUG46" s="10"/>
      <c r="NUH46" s="125"/>
      <c r="NUI46" s="125"/>
      <c r="NUJ46" s="14"/>
      <c r="NUK46" s="15"/>
      <c r="NUL46" s="125"/>
      <c r="NUM46" s="125"/>
      <c r="NUN46" s="14"/>
      <c r="NUO46" s="15"/>
      <c r="NUP46" s="125"/>
      <c r="NUQ46" s="125"/>
      <c r="NUR46" s="14"/>
      <c r="NUS46" s="15"/>
      <c r="NUT46" s="125"/>
      <c r="NUU46" s="125"/>
      <c r="NUV46" s="14"/>
      <c r="NUW46" s="10"/>
      <c r="NUX46" s="125"/>
      <c r="NUY46" s="125"/>
      <c r="NUZ46" s="14"/>
      <c r="NVA46" s="15"/>
      <c r="NVB46" s="125"/>
      <c r="NVC46" s="125"/>
      <c r="NVD46" s="14"/>
      <c r="NVE46" s="15"/>
      <c r="NVF46" s="125"/>
      <c r="NVG46" s="125"/>
      <c r="NVH46" s="14"/>
      <c r="NVI46" s="15"/>
      <c r="NVJ46" s="125"/>
      <c r="NVK46" s="125"/>
      <c r="NVL46" s="14"/>
      <c r="NVM46" s="10"/>
      <c r="NVN46" s="125"/>
      <c r="NVO46" s="125"/>
      <c r="NVP46" s="14"/>
      <c r="NVQ46" s="15"/>
      <c r="NVR46" s="125"/>
      <c r="NVS46" s="125"/>
      <c r="NVT46" s="14"/>
      <c r="NVU46" s="15"/>
      <c r="NVV46" s="125"/>
      <c r="NVW46" s="125"/>
      <c r="NVX46" s="14"/>
      <c r="NVY46" s="15"/>
      <c r="NVZ46" s="125"/>
      <c r="NWA46" s="125"/>
      <c r="NWB46" s="14"/>
      <c r="NWC46" s="10"/>
      <c r="NWD46" s="125"/>
      <c r="NWE46" s="125"/>
      <c r="NWF46" s="14"/>
      <c r="NWG46" s="15"/>
      <c r="NWH46" s="125"/>
      <c r="NWI46" s="125"/>
      <c r="NWJ46" s="14"/>
      <c r="NWK46" s="15"/>
      <c r="NWL46" s="125"/>
      <c r="NWM46" s="125"/>
      <c r="NWN46" s="14"/>
      <c r="NWO46" s="15"/>
      <c r="NWP46" s="125"/>
      <c r="NWQ46" s="125"/>
      <c r="NWR46" s="14"/>
      <c r="NWS46" s="10"/>
      <c r="NWT46" s="125"/>
      <c r="NWU46" s="125"/>
      <c r="NWV46" s="14"/>
      <c r="NWW46" s="15"/>
      <c r="NWX46" s="125"/>
      <c r="NWY46" s="125"/>
      <c r="NWZ46" s="14"/>
      <c r="NXA46" s="15"/>
      <c r="NXB46" s="125"/>
      <c r="NXC46" s="125"/>
      <c r="NXD46" s="14"/>
      <c r="NXE46" s="15"/>
      <c r="NXF46" s="125"/>
      <c r="NXG46" s="125"/>
      <c r="NXH46" s="14"/>
      <c r="NXI46" s="10"/>
      <c r="NXJ46" s="125"/>
      <c r="NXK46" s="125"/>
      <c r="NXL46" s="14"/>
      <c r="NXM46" s="15"/>
      <c r="NXN46" s="125"/>
      <c r="NXO46" s="125"/>
      <c r="NXP46" s="14"/>
      <c r="NXQ46" s="15"/>
      <c r="NXR46" s="125"/>
      <c r="NXS46" s="125"/>
      <c r="NXT46" s="14"/>
      <c r="NXU46" s="15"/>
      <c r="NXV46" s="125"/>
      <c r="NXW46" s="125"/>
      <c r="NXX46" s="14"/>
      <c r="NXY46" s="10"/>
      <c r="NXZ46" s="125"/>
      <c r="NYA46" s="125"/>
      <c r="NYB46" s="14"/>
      <c r="NYC46" s="15"/>
      <c r="NYD46" s="125"/>
      <c r="NYE46" s="125"/>
      <c r="NYF46" s="14"/>
      <c r="NYG46" s="15"/>
      <c r="NYH46" s="125"/>
      <c r="NYI46" s="125"/>
      <c r="NYJ46" s="14"/>
      <c r="NYK46" s="15"/>
      <c r="NYL46" s="125"/>
      <c r="NYM46" s="125"/>
      <c r="NYN46" s="14"/>
      <c r="NYO46" s="10"/>
      <c r="NYP46" s="125"/>
      <c r="NYQ46" s="125"/>
      <c r="NYR46" s="14"/>
      <c r="NYS46" s="15"/>
      <c r="NYT46" s="125"/>
      <c r="NYU46" s="125"/>
      <c r="NYV46" s="14"/>
      <c r="NYW46" s="15"/>
      <c r="NYX46" s="125"/>
      <c r="NYY46" s="125"/>
      <c r="NYZ46" s="14"/>
      <c r="NZA46" s="15"/>
      <c r="NZB46" s="125"/>
      <c r="NZC46" s="125"/>
      <c r="NZD46" s="14"/>
      <c r="NZE46" s="10"/>
      <c r="NZF46" s="125"/>
      <c r="NZG46" s="125"/>
      <c r="NZH46" s="14"/>
      <c r="NZI46" s="15"/>
      <c r="NZJ46" s="125"/>
      <c r="NZK46" s="125"/>
      <c r="NZL46" s="14"/>
      <c r="NZM46" s="15"/>
      <c r="NZN46" s="125"/>
      <c r="NZO46" s="125"/>
      <c r="NZP46" s="14"/>
      <c r="NZQ46" s="15"/>
      <c r="NZR46" s="125"/>
      <c r="NZS46" s="125"/>
      <c r="NZT46" s="14"/>
      <c r="NZU46" s="10"/>
      <c r="NZV46" s="125"/>
      <c r="NZW46" s="125"/>
      <c r="NZX46" s="14"/>
      <c r="NZY46" s="15"/>
      <c r="NZZ46" s="125"/>
      <c r="OAA46" s="125"/>
      <c r="OAB46" s="14"/>
      <c r="OAC46" s="15"/>
      <c r="OAD46" s="125"/>
      <c r="OAE46" s="125"/>
      <c r="OAF46" s="14"/>
      <c r="OAG46" s="15"/>
      <c r="OAH46" s="125"/>
      <c r="OAI46" s="125"/>
      <c r="OAJ46" s="14"/>
      <c r="OAK46" s="10"/>
      <c r="OAL46" s="125"/>
      <c r="OAM46" s="125"/>
      <c r="OAN46" s="14"/>
      <c r="OAO46" s="15"/>
      <c r="OAP46" s="125"/>
      <c r="OAQ46" s="125"/>
      <c r="OAR46" s="14"/>
      <c r="OAS46" s="15"/>
      <c r="OAT46" s="125"/>
      <c r="OAU46" s="125"/>
      <c r="OAV46" s="14"/>
      <c r="OAW46" s="15"/>
      <c r="OAX46" s="125"/>
      <c r="OAY46" s="125"/>
      <c r="OAZ46" s="14"/>
      <c r="OBA46" s="10"/>
      <c r="OBB46" s="125"/>
      <c r="OBC46" s="125"/>
      <c r="OBD46" s="14"/>
      <c r="OBE46" s="15"/>
      <c r="OBF46" s="125"/>
      <c r="OBG46" s="125"/>
      <c r="OBH46" s="14"/>
      <c r="OBI46" s="15"/>
      <c r="OBJ46" s="125"/>
      <c r="OBK46" s="125"/>
      <c r="OBL46" s="14"/>
      <c r="OBM46" s="15"/>
      <c r="OBN46" s="125"/>
      <c r="OBO46" s="125"/>
      <c r="OBP46" s="14"/>
      <c r="OBQ46" s="10"/>
      <c r="OBR46" s="125"/>
      <c r="OBS46" s="125"/>
      <c r="OBT46" s="14"/>
      <c r="OBU46" s="15"/>
      <c r="OBV46" s="125"/>
      <c r="OBW46" s="125"/>
      <c r="OBX46" s="14"/>
      <c r="OBY46" s="15"/>
      <c r="OBZ46" s="125"/>
      <c r="OCA46" s="125"/>
      <c r="OCB46" s="14"/>
      <c r="OCC46" s="15"/>
      <c r="OCD46" s="125"/>
      <c r="OCE46" s="125"/>
      <c r="OCF46" s="14"/>
      <c r="OCG46" s="10"/>
      <c r="OCH46" s="125"/>
      <c r="OCI46" s="125"/>
      <c r="OCJ46" s="14"/>
      <c r="OCK46" s="15"/>
      <c r="OCL46" s="125"/>
      <c r="OCM46" s="125"/>
      <c r="OCN46" s="14"/>
      <c r="OCO46" s="15"/>
      <c r="OCP46" s="125"/>
      <c r="OCQ46" s="125"/>
      <c r="OCR46" s="14"/>
      <c r="OCS46" s="15"/>
      <c r="OCT46" s="125"/>
      <c r="OCU46" s="125"/>
      <c r="OCV46" s="14"/>
      <c r="OCW46" s="10"/>
      <c r="OCX46" s="125"/>
      <c r="OCY46" s="125"/>
      <c r="OCZ46" s="14"/>
      <c r="ODA46" s="15"/>
      <c r="ODB46" s="125"/>
      <c r="ODC46" s="125"/>
      <c r="ODD46" s="14"/>
      <c r="ODE46" s="15"/>
      <c r="ODF46" s="125"/>
      <c r="ODG46" s="125"/>
      <c r="ODH46" s="14"/>
      <c r="ODI46" s="15"/>
      <c r="ODJ46" s="125"/>
      <c r="ODK46" s="125"/>
      <c r="ODL46" s="14"/>
      <c r="ODM46" s="10"/>
      <c r="ODN46" s="125"/>
      <c r="ODO46" s="125"/>
      <c r="ODP46" s="14"/>
      <c r="ODQ46" s="15"/>
      <c r="ODR46" s="125"/>
      <c r="ODS46" s="125"/>
      <c r="ODT46" s="14"/>
      <c r="ODU46" s="15"/>
      <c r="ODV46" s="125"/>
      <c r="ODW46" s="125"/>
      <c r="ODX46" s="14"/>
      <c r="ODY46" s="15"/>
      <c r="ODZ46" s="125"/>
      <c r="OEA46" s="125"/>
      <c r="OEB46" s="14"/>
      <c r="OEC46" s="10"/>
      <c r="OED46" s="125"/>
      <c r="OEE46" s="125"/>
      <c r="OEF46" s="14"/>
      <c r="OEG46" s="15"/>
      <c r="OEH46" s="125"/>
      <c r="OEI46" s="125"/>
      <c r="OEJ46" s="14"/>
      <c r="OEK46" s="15"/>
      <c r="OEL46" s="125"/>
      <c r="OEM46" s="125"/>
      <c r="OEN46" s="14"/>
      <c r="OEO46" s="15"/>
      <c r="OEP46" s="125"/>
      <c r="OEQ46" s="125"/>
      <c r="OER46" s="14"/>
      <c r="OES46" s="10"/>
      <c r="OET46" s="125"/>
      <c r="OEU46" s="125"/>
      <c r="OEV46" s="14"/>
      <c r="OEW46" s="15"/>
      <c r="OEX46" s="125"/>
      <c r="OEY46" s="125"/>
      <c r="OEZ46" s="14"/>
      <c r="OFA46" s="15"/>
      <c r="OFB46" s="125"/>
      <c r="OFC46" s="125"/>
      <c r="OFD46" s="14"/>
      <c r="OFE46" s="15"/>
      <c r="OFF46" s="125"/>
      <c r="OFG46" s="125"/>
      <c r="OFH46" s="14"/>
      <c r="OFI46" s="10"/>
      <c r="OFJ46" s="125"/>
      <c r="OFK46" s="125"/>
      <c r="OFL46" s="14"/>
      <c r="OFM46" s="15"/>
      <c r="OFN46" s="125"/>
      <c r="OFO46" s="125"/>
      <c r="OFP46" s="14"/>
      <c r="OFQ46" s="15"/>
      <c r="OFR46" s="125"/>
      <c r="OFS46" s="125"/>
      <c r="OFT46" s="14"/>
      <c r="OFU46" s="15"/>
      <c r="OFV46" s="125"/>
      <c r="OFW46" s="125"/>
      <c r="OFX46" s="14"/>
      <c r="OFY46" s="10"/>
      <c r="OFZ46" s="125"/>
      <c r="OGA46" s="125"/>
      <c r="OGB46" s="14"/>
      <c r="OGC46" s="15"/>
      <c r="OGD46" s="125"/>
      <c r="OGE46" s="125"/>
      <c r="OGF46" s="14"/>
      <c r="OGG46" s="15"/>
      <c r="OGH46" s="125"/>
      <c r="OGI46" s="125"/>
      <c r="OGJ46" s="14"/>
      <c r="OGK46" s="15"/>
      <c r="OGL46" s="125"/>
      <c r="OGM46" s="125"/>
      <c r="OGN46" s="14"/>
      <c r="OGO46" s="10"/>
      <c r="OGP46" s="125"/>
      <c r="OGQ46" s="125"/>
      <c r="OGR46" s="14"/>
      <c r="OGS46" s="15"/>
      <c r="OGT46" s="125"/>
      <c r="OGU46" s="125"/>
      <c r="OGV46" s="14"/>
      <c r="OGW46" s="15"/>
      <c r="OGX46" s="125"/>
      <c r="OGY46" s="125"/>
      <c r="OGZ46" s="14"/>
      <c r="OHA46" s="15"/>
      <c r="OHB46" s="125"/>
      <c r="OHC46" s="125"/>
      <c r="OHD46" s="14"/>
      <c r="OHE46" s="10"/>
      <c r="OHF46" s="125"/>
      <c r="OHG46" s="125"/>
      <c r="OHH46" s="14"/>
      <c r="OHI46" s="15"/>
      <c r="OHJ46" s="125"/>
      <c r="OHK46" s="125"/>
      <c r="OHL46" s="14"/>
      <c r="OHM46" s="15"/>
      <c r="OHN46" s="125"/>
      <c r="OHO46" s="125"/>
      <c r="OHP46" s="14"/>
      <c r="OHQ46" s="15"/>
      <c r="OHR46" s="125"/>
      <c r="OHS46" s="125"/>
      <c r="OHT46" s="14"/>
      <c r="OHU46" s="10"/>
      <c r="OHV46" s="125"/>
      <c r="OHW46" s="125"/>
      <c r="OHX46" s="14"/>
      <c r="OHY46" s="15"/>
      <c r="OHZ46" s="125"/>
      <c r="OIA46" s="125"/>
      <c r="OIB46" s="14"/>
      <c r="OIC46" s="15"/>
      <c r="OID46" s="125"/>
      <c r="OIE46" s="125"/>
      <c r="OIF46" s="14"/>
      <c r="OIG46" s="15"/>
      <c r="OIH46" s="125"/>
      <c r="OII46" s="125"/>
      <c r="OIJ46" s="14"/>
      <c r="OIK46" s="10"/>
      <c r="OIL46" s="125"/>
      <c r="OIM46" s="125"/>
      <c r="OIN46" s="14"/>
      <c r="OIO46" s="15"/>
      <c r="OIP46" s="125"/>
      <c r="OIQ46" s="125"/>
      <c r="OIR46" s="14"/>
      <c r="OIS46" s="15"/>
      <c r="OIT46" s="125"/>
      <c r="OIU46" s="125"/>
      <c r="OIV46" s="14"/>
      <c r="OIW46" s="15"/>
      <c r="OIX46" s="125"/>
      <c r="OIY46" s="125"/>
      <c r="OIZ46" s="14"/>
      <c r="OJA46" s="10"/>
      <c r="OJB46" s="125"/>
      <c r="OJC46" s="125"/>
      <c r="OJD46" s="14"/>
      <c r="OJE46" s="15"/>
      <c r="OJF46" s="125"/>
      <c r="OJG46" s="125"/>
      <c r="OJH46" s="14"/>
      <c r="OJI46" s="15"/>
      <c r="OJJ46" s="125"/>
      <c r="OJK46" s="125"/>
      <c r="OJL46" s="14"/>
      <c r="OJM46" s="15"/>
      <c r="OJN46" s="125"/>
      <c r="OJO46" s="125"/>
      <c r="OJP46" s="14"/>
      <c r="OJQ46" s="10"/>
      <c r="OJR46" s="125"/>
      <c r="OJS46" s="125"/>
      <c r="OJT46" s="14"/>
      <c r="OJU46" s="15"/>
      <c r="OJV46" s="125"/>
      <c r="OJW46" s="125"/>
      <c r="OJX46" s="14"/>
      <c r="OJY46" s="15"/>
      <c r="OJZ46" s="125"/>
      <c r="OKA46" s="125"/>
      <c r="OKB46" s="14"/>
      <c r="OKC46" s="15"/>
      <c r="OKD46" s="125"/>
      <c r="OKE46" s="125"/>
      <c r="OKF46" s="14"/>
      <c r="OKG46" s="10"/>
      <c r="OKH46" s="125"/>
      <c r="OKI46" s="125"/>
      <c r="OKJ46" s="14"/>
      <c r="OKK46" s="15"/>
      <c r="OKL46" s="125"/>
      <c r="OKM46" s="125"/>
      <c r="OKN46" s="14"/>
      <c r="OKO46" s="15"/>
      <c r="OKP46" s="125"/>
      <c r="OKQ46" s="125"/>
      <c r="OKR46" s="14"/>
      <c r="OKS46" s="15"/>
      <c r="OKT46" s="125"/>
      <c r="OKU46" s="125"/>
      <c r="OKV46" s="14"/>
      <c r="OKW46" s="10"/>
      <c r="OKX46" s="125"/>
      <c r="OKY46" s="125"/>
      <c r="OKZ46" s="14"/>
      <c r="OLA46" s="15"/>
      <c r="OLB46" s="125"/>
      <c r="OLC46" s="125"/>
      <c r="OLD46" s="14"/>
      <c r="OLE46" s="15"/>
      <c r="OLF46" s="125"/>
      <c r="OLG46" s="125"/>
      <c r="OLH46" s="14"/>
      <c r="OLI46" s="15"/>
      <c r="OLJ46" s="125"/>
      <c r="OLK46" s="125"/>
      <c r="OLL46" s="14"/>
      <c r="OLM46" s="10"/>
      <c r="OLN46" s="125"/>
      <c r="OLO46" s="125"/>
      <c r="OLP46" s="14"/>
      <c r="OLQ46" s="15"/>
      <c r="OLR46" s="125"/>
      <c r="OLS46" s="125"/>
      <c r="OLT46" s="14"/>
      <c r="OLU46" s="15"/>
      <c r="OLV46" s="125"/>
      <c r="OLW46" s="125"/>
      <c r="OLX46" s="14"/>
      <c r="OLY46" s="15"/>
      <c r="OLZ46" s="125"/>
      <c r="OMA46" s="125"/>
      <c r="OMB46" s="14"/>
      <c r="OMC46" s="10"/>
      <c r="OMD46" s="125"/>
      <c r="OME46" s="125"/>
      <c r="OMF46" s="14"/>
      <c r="OMG46" s="15"/>
      <c r="OMH46" s="125"/>
      <c r="OMI46" s="125"/>
      <c r="OMJ46" s="14"/>
      <c r="OMK46" s="15"/>
      <c r="OML46" s="125"/>
      <c r="OMM46" s="125"/>
      <c r="OMN46" s="14"/>
      <c r="OMO46" s="15"/>
      <c r="OMP46" s="125"/>
      <c r="OMQ46" s="125"/>
      <c r="OMR46" s="14"/>
      <c r="OMS46" s="10"/>
      <c r="OMT46" s="125"/>
      <c r="OMU46" s="125"/>
      <c r="OMV46" s="14"/>
      <c r="OMW46" s="15"/>
      <c r="OMX46" s="125"/>
      <c r="OMY46" s="125"/>
      <c r="OMZ46" s="14"/>
      <c r="ONA46" s="15"/>
      <c r="ONB46" s="125"/>
      <c r="ONC46" s="125"/>
      <c r="OND46" s="14"/>
      <c r="ONE46" s="15"/>
      <c r="ONF46" s="125"/>
      <c r="ONG46" s="125"/>
      <c r="ONH46" s="14"/>
      <c r="ONI46" s="10"/>
      <c r="ONJ46" s="125"/>
      <c r="ONK46" s="125"/>
      <c r="ONL46" s="14"/>
      <c r="ONM46" s="15"/>
      <c r="ONN46" s="125"/>
      <c r="ONO46" s="125"/>
      <c r="ONP46" s="14"/>
      <c r="ONQ46" s="15"/>
      <c r="ONR46" s="125"/>
      <c r="ONS46" s="125"/>
      <c r="ONT46" s="14"/>
      <c r="ONU46" s="15"/>
      <c r="ONV46" s="125"/>
      <c r="ONW46" s="125"/>
      <c r="ONX46" s="14"/>
      <c r="ONY46" s="10"/>
      <c r="ONZ46" s="125"/>
      <c r="OOA46" s="125"/>
      <c r="OOB46" s="14"/>
      <c r="OOC46" s="15"/>
      <c r="OOD46" s="125"/>
      <c r="OOE46" s="125"/>
      <c r="OOF46" s="14"/>
      <c r="OOG46" s="15"/>
      <c r="OOH46" s="125"/>
      <c r="OOI46" s="125"/>
      <c r="OOJ46" s="14"/>
      <c r="OOK46" s="15"/>
      <c r="OOL46" s="125"/>
      <c r="OOM46" s="125"/>
      <c r="OON46" s="14"/>
      <c r="OOO46" s="10"/>
      <c r="OOP46" s="125"/>
      <c r="OOQ46" s="125"/>
      <c r="OOR46" s="14"/>
      <c r="OOS46" s="15"/>
      <c r="OOT46" s="125"/>
      <c r="OOU46" s="125"/>
      <c r="OOV46" s="14"/>
      <c r="OOW46" s="15"/>
      <c r="OOX46" s="125"/>
      <c r="OOY46" s="125"/>
      <c r="OOZ46" s="14"/>
      <c r="OPA46" s="15"/>
      <c r="OPB46" s="125"/>
      <c r="OPC46" s="125"/>
      <c r="OPD46" s="14"/>
      <c r="OPE46" s="10"/>
      <c r="OPF46" s="125"/>
      <c r="OPG46" s="125"/>
      <c r="OPH46" s="14"/>
      <c r="OPI46" s="15"/>
      <c r="OPJ46" s="125"/>
      <c r="OPK46" s="125"/>
      <c r="OPL46" s="14"/>
      <c r="OPM46" s="15"/>
      <c r="OPN46" s="125"/>
      <c r="OPO46" s="125"/>
      <c r="OPP46" s="14"/>
      <c r="OPQ46" s="15"/>
      <c r="OPR46" s="125"/>
      <c r="OPS46" s="125"/>
      <c r="OPT46" s="14"/>
      <c r="OPU46" s="10"/>
      <c r="OPV46" s="125"/>
      <c r="OPW46" s="125"/>
      <c r="OPX46" s="14"/>
      <c r="OPY46" s="15"/>
      <c r="OPZ46" s="125"/>
      <c r="OQA46" s="125"/>
      <c r="OQB46" s="14"/>
      <c r="OQC46" s="15"/>
      <c r="OQD46" s="125"/>
      <c r="OQE46" s="125"/>
      <c r="OQF46" s="14"/>
      <c r="OQG46" s="15"/>
      <c r="OQH46" s="125"/>
      <c r="OQI46" s="125"/>
      <c r="OQJ46" s="14"/>
      <c r="OQK46" s="10"/>
      <c r="OQL46" s="125"/>
      <c r="OQM46" s="125"/>
      <c r="OQN46" s="14"/>
      <c r="OQO46" s="15"/>
      <c r="OQP46" s="125"/>
      <c r="OQQ46" s="125"/>
      <c r="OQR46" s="14"/>
      <c r="OQS46" s="15"/>
      <c r="OQT46" s="125"/>
      <c r="OQU46" s="125"/>
      <c r="OQV46" s="14"/>
      <c r="OQW46" s="15"/>
      <c r="OQX46" s="125"/>
      <c r="OQY46" s="125"/>
      <c r="OQZ46" s="14"/>
      <c r="ORA46" s="10"/>
      <c r="ORB46" s="125"/>
      <c r="ORC46" s="125"/>
      <c r="ORD46" s="14"/>
      <c r="ORE46" s="15"/>
      <c r="ORF46" s="125"/>
      <c r="ORG46" s="125"/>
      <c r="ORH46" s="14"/>
      <c r="ORI46" s="15"/>
      <c r="ORJ46" s="125"/>
      <c r="ORK46" s="125"/>
      <c r="ORL46" s="14"/>
      <c r="ORM46" s="15"/>
      <c r="ORN46" s="125"/>
      <c r="ORO46" s="125"/>
      <c r="ORP46" s="14"/>
      <c r="ORQ46" s="10"/>
      <c r="ORR46" s="125"/>
      <c r="ORS46" s="125"/>
      <c r="ORT46" s="14"/>
      <c r="ORU46" s="15"/>
      <c r="ORV46" s="125"/>
      <c r="ORW46" s="125"/>
      <c r="ORX46" s="14"/>
      <c r="ORY46" s="15"/>
      <c r="ORZ46" s="125"/>
      <c r="OSA46" s="125"/>
      <c r="OSB46" s="14"/>
      <c r="OSC46" s="15"/>
      <c r="OSD46" s="125"/>
      <c r="OSE46" s="125"/>
      <c r="OSF46" s="14"/>
      <c r="OSG46" s="10"/>
      <c r="OSH46" s="125"/>
      <c r="OSI46" s="125"/>
      <c r="OSJ46" s="14"/>
      <c r="OSK46" s="15"/>
      <c r="OSL46" s="125"/>
      <c r="OSM46" s="125"/>
      <c r="OSN46" s="14"/>
      <c r="OSO46" s="15"/>
      <c r="OSP46" s="125"/>
      <c r="OSQ46" s="125"/>
      <c r="OSR46" s="14"/>
      <c r="OSS46" s="15"/>
      <c r="OST46" s="125"/>
      <c r="OSU46" s="125"/>
      <c r="OSV46" s="14"/>
      <c r="OSW46" s="10"/>
      <c r="OSX46" s="125"/>
      <c r="OSY46" s="125"/>
      <c r="OSZ46" s="14"/>
      <c r="OTA46" s="15"/>
      <c r="OTB46" s="125"/>
      <c r="OTC46" s="125"/>
      <c r="OTD46" s="14"/>
      <c r="OTE46" s="15"/>
      <c r="OTF46" s="125"/>
      <c r="OTG46" s="125"/>
      <c r="OTH46" s="14"/>
      <c r="OTI46" s="15"/>
      <c r="OTJ46" s="125"/>
      <c r="OTK46" s="125"/>
      <c r="OTL46" s="14"/>
      <c r="OTM46" s="10"/>
      <c r="OTN46" s="125"/>
      <c r="OTO46" s="125"/>
      <c r="OTP46" s="14"/>
      <c r="OTQ46" s="15"/>
      <c r="OTR46" s="125"/>
      <c r="OTS46" s="125"/>
      <c r="OTT46" s="14"/>
      <c r="OTU46" s="15"/>
      <c r="OTV46" s="125"/>
      <c r="OTW46" s="125"/>
      <c r="OTX46" s="14"/>
      <c r="OTY46" s="15"/>
      <c r="OTZ46" s="125"/>
      <c r="OUA46" s="125"/>
      <c r="OUB46" s="14"/>
      <c r="OUC46" s="10"/>
      <c r="OUD46" s="125"/>
      <c r="OUE46" s="125"/>
      <c r="OUF46" s="14"/>
      <c r="OUG46" s="15"/>
      <c r="OUH46" s="125"/>
      <c r="OUI46" s="125"/>
      <c r="OUJ46" s="14"/>
      <c r="OUK46" s="15"/>
      <c r="OUL46" s="125"/>
      <c r="OUM46" s="125"/>
      <c r="OUN46" s="14"/>
      <c r="OUO46" s="15"/>
      <c r="OUP46" s="125"/>
      <c r="OUQ46" s="125"/>
      <c r="OUR46" s="14"/>
      <c r="OUS46" s="10"/>
      <c r="OUT46" s="125"/>
      <c r="OUU46" s="125"/>
      <c r="OUV46" s="14"/>
      <c r="OUW46" s="15"/>
      <c r="OUX46" s="125"/>
      <c r="OUY46" s="125"/>
      <c r="OUZ46" s="14"/>
      <c r="OVA46" s="15"/>
      <c r="OVB46" s="125"/>
      <c r="OVC46" s="125"/>
      <c r="OVD46" s="14"/>
      <c r="OVE46" s="15"/>
      <c r="OVF46" s="125"/>
      <c r="OVG46" s="125"/>
      <c r="OVH46" s="14"/>
      <c r="OVI46" s="10"/>
      <c r="OVJ46" s="125"/>
      <c r="OVK46" s="125"/>
      <c r="OVL46" s="14"/>
      <c r="OVM46" s="15"/>
      <c r="OVN46" s="125"/>
      <c r="OVO46" s="125"/>
      <c r="OVP46" s="14"/>
      <c r="OVQ46" s="15"/>
      <c r="OVR46" s="125"/>
      <c r="OVS46" s="125"/>
      <c r="OVT46" s="14"/>
      <c r="OVU46" s="15"/>
      <c r="OVV46" s="125"/>
      <c r="OVW46" s="125"/>
      <c r="OVX46" s="14"/>
      <c r="OVY46" s="10"/>
      <c r="OVZ46" s="125"/>
      <c r="OWA46" s="125"/>
      <c r="OWB46" s="14"/>
      <c r="OWC46" s="15"/>
      <c r="OWD46" s="125"/>
      <c r="OWE46" s="125"/>
      <c r="OWF46" s="14"/>
      <c r="OWG46" s="15"/>
      <c r="OWH46" s="125"/>
      <c r="OWI46" s="125"/>
      <c r="OWJ46" s="14"/>
      <c r="OWK46" s="15"/>
      <c r="OWL46" s="125"/>
      <c r="OWM46" s="125"/>
      <c r="OWN46" s="14"/>
      <c r="OWO46" s="10"/>
      <c r="OWP46" s="125"/>
      <c r="OWQ46" s="125"/>
      <c r="OWR46" s="14"/>
      <c r="OWS46" s="15"/>
      <c r="OWT46" s="125"/>
      <c r="OWU46" s="125"/>
      <c r="OWV46" s="14"/>
      <c r="OWW46" s="15"/>
      <c r="OWX46" s="125"/>
      <c r="OWY46" s="125"/>
      <c r="OWZ46" s="14"/>
      <c r="OXA46" s="15"/>
      <c r="OXB46" s="125"/>
      <c r="OXC46" s="125"/>
      <c r="OXD46" s="14"/>
      <c r="OXE46" s="10"/>
      <c r="OXF46" s="125"/>
      <c r="OXG46" s="125"/>
      <c r="OXH46" s="14"/>
      <c r="OXI46" s="15"/>
      <c r="OXJ46" s="125"/>
      <c r="OXK46" s="125"/>
      <c r="OXL46" s="14"/>
      <c r="OXM46" s="15"/>
      <c r="OXN46" s="125"/>
      <c r="OXO46" s="125"/>
      <c r="OXP46" s="14"/>
      <c r="OXQ46" s="15"/>
      <c r="OXR46" s="125"/>
      <c r="OXS46" s="125"/>
      <c r="OXT46" s="14"/>
      <c r="OXU46" s="10"/>
      <c r="OXV46" s="125"/>
      <c r="OXW46" s="125"/>
      <c r="OXX46" s="14"/>
      <c r="OXY46" s="15"/>
      <c r="OXZ46" s="125"/>
      <c r="OYA46" s="125"/>
      <c r="OYB46" s="14"/>
      <c r="OYC46" s="15"/>
      <c r="OYD46" s="125"/>
      <c r="OYE46" s="125"/>
      <c r="OYF46" s="14"/>
      <c r="OYG46" s="15"/>
      <c r="OYH46" s="125"/>
      <c r="OYI46" s="125"/>
      <c r="OYJ46" s="14"/>
      <c r="OYK46" s="10"/>
      <c r="OYL46" s="125"/>
      <c r="OYM46" s="125"/>
      <c r="OYN46" s="14"/>
      <c r="OYO46" s="15"/>
      <c r="OYP46" s="125"/>
      <c r="OYQ46" s="125"/>
      <c r="OYR46" s="14"/>
      <c r="OYS46" s="15"/>
      <c r="OYT46" s="125"/>
      <c r="OYU46" s="125"/>
      <c r="OYV46" s="14"/>
      <c r="OYW46" s="15"/>
      <c r="OYX46" s="125"/>
      <c r="OYY46" s="125"/>
      <c r="OYZ46" s="14"/>
      <c r="OZA46" s="10"/>
      <c r="OZB46" s="125"/>
      <c r="OZC46" s="125"/>
      <c r="OZD46" s="14"/>
      <c r="OZE46" s="15"/>
      <c r="OZF46" s="125"/>
      <c r="OZG46" s="125"/>
      <c r="OZH46" s="14"/>
      <c r="OZI46" s="15"/>
      <c r="OZJ46" s="125"/>
      <c r="OZK46" s="125"/>
      <c r="OZL46" s="14"/>
      <c r="OZM46" s="15"/>
      <c r="OZN46" s="125"/>
      <c r="OZO46" s="125"/>
      <c r="OZP46" s="14"/>
      <c r="OZQ46" s="10"/>
      <c r="OZR46" s="125"/>
      <c r="OZS46" s="125"/>
      <c r="OZT46" s="14"/>
      <c r="OZU46" s="15"/>
      <c r="OZV46" s="125"/>
      <c r="OZW46" s="125"/>
      <c r="OZX46" s="14"/>
      <c r="OZY46" s="15"/>
      <c r="OZZ46" s="125"/>
      <c r="PAA46" s="125"/>
      <c r="PAB46" s="14"/>
      <c r="PAC46" s="15"/>
      <c r="PAD46" s="125"/>
      <c r="PAE46" s="125"/>
      <c r="PAF46" s="14"/>
      <c r="PAG46" s="10"/>
      <c r="PAH46" s="125"/>
      <c r="PAI46" s="125"/>
      <c r="PAJ46" s="14"/>
      <c r="PAK46" s="15"/>
      <c r="PAL46" s="125"/>
      <c r="PAM46" s="125"/>
      <c r="PAN46" s="14"/>
      <c r="PAO46" s="15"/>
      <c r="PAP46" s="125"/>
      <c r="PAQ46" s="125"/>
      <c r="PAR46" s="14"/>
      <c r="PAS46" s="15"/>
      <c r="PAT46" s="125"/>
      <c r="PAU46" s="125"/>
      <c r="PAV46" s="14"/>
      <c r="PAW46" s="10"/>
      <c r="PAX46" s="125"/>
      <c r="PAY46" s="125"/>
      <c r="PAZ46" s="14"/>
      <c r="PBA46" s="15"/>
      <c r="PBB46" s="125"/>
      <c r="PBC46" s="125"/>
      <c r="PBD46" s="14"/>
      <c r="PBE46" s="15"/>
      <c r="PBF46" s="125"/>
      <c r="PBG46" s="125"/>
      <c r="PBH46" s="14"/>
      <c r="PBI46" s="15"/>
      <c r="PBJ46" s="125"/>
      <c r="PBK46" s="125"/>
      <c r="PBL46" s="14"/>
      <c r="PBM46" s="10"/>
      <c r="PBN46" s="125"/>
      <c r="PBO46" s="125"/>
      <c r="PBP46" s="14"/>
      <c r="PBQ46" s="15"/>
      <c r="PBR46" s="125"/>
      <c r="PBS46" s="125"/>
      <c r="PBT46" s="14"/>
      <c r="PBU46" s="15"/>
      <c r="PBV46" s="125"/>
      <c r="PBW46" s="125"/>
      <c r="PBX46" s="14"/>
      <c r="PBY46" s="15"/>
      <c r="PBZ46" s="125"/>
      <c r="PCA46" s="125"/>
      <c r="PCB46" s="14"/>
      <c r="PCC46" s="10"/>
      <c r="PCD46" s="125"/>
      <c r="PCE46" s="125"/>
      <c r="PCF46" s="14"/>
      <c r="PCG46" s="15"/>
      <c r="PCH46" s="125"/>
      <c r="PCI46" s="125"/>
      <c r="PCJ46" s="14"/>
      <c r="PCK46" s="15"/>
      <c r="PCL46" s="125"/>
      <c r="PCM46" s="125"/>
      <c r="PCN46" s="14"/>
      <c r="PCO46" s="15"/>
      <c r="PCP46" s="125"/>
      <c r="PCQ46" s="125"/>
      <c r="PCR46" s="14"/>
      <c r="PCS46" s="10"/>
      <c r="PCT46" s="125"/>
      <c r="PCU46" s="125"/>
      <c r="PCV46" s="14"/>
      <c r="PCW46" s="15"/>
      <c r="PCX46" s="125"/>
      <c r="PCY46" s="125"/>
      <c r="PCZ46" s="14"/>
      <c r="PDA46" s="15"/>
      <c r="PDB46" s="125"/>
      <c r="PDC46" s="125"/>
      <c r="PDD46" s="14"/>
      <c r="PDE46" s="15"/>
      <c r="PDF46" s="125"/>
      <c r="PDG46" s="125"/>
      <c r="PDH46" s="14"/>
      <c r="PDI46" s="10"/>
      <c r="PDJ46" s="125"/>
      <c r="PDK46" s="125"/>
      <c r="PDL46" s="14"/>
      <c r="PDM46" s="15"/>
      <c r="PDN46" s="125"/>
      <c r="PDO46" s="125"/>
      <c r="PDP46" s="14"/>
      <c r="PDQ46" s="15"/>
      <c r="PDR46" s="125"/>
      <c r="PDS46" s="125"/>
      <c r="PDT46" s="14"/>
      <c r="PDU46" s="15"/>
      <c r="PDV46" s="125"/>
      <c r="PDW46" s="125"/>
      <c r="PDX46" s="14"/>
      <c r="PDY46" s="10"/>
      <c r="PDZ46" s="125"/>
      <c r="PEA46" s="125"/>
      <c r="PEB46" s="14"/>
      <c r="PEC46" s="15"/>
      <c r="PED46" s="125"/>
      <c r="PEE46" s="125"/>
      <c r="PEF46" s="14"/>
      <c r="PEG46" s="15"/>
      <c r="PEH46" s="125"/>
      <c r="PEI46" s="125"/>
      <c r="PEJ46" s="14"/>
      <c r="PEK46" s="15"/>
      <c r="PEL46" s="125"/>
      <c r="PEM46" s="125"/>
      <c r="PEN46" s="14"/>
      <c r="PEO46" s="10"/>
      <c r="PEP46" s="125"/>
      <c r="PEQ46" s="125"/>
      <c r="PER46" s="14"/>
      <c r="PES46" s="15"/>
      <c r="PET46" s="125"/>
      <c r="PEU46" s="125"/>
      <c r="PEV46" s="14"/>
      <c r="PEW46" s="15"/>
      <c r="PEX46" s="125"/>
      <c r="PEY46" s="125"/>
      <c r="PEZ46" s="14"/>
      <c r="PFA46" s="15"/>
      <c r="PFB46" s="125"/>
      <c r="PFC46" s="125"/>
      <c r="PFD46" s="14"/>
      <c r="PFE46" s="10"/>
      <c r="PFF46" s="125"/>
      <c r="PFG46" s="125"/>
      <c r="PFH46" s="14"/>
      <c r="PFI46" s="15"/>
      <c r="PFJ46" s="125"/>
      <c r="PFK46" s="125"/>
      <c r="PFL46" s="14"/>
      <c r="PFM46" s="15"/>
      <c r="PFN46" s="125"/>
      <c r="PFO46" s="125"/>
      <c r="PFP46" s="14"/>
      <c r="PFQ46" s="15"/>
      <c r="PFR46" s="125"/>
      <c r="PFS46" s="125"/>
      <c r="PFT46" s="14"/>
      <c r="PFU46" s="10"/>
      <c r="PFV46" s="125"/>
      <c r="PFW46" s="125"/>
      <c r="PFX46" s="14"/>
      <c r="PFY46" s="15"/>
      <c r="PFZ46" s="125"/>
      <c r="PGA46" s="125"/>
      <c r="PGB46" s="14"/>
      <c r="PGC46" s="15"/>
      <c r="PGD46" s="125"/>
      <c r="PGE46" s="125"/>
      <c r="PGF46" s="14"/>
      <c r="PGG46" s="15"/>
      <c r="PGH46" s="125"/>
      <c r="PGI46" s="125"/>
      <c r="PGJ46" s="14"/>
      <c r="PGK46" s="10"/>
      <c r="PGL46" s="125"/>
      <c r="PGM46" s="125"/>
      <c r="PGN46" s="14"/>
      <c r="PGO46" s="15"/>
      <c r="PGP46" s="125"/>
      <c r="PGQ46" s="125"/>
      <c r="PGR46" s="14"/>
      <c r="PGS46" s="15"/>
      <c r="PGT46" s="125"/>
      <c r="PGU46" s="125"/>
      <c r="PGV46" s="14"/>
      <c r="PGW46" s="15"/>
      <c r="PGX46" s="125"/>
      <c r="PGY46" s="125"/>
      <c r="PGZ46" s="14"/>
      <c r="PHA46" s="10"/>
      <c r="PHB46" s="125"/>
      <c r="PHC46" s="125"/>
      <c r="PHD46" s="14"/>
      <c r="PHE46" s="15"/>
      <c r="PHF46" s="125"/>
      <c r="PHG46" s="125"/>
      <c r="PHH46" s="14"/>
      <c r="PHI46" s="15"/>
      <c r="PHJ46" s="125"/>
      <c r="PHK46" s="125"/>
      <c r="PHL46" s="14"/>
      <c r="PHM46" s="15"/>
      <c r="PHN46" s="125"/>
      <c r="PHO46" s="125"/>
      <c r="PHP46" s="14"/>
      <c r="PHQ46" s="10"/>
      <c r="PHR46" s="125"/>
      <c r="PHS46" s="125"/>
      <c r="PHT46" s="14"/>
      <c r="PHU46" s="15"/>
      <c r="PHV46" s="125"/>
      <c r="PHW46" s="125"/>
      <c r="PHX46" s="14"/>
      <c r="PHY46" s="15"/>
      <c r="PHZ46" s="125"/>
      <c r="PIA46" s="125"/>
      <c r="PIB46" s="14"/>
      <c r="PIC46" s="15"/>
      <c r="PID46" s="125"/>
      <c r="PIE46" s="125"/>
      <c r="PIF46" s="14"/>
      <c r="PIG46" s="10"/>
      <c r="PIH46" s="125"/>
      <c r="PII46" s="125"/>
      <c r="PIJ46" s="14"/>
      <c r="PIK46" s="15"/>
      <c r="PIL46" s="125"/>
      <c r="PIM46" s="125"/>
      <c r="PIN46" s="14"/>
      <c r="PIO46" s="15"/>
      <c r="PIP46" s="125"/>
      <c r="PIQ46" s="125"/>
      <c r="PIR46" s="14"/>
      <c r="PIS46" s="15"/>
      <c r="PIT46" s="125"/>
      <c r="PIU46" s="125"/>
      <c r="PIV46" s="14"/>
      <c r="PIW46" s="10"/>
      <c r="PIX46" s="125"/>
      <c r="PIY46" s="125"/>
      <c r="PIZ46" s="14"/>
      <c r="PJA46" s="15"/>
      <c r="PJB46" s="125"/>
      <c r="PJC46" s="125"/>
      <c r="PJD46" s="14"/>
      <c r="PJE46" s="15"/>
      <c r="PJF46" s="125"/>
      <c r="PJG46" s="125"/>
      <c r="PJH46" s="14"/>
      <c r="PJI46" s="15"/>
      <c r="PJJ46" s="125"/>
      <c r="PJK46" s="125"/>
      <c r="PJL46" s="14"/>
      <c r="PJM46" s="10"/>
      <c r="PJN46" s="125"/>
      <c r="PJO46" s="125"/>
      <c r="PJP46" s="14"/>
      <c r="PJQ46" s="15"/>
      <c r="PJR46" s="125"/>
      <c r="PJS46" s="125"/>
      <c r="PJT46" s="14"/>
      <c r="PJU46" s="15"/>
      <c r="PJV46" s="125"/>
      <c r="PJW46" s="125"/>
      <c r="PJX46" s="14"/>
      <c r="PJY46" s="15"/>
      <c r="PJZ46" s="125"/>
      <c r="PKA46" s="125"/>
      <c r="PKB46" s="14"/>
      <c r="PKC46" s="10"/>
      <c r="PKD46" s="125"/>
      <c r="PKE46" s="125"/>
      <c r="PKF46" s="14"/>
      <c r="PKG46" s="15"/>
      <c r="PKH46" s="125"/>
      <c r="PKI46" s="125"/>
      <c r="PKJ46" s="14"/>
      <c r="PKK46" s="15"/>
      <c r="PKL46" s="125"/>
      <c r="PKM46" s="125"/>
      <c r="PKN46" s="14"/>
      <c r="PKO46" s="15"/>
      <c r="PKP46" s="125"/>
      <c r="PKQ46" s="125"/>
      <c r="PKR46" s="14"/>
      <c r="PKS46" s="10"/>
      <c r="PKT46" s="125"/>
      <c r="PKU46" s="125"/>
      <c r="PKV46" s="14"/>
      <c r="PKW46" s="15"/>
      <c r="PKX46" s="125"/>
      <c r="PKY46" s="125"/>
      <c r="PKZ46" s="14"/>
      <c r="PLA46" s="15"/>
      <c r="PLB46" s="125"/>
      <c r="PLC46" s="125"/>
      <c r="PLD46" s="14"/>
      <c r="PLE46" s="15"/>
      <c r="PLF46" s="125"/>
      <c r="PLG46" s="125"/>
      <c r="PLH46" s="14"/>
      <c r="PLI46" s="10"/>
      <c r="PLJ46" s="125"/>
      <c r="PLK46" s="125"/>
      <c r="PLL46" s="14"/>
      <c r="PLM46" s="15"/>
      <c r="PLN46" s="125"/>
      <c r="PLO46" s="125"/>
      <c r="PLP46" s="14"/>
      <c r="PLQ46" s="15"/>
      <c r="PLR46" s="125"/>
      <c r="PLS46" s="125"/>
      <c r="PLT46" s="14"/>
      <c r="PLU46" s="15"/>
      <c r="PLV46" s="125"/>
      <c r="PLW46" s="125"/>
      <c r="PLX46" s="14"/>
      <c r="PLY46" s="10"/>
      <c r="PLZ46" s="125"/>
      <c r="PMA46" s="125"/>
      <c r="PMB46" s="14"/>
      <c r="PMC46" s="15"/>
      <c r="PMD46" s="125"/>
      <c r="PME46" s="125"/>
      <c r="PMF46" s="14"/>
      <c r="PMG46" s="15"/>
      <c r="PMH46" s="125"/>
      <c r="PMI46" s="125"/>
      <c r="PMJ46" s="14"/>
      <c r="PMK46" s="15"/>
      <c r="PML46" s="125"/>
      <c r="PMM46" s="125"/>
      <c r="PMN46" s="14"/>
      <c r="PMO46" s="10"/>
      <c r="PMP46" s="125"/>
      <c r="PMQ46" s="125"/>
      <c r="PMR46" s="14"/>
      <c r="PMS46" s="15"/>
      <c r="PMT46" s="125"/>
      <c r="PMU46" s="125"/>
      <c r="PMV46" s="14"/>
      <c r="PMW46" s="15"/>
      <c r="PMX46" s="125"/>
      <c r="PMY46" s="125"/>
      <c r="PMZ46" s="14"/>
      <c r="PNA46" s="15"/>
      <c r="PNB46" s="125"/>
      <c r="PNC46" s="125"/>
      <c r="PND46" s="14"/>
      <c r="PNE46" s="10"/>
      <c r="PNF46" s="125"/>
      <c r="PNG46" s="125"/>
      <c r="PNH46" s="14"/>
      <c r="PNI46" s="15"/>
      <c r="PNJ46" s="125"/>
      <c r="PNK46" s="125"/>
      <c r="PNL46" s="14"/>
      <c r="PNM46" s="15"/>
      <c r="PNN46" s="125"/>
      <c r="PNO46" s="125"/>
      <c r="PNP46" s="14"/>
      <c r="PNQ46" s="15"/>
      <c r="PNR46" s="125"/>
      <c r="PNS46" s="125"/>
      <c r="PNT46" s="14"/>
      <c r="PNU46" s="10"/>
      <c r="PNV46" s="125"/>
      <c r="PNW46" s="125"/>
      <c r="PNX46" s="14"/>
      <c r="PNY46" s="15"/>
      <c r="PNZ46" s="125"/>
      <c r="POA46" s="125"/>
      <c r="POB46" s="14"/>
      <c r="POC46" s="15"/>
      <c r="POD46" s="125"/>
      <c r="POE46" s="125"/>
      <c r="POF46" s="14"/>
      <c r="POG46" s="15"/>
      <c r="POH46" s="125"/>
      <c r="POI46" s="125"/>
      <c r="POJ46" s="14"/>
      <c r="POK46" s="10"/>
      <c r="POL46" s="125"/>
      <c r="POM46" s="125"/>
      <c r="PON46" s="14"/>
      <c r="POO46" s="15"/>
      <c r="POP46" s="125"/>
      <c r="POQ46" s="125"/>
      <c r="POR46" s="14"/>
      <c r="POS46" s="15"/>
      <c r="POT46" s="125"/>
      <c r="POU46" s="125"/>
      <c r="POV46" s="14"/>
      <c r="POW46" s="15"/>
      <c r="POX46" s="125"/>
      <c r="POY46" s="125"/>
      <c r="POZ46" s="14"/>
      <c r="PPA46" s="10"/>
      <c r="PPB46" s="125"/>
      <c r="PPC46" s="125"/>
      <c r="PPD46" s="14"/>
      <c r="PPE46" s="15"/>
      <c r="PPF46" s="125"/>
      <c r="PPG46" s="125"/>
      <c r="PPH46" s="14"/>
      <c r="PPI46" s="15"/>
      <c r="PPJ46" s="125"/>
      <c r="PPK46" s="125"/>
      <c r="PPL46" s="14"/>
      <c r="PPM46" s="15"/>
      <c r="PPN46" s="125"/>
      <c r="PPO46" s="125"/>
      <c r="PPP46" s="14"/>
      <c r="PPQ46" s="10"/>
      <c r="PPR46" s="125"/>
      <c r="PPS46" s="125"/>
      <c r="PPT46" s="14"/>
      <c r="PPU46" s="15"/>
      <c r="PPV46" s="125"/>
      <c r="PPW46" s="125"/>
      <c r="PPX46" s="14"/>
      <c r="PPY46" s="15"/>
      <c r="PPZ46" s="125"/>
      <c r="PQA46" s="125"/>
      <c r="PQB46" s="14"/>
      <c r="PQC46" s="15"/>
      <c r="PQD46" s="125"/>
      <c r="PQE46" s="125"/>
      <c r="PQF46" s="14"/>
      <c r="PQG46" s="10"/>
      <c r="PQH46" s="125"/>
      <c r="PQI46" s="125"/>
      <c r="PQJ46" s="14"/>
      <c r="PQK46" s="15"/>
      <c r="PQL46" s="125"/>
      <c r="PQM46" s="125"/>
      <c r="PQN46" s="14"/>
      <c r="PQO46" s="15"/>
      <c r="PQP46" s="125"/>
      <c r="PQQ46" s="125"/>
      <c r="PQR46" s="14"/>
      <c r="PQS46" s="15"/>
      <c r="PQT46" s="125"/>
      <c r="PQU46" s="125"/>
      <c r="PQV46" s="14"/>
      <c r="PQW46" s="10"/>
      <c r="PQX46" s="125"/>
      <c r="PQY46" s="125"/>
      <c r="PQZ46" s="14"/>
      <c r="PRA46" s="15"/>
      <c r="PRB46" s="125"/>
      <c r="PRC46" s="125"/>
      <c r="PRD46" s="14"/>
      <c r="PRE46" s="15"/>
      <c r="PRF46" s="125"/>
      <c r="PRG46" s="125"/>
      <c r="PRH46" s="14"/>
      <c r="PRI46" s="15"/>
      <c r="PRJ46" s="125"/>
      <c r="PRK46" s="125"/>
      <c r="PRL46" s="14"/>
      <c r="PRM46" s="10"/>
      <c r="PRN46" s="125"/>
      <c r="PRO46" s="125"/>
      <c r="PRP46" s="14"/>
      <c r="PRQ46" s="15"/>
      <c r="PRR46" s="125"/>
      <c r="PRS46" s="125"/>
      <c r="PRT46" s="14"/>
      <c r="PRU46" s="15"/>
      <c r="PRV46" s="125"/>
      <c r="PRW46" s="125"/>
      <c r="PRX46" s="14"/>
      <c r="PRY46" s="15"/>
      <c r="PRZ46" s="125"/>
      <c r="PSA46" s="125"/>
      <c r="PSB46" s="14"/>
      <c r="PSC46" s="10"/>
      <c r="PSD46" s="125"/>
      <c r="PSE46" s="125"/>
      <c r="PSF46" s="14"/>
      <c r="PSG46" s="15"/>
      <c r="PSH46" s="125"/>
      <c r="PSI46" s="125"/>
      <c r="PSJ46" s="14"/>
      <c r="PSK46" s="15"/>
      <c r="PSL46" s="125"/>
      <c r="PSM46" s="125"/>
      <c r="PSN46" s="14"/>
      <c r="PSO46" s="15"/>
      <c r="PSP46" s="125"/>
      <c r="PSQ46" s="125"/>
      <c r="PSR46" s="14"/>
      <c r="PSS46" s="10"/>
      <c r="PST46" s="125"/>
      <c r="PSU46" s="125"/>
      <c r="PSV46" s="14"/>
      <c r="PSW46" s="15"/>
      <c r="PSX46" s="125"/>
      <c r="PSY46" s="125"/>
      <c r="PSZ46" s="14"/>
      <c r="PTA46" s="15"/>
      <c r="PTB46" s="125"/>
      <c r="PTC46" s="125"/>
      <c r="PTD46" s="14"/>
      <c r="PTE46" s="15"/>
      <c r="PTF46" s="125"/>
      <c r="PTG46" s="125"/>
      <c r="PTH46" s="14"/>
      <c r="PTI46" s="10"/>
      <c r="PTJ46" s="125"/>
      <c r="PTK46" s="125"/>
      <c r="PTL46" s="14"/>
      <c r="PTM46" s="15"/>
      <c r="PTN46" s="125"/>
      <c r="PTO46" s="125"/>
      <c r="PTP46" s="14"/>
      <c r="PTQ46" s="15"/>
      <c r="PTR46" s="125"/>
      <c r="PTS46" s="125"/>
      <c r="PTT46" s="14"/>
      <c r="PTU46" s="15"/>
      <c r="PTV46" s="125"/>
      <c r="PTW46" s="125"/>
      <c r="PTX46" s="14"/>
      <c r="PTY46" s="10"/>
      <c r="PTZ46" s="125"/>
      <c r="PUA46" s="125"/>
      <c r="PUB46" s="14"/>
      <c r="PUC46" s="15"/>
      <c r="PUD46" s="125"/>
      <c r="PUE46" s="125"/>
      <c r="PUF46" s="14"/>
      <c r="PUG46" s="15"/>
      <c r="PUH46" s="125"/>
      <c r="PUI46" s="125"/>
      <c r="PUJ46" s="14"/>
      <c r="PUK46" s="15"/>
      <c r="PUL46" s="125"/>
      <c r="PUM46" s="125"/>
      <c r="PUN46" s="14"/>
      <c r="PUO46" s="10"/>
      <c r="PUP46" s="125"/>
      <c r="PUQ46" s="125"/>
      <c r="PUR46" s="14"/>
      <c r="PUS46" s="15"/>
      <c r="PUT46" s="125"/>
      <c r="PUU46" s="125"/>
      <c r="PUV46" s="14"/>
      <c r="PUW46" s="15"/>
      <c r="PUX46" s="125"/>
      <c r="PUY46" s="125"/>
      <c r="PUZ46" s="14"/>
      <c r="PVA46" s="15"/>
      <c r="PVB46" s="125"/>
      <c r="PVC46" s="125"/>
      <c r="PVD46" s="14"/>
      <c r="PVE46" s="10"/>
      <c r="PVF46" s="125"/>
      <c r="PVG46" s="125"/>
      <c r="PVH46" s="14"/>
      <c r="PVI46" s="15"/>
      <c r="PVJ46" s="125"/>
      <c r="PVK46" s="125"/>
      <c r="PVL46" s="14"/>
      <c r="PVM46" s="15"/>
      <c r="PVN46" s="125"/>
      <c r="PVO46" s="125"/>
      <c r="PVP46" s="14"/>
      <c r="PVQ46" s="15"/>
      <c r="PVR46" s="125"/>
      <c r="PVS46" s="125"/>
      <c r="PVT46" s="14"/>
      <c r="PVU46" s="10"/>
      <c r="PVV46" s="125"/>
      <c r="PVW46" s="125"/>
      <c r="PVX46" s="14"/>
      <c r="PVY46" s="15"/>
      <c r="PVZ46" s="125"/>
      <c r="PWA46" s="125"/>
      <c r="PWB46" s="14"/>
      <c r="PWC46" s="15"/>
      <c r="PWD46" s="125"/>
      <c r="PWE46" s="125"/>
      <c r="PWF46" s="14"/>
      <c r="PWG46" s="15"/>
      <c r="PWH46" s="125"/>
      <c r="PWI46" s="125"/>
      <c r="PWJ46" s="14"/>
      <c r="PWK46" s="10"/>
      <c r="PWL46" s="125"/>
      <c r="PWM46" s="125"/>
      <c r="PWN46" s="14"/>
      <c r="PWO46" s="15"/>
      <c r="PWP46" s="125"/>
      <c r="PWQ46" s="125"/>
      <c r="PWR46" s="14"/>
      <c r="PWS46" s="15"/>
      <c r="PWT46" s="125"/>
      <c r="PWU46" s="125"/>
      <c r="PWV46" s="14"/>
      <c r="PWW46" s="15"/>
      <c r="PWX46" s="125"/>
      <c r="PWY46" s="125"/>
      <c r="PWZ46" s="14"/>
      <c r="PXA46" s="10"/>
      <c r="PXB46" s="125"/>
      <c r="PXC46" s="125"/>
      <c r="PXD46" s="14"/>
      <c r="PXE46" s="15"/>
      <c r="PXF46" s="125"/>
      <c r="PXG46" s="125"/>
      <c r="PXH46" s="14"/>
      <c r="PXI46" s="15"/>
      <c r="PXJ46" s="125"/>
      <c r="PXK46" s="125"/>
      <c r="PXL46" s="14"/>
      <c r="PXM46" s="15"/>
      <c r="PXN46" s="125"/>
      <c r="PXO46" s="125"/>
      <c r="PXP46" s="14"/>
      <c r="PXQ46" s="10"/>
      <c r="PXR46" s="125"/>
      <c r="PXS46" s="125"/>
      <c r="PXT46" s="14"/>
      <c r="PXU46" s="15"/>
      <c r="PXV46" s="125"/>
      <c r="PXW46" s="125"/>
      <c r="PXX46" s="14"/>
      <c r="PXY46" s="15"/>
      <c r="PXZ46" s="125"/>
      <c r="PYA46" s="125"/>
      <c r="PYB46" s="14"/>
      <c r="PYC46" s="15"/>
      <c r="PYD46" s="125"/>
      <c r="PYE46" s="125"/>
      <c r="PYF46" s="14"/>
      <c r="PYG46" s="10"/>
      <c r="PYH46" s="125"/>
      <c r="PYI46" s="125"/>
      <c r="PYJ46" s="14"/>
      <c r="PYK46" s="15"/>
      <c r="PYL46" s="125"/>
      <c r="PYM46" s="125"/>
      <c r="PYN46" s="14"/>
      <c r="PYO46" s="15"/>
      <c r="PYP46" s="125"/>
      <c r="PYQ46" s="125"/>
      <c r="PYR46" s="14"/>
      <c r="PYS46" s="15"/>
      <c r="PYT46" s="125"/>
      <c r="PYU46" s="125"/>
      <c r="PYV46" s="14"/>
      <c r="PYW46" s="10"/>
      <c r="PYX46" s="125"/>
      <c r="PYY46" s="125"/>
      <c r="PYZ46" s="14"/>
      <c r="PZA46" s="15"/>
      <c r="PZB46" s="125"/>
      <c r="PZC46" s="125"/>
      <c r="PZD46" s="14"/>
      <c r="PZE46" s="15"/>
      <c r="PZF46" s="125"/>
      <c r="PZG46" s="125"/>
      <c r="PZH46" s="14"/>
      <c r="PZI46" s="15"/>
      <c r="PZJ46" s="125"/>
      <c r="PZK46" s="125"/>
      <c r="PZL46" s="14"/>
      <c r="PZM46" s="10"/>
      <c r="PZN46" s="125"/>
      <c r="PZO46" s="125"/>
      <c r="PZP46" s="14"/>
      <c r="PZQ46" s="15"/>
      <c r="PZR46" s="125"/>
      <c r="PZS46" s="125"/>
      <c r="PZT46" s="14"/>
      <c r="PZU46" s="15"/>
      <c r="PZV46" s="125"/>
      <c r="PZW46" s="125"/>
      <c r="PZX46" s="14"/>
      <c r="PZY46" s="15"/>
      <c r="PZZ46" s="125"/>
      <c r="QAA46" s="125"/>
      <c r="QAB46" s="14"/>
      <c r="QAC46" s="10"/>
      <c r="QAD46" s="125"/>
      <c r="QAE46" s="125"/>
      <c r="QAF46" s="14"/>
      <c r="QAG46" s="15"/>
      <c r="QAH46" s="125"/>
      <c r="QAI46" s="125"/>
      <c r="QAJ46" s="14"/>
      <c r="QAK46" s="15"/>
      <c r="QAL46" s="125"/>
      <c r="QAM46" s="125"/>
      <c r="QAN46" s="14"/>
      <c r="QAO46" s="15"/>
      <c r="QAP46" s="125"/>
      <c r="QAQ46" s="125"/>
      <c r="QAR46" s="14"/>
      <c r="QAS46" s="10"/>
      <c r="QAT46" s="125"/>
      <c r="QAU46" s="125"/>
      <c r="QAV46" s="14"/>
      <c r="QAW46" s="15"/>
      <c r="QAX46" s="125"/>
      <c r="QAY46" s="125"/>
      <c r="QAZ46" s="14"/>
      <c r="QBA46" s="15"/>
      <c r="QBB46" s="125"/>
      <c r="QBC46" s="125"/>
      <c r="QBD46" s="14"/>
      <c r="QBE46" s="15"/>
      <c r="QBF46" s="125"/>
      <c r="QBG46" s="125"/>
      <c r="QBH46" s="14"/>
      <c r="QBI46" s="10"/>
      <c r="QBJ46" s="125"/>
      <c r="QBK46" s="125"/>
      <c r="QBL46" s="14"/>
      <c r="QBM46" s="15"/>
      <c r="QBN46" s="125"/>
      <c r="QBO46" s="125"/>
      <c r="QBP46" s="14"/>
      <c r="QBQ46" s="15"/>
      <c r="QBR46" s="125"/>
      <c r="QBS46" s="125"/>
      <c r="QBT46" s="14"/>
      <c r="QBU46" s="15"/>
      <c r="QBV46" s="125"/>
      <c r="QBW46" s="125"/>
      <c r="QBX46" s="14"/>
      <c r="QBY46" s="10"/>
      <c r="QBZ46" s="125"/>
      <c r="QCA46" s="125"/>
      <c r="QCB46" s="14"/>
      <c r="QCC46" s="15"/>
      <c r="QCD46" s="125"/>
      <c r="QCE46" s="125"/>
      <c r="QCF46" s="14"/>
      <c r="QCG46" s="15"/>
      <c r="QCH46" s="125"/>
      <c r="QCI46" s="125"/>
      <c r="QCJ46" s="14"/>
      <c r="QCK46" s="15"/>
      <c r="QCL46" s="125"/>
      <c r="QCM46" s="125"/>
      <c r="QCN46" s="14"/>
      <c r="QCO46" s="10"/>
      <c r="QCP46" s="125"/>
      <c r="QCQ46" s="125"/>
      <c r="QCR46" s="14"/>
      <c r="QCS46" s="15"/>
      <c r="QCT46" s="125"/>
      <c r="QCU46" s="125"/>
      <c r="QCV46" s="14"/>
      <c r="QCW46" s="15"/>
      <c r="QCX46" s="125"/>
      <c r="QCY46" s="125"/>
      <c r="QCZ46" s="14"/>
      <c r="QDA46" s="15"/>
      <c r="QDB46" s="125"/>
      <c r="QDC46" s="125"/>
      <c r="QDD46" s="14"/>
      <c r="QDE46" s="10"/>
      <c r="QDF46" s="125"/>
      <c r="QDG46" s="125"/>
      <c r="QDH46" s="14"/>
      <c r="QDI46" s="15"/>
      <c r="QDJ46" s="125"/>
      <c r="QDK46" s="125"/>
      <c r="QDL46" s="14"/>
      <c r="QDM46" s="15"/>
      <c r="QDN46" s="125"/>
      <c r="QDO46" s="125"/>
      <c r="QDP46" s="14"/>
      <c r="QDQ46" s="15"/>
      <c r="QDR46" s="125"/>
      <c r="QDS46" s="125"/>
      <c r="QDT46" s="14"/>
      <c r="QDU46" s="10"/>
      <c r="QDV46" s="125"/>
      <c r="QDW46" s="125"/>
      <c r="QDX46" s="14"/>
      <c r="QDY46" s="15"/>
      <c r="QDZ46" s="125"/>
      <c r="QEA46" s="125"/>
      <c r="QEB46" s="14"/>
      <c r="QEC46" s="15"/>
      <c r="QED46" s="125"/>
      <c r="QEE46" s="125"/>
      <c r="QEF46" s="14"/>
      <c r="QEG46" s="15"/>
      <c r="QEH46" s="125"/>
      <c r="QEI46" s="125"/>
      <c r="QEJ46" s="14"/>
      <c r="QEK46" s="10"/>
      <c r="QEL46" s="125"/>
      <c r="QEM46" s="125"/>
      <c r="QEN46" s="14"/>
      <c r="QEO46" s="15"/>
      <c r="QEP46" s="125"/>
      <c r="QEQ46" s="125"/>
      <c r="QER46" s="14"/>
      <c r="QES46" s="15"/>
      <c r="QET46" s="125"/>
      <c r="QEU46" s="125"/>
      <c r="QEV46" s="14"/>
      <c r="QEW46" s="15"/>
      <c r="QEX46" s="125"/>
      <c r="QEY46" s="125"/>
      <c r="QEZ46" s="14"/>
      <c r="QFA46" s="10"/>
      <c r="QFB46" s="125"/>
      <c r="QFC46" s="125"/>
      <c r="QFD46" s="14"/>
      <c r="QFE46" s="15"/>
      <c r="QFF46" s="125"/>
      <c r="QFG46" s="125"/>
      <c r="QFH46" s="14"/>
      <c r="QFI46" s="15"/>
      <c r="QFJ46" s="125"/>
      <c r="QFK46" s="125"/>
      <c r="QFL46" s="14"/>
      <c r="QFM46" s="15"/>
      <c r="QFN46" s="125"/>
      <c r="QFO46" s="125"/>
      <c r="QFP46" s="14"/>
      <c r="QFQ46" s="10"/>
      <c r="QFR46" s="125"/>
      <c r="QFS46" s="125"/>
      <c r="QFT46" s="14"/>
      <c r="QFU46" s="15"/>
      <c r="QFV46" s="125"/>
      <c r="QFW46" s="125"/>
      <c r="QFX46" s="14"/>
      <c r="QFY46" s="15"/>
      <c r="QFZ46" s="125"/>
      <c r="QGA46" s="125"/>
      <c r="QGB46" s="14"/>
      <c r="QGC46" s="15"/>
      <c r="QGD46" s="125"/>
      <c r="QGE46" s="125"/>
      <c r="QGF46" s="14"/>
      <c r="QGG46" s="10"/>
      <c r="QGH46" s="125"/>
      <c r="QGI46" s="125"/>
      <c r="QGJ46" s="14"/>
      <c r="QGK46" s="15"/>
      <c r="QGL46" s="125"/>
      <c r="QGM46" s="125"/>
      <c r="QGN46" s="14"/>
      <c r="QGO46" s="15"/>
      <c r="QGP46" s="125"/>
      <c r="QGQ46" s="125"/>
      <c r="QGR46" s="14"/>
      <c r="QGS46" s="15"/>
      <c r="QGT46" s="125"/>
      <c r="QGU46" s="125"/>
      <c r="QGV46" s="14"/>
      <c r="QGW46" s="10"/>
      <c r="QGX46" s="125"/>
      <c r="QGY46" s="125"/>
      <c r="QGZ46" s="14"/>
      <c r="QHA46" s="15"/>
      <c r="QHB46" s="125"/>
      <c r="QHC46" s="125"/>
      <c r="QHD46" s="14"/>
      <c r="QHE46" s="15"/>
      <c r="QHF46" s="125"/>
      <c r="QHG46" s="125"/>
      <c r="QHH46" s="14"/>
      <c r="QHI46" s="15"/>
      <c r="QHJ46" s="125"/>
      <c r="QHK46" s="125"/>
      <c r="QHL46" s="14"/>
      <c r="QHM46" s="10"/>
      <c r="QHN46" s="125"/>
      <c r="QHO46" s="125"/>
      <c r="QHP46" s="14"/>
      <c r="QHQ46" s="15"/>
      <c r="QHR46" s="125"/>
      <c r="QHS46" s="125"/>
      <c r="QHT46" s="14"/>
      <c r="QHU46" s="15"/>
      <c r="QHV46" s="125"/>
      <c r="QHW46" s="125"/>
      <c r="QHX46" s="14"/>
      <c r="QHY46" s="15"/>
      <c r="QHZ46" s="125"/>
      <c r="QIA46" s="125"/>
      <c r="QIB46" s="14"/>
      <c r="QIC46" s="10"/>
      <c r="QID46" s="125"/>
      <c r="QIE46" s="125"/>
      <c r="QIF46" s="14"/>
      <c r="QIG46" s="15"/>
      <c r="QIH46" s="125"/>
      <c r="QII46" s="125"/>
      <c r="QIJ46" s="14"/>
      <c r="QIK46" s="15"/>
      <c r="QIL46" s="125"/>
      <c r="QIM46" s="125"/>
      <c r="QIN46" s="14"/>
      <c r="QIO46" s="15"/>
      <c r="QIP46" s="125"/>
      <c r="QIQ46" s="125"/>
      <c r="QIR46" s="14"/>
      <c r="QIS46" s="10"/>
      <c r="QIT46" s="125"/>
      <c r="QIU46" s="125"/>
      <c r="QIV46" s="14"/>
      <c r="QIW46" s="15"/>
      <c r="QIX46" s="125"/>
      <c r="QIY46" s="125"/>
      <c r="QIZ46" s="14"/>
      <c r="QJA46" s="15"/>
      <c r="QJB46" s="125"/>
      <c r="QJC46" s="125"/>
      <c r="QJD46" s="14"/>
      <c r="QJE46" s="15"/>
      <c r="QJF46" s="125"/>
      <c r="QJG46" s="125"/>
      <c r="QJH46" s="14"/>
      <c r="QJI46" s="10"/>
      <c r="QJJ46" s="125"/>
      <c r="QJK46" s="125"/>
      <c r="QJL46" s="14"/>
      <c r="QJM46" s="15"/>
      <c r="QJN46" s="125"/>
      <c r="QJO46" s="125"/>
      <c r="QJP46" s="14"/>
      <c r="QJQ46" s="15"/>
      <c r="QJR46" s="125"/>
      <c r="QJS46" s="125"/>
      <c r="QJT46" s="14"/>
      <c r="QJU46" s="15"/>
      <c r="QJV46" s="125"/>
      <c r="QJW46" s="125"/>
      <c r="QJX46" s="14"/>
      <c r="QJY46" s="10"/>
      <c r="QJZ46" s="125"/>
      <c r="QKA46" s="125"/>
      <c r="QKB46" s="14"/>
      <c r="QKC46" s="15"/>
      <c r="QKD46" s="125"/>
      <c r="QKE46" s="125"/>
      <c r="QKF46" s="14"/>
      <c r="QKG46" s="15"/>
      <c r="QKH46" s="125"/>
      <c r="QKI46" s="125"/>
      <c r="QKJ46" s="14"/>
      <c r="QKK46" s="15"/>
      <c r="QKL46" s="125"/>
      <c r="QKM46" s="125"/>
      <c r="QKN46" s="14"/>
      <c r="QKO46" s="10"/>
      <c r="QKP46" s="125"/>
      <c r="QKQ46" s="125"/>
      <c r="QKR46" s="14"/>
      <c r="QKS46" s="15"/>
      <c r="QKT46" s="125"/>
      <c r="QKU46" s="125"/>
      <c r="QKV46" s="14"/>
      <c r="QKW46" s="15"/>
      <c r="QKX46" s="125"/>
      <c r="QKY46" s="125"/>
      <c r="QKZ46" s="14"/>
      <c r="QLA46" s="15"/>
      <c r="QLB46" s="125"/>
      <c r="QLC46" s="125"/>
      <c r="QLD46" s="14"/>
      <c r="QLE46" s="10"/>
      <c r="QLF46" s="125"/>
      <c r="QLG46" s="125"/>
      <c r="QLH46" s="14"/>
      <c r="QLI46" s="15"/>
      <c r="QLJ46" s="125"/>
      <c r="QLK46" s="125"/>
      <c r="QLL46" s="14"/>
      <c r="QLM46" s="15"/>
      <c r="QLN46" s="125"/>
      <c r="QLO46" s="125"/>
      <c r="QLP46" s="14"/>
      <c r="QLQ46" s="15"/>
      <c r="QLR46" s="125"/>
      <c r="QLS46" s="125"/>
      <c r="QLT46" s="14"/>
      <c r="QLU46" s="10"/>
      <c r="QLV46" s="125"/>
      <c r="QLW46" s="125"/>
      <c r="QLX46" s="14"/>
      <c r="QLY46" s="15"/>
      <c r="QLZ46" s="125"/>
      <c r="QMA46" s="125"/>
      <c r="QMB46" s="14"/>
      <c r="QMC46" s="15"/>
      <c r="QMD46" s="125"/>
      <c r="QME46" s="125"/>
      <c r="QMF46" s="14"/>
      <c r="QMG46" s="15"/>
      <c r="QMH46" s="125"/>
      <c r="QMI46" s="125"/>
      <c r="QMJ46" s="14"/>
      <c r="QMK46" s="10"/>
      <c r="QML46" s="125"/>
      <c r="QMM46" s="125"/>
      <c r="QMN46" s="14"/>
      <c r="QMO46" s="15"/>
      <c r="QMP46" s="125"/>
      <c r="QMQ46" s="125"/>
      <c r="QMR46" s="14"/>
      <c r="QMS46" s="15"/>
      <c r="QMT46" s="125"/>
      <c r="QMU46" s="125"/>
      <c r="QMV46" s="14"/>
      <c r="QMW46" s="15"/>
      <c r="QMX46" s="125"/>
      <c r="QMY46" s="125"/>
      <c r="QMZ46" s="14"/>
      <c r="QNA46" s="10"/>
      <c r="QNB46" s="125"/>
      <c r="QNC46" s="125"/>
      <c r="QND46" s="14"/>
      <c r="QNE46" s="15"/>
      <c r="QNF46" s="125"/>
      <c r="QNG46" s="125"/>
      <c r="QNH46" s="14"/>
      <c r="QNI46" s="15"/>
      <c r="QNJ46" s="125"/>
      <c r="QNK46" s="125"/>
      <c r="QNL46" s="14"/>
      <c r="QNM46" s="15"/>
      <c r="QNN46" s="125"/>
      <c r="QNO46" s="125"/>
      <c r="QNP46" s="14"/>
      <c r="QNQ46" s="10"/>
      <c r="QNR46" s="125"/>
      <c r="QNS46" s="125"/>
      <c r="QNT46" s="14"/>
      <c r="QNU46" s="15"/>
      <c r="QNV46" s="125"/>
      <c r="QNW46" s="125"/>
      <c r="QNX46" s="14"/>
      <c r="QNY46" s="15"/>
      <c r="QNZ46" s="125"/>
      <c r="QOA46" s="125"/>
      <c r="QOB46" s="14"/>
      <c r="QOC46" s="15"/>
      <c r="QOD46" s="125"/>
      <c r="QOE46" s="125"/>
      <c r="QOF46" s="14"/>
      <c r="QOG46" s="10"/>
      <c r="QOH46" s="125"/>
      <c r="QOI46" s="125"/>
      <c r="QOJ46" s="14"/>
      <c r="QOK46" s="15"/>
      <c r="QOL46" s="125"/>
      <c r="QOM46" s="125"/>
      <c r="QON46" s="14"/>
      <c r="QOO46" s="15"/>
      <c r="QOP46" s="125"/>
      <c r="QOQ46" s="125"/>
      <c r="QOR46" s="14"/>
      <c r="QOS46" s="15"/>
      <c r="QOT46" s="125"/>
      <c r="QOU46" s="125"/>
      <c r="QOV46" s="14"/>
      <c r="QOW46" s="10"/>
      <c r="QOX46" s="125"/>
      <c r="QOY46" s="125"/>
      <c r="QOZ46" s="14"/>
      <c r="QPA46" s="15"/>
      <c r="QPB46" s="125"/>
      <c r="QPC46" s="125"/>
      <c r="QPD46" s="14"/>
      <c r="QPE46" s="15"/>
      <c r="QPF46" s="125"/>
      <c r="QPG46" s="125"/>
      <c r="QPH46" s="14"/>
      <c r="QPI46" s="15"/>
      <c r="QPJ46" s="125"/>
      <c r="QPK46" s="125"/>
      <c r="QPL46" s="14"/>
      <c r="QPM46" s="10"/>
      <c r="QPN46" s="125"/>
      <c r="QPO46" s="125"/>
      <c r="QPP46" s="14"/>
      <c r="QPQ46" s="15"/>
      <c r="QPR46" s="125"/>
      <c r="QPS46" s="125"/>
      <c r="QPT46" s="14"/>
      <c r="QPU46" s="15"/>
      <c r="QPV46" s="125"/>
      <c r="QPW46" s="125"/>
      <c r="QPX46" s="14"/>
      <c r="QPY46" s="15"/>
      <c r="QPZ46" s="125"/>
      <c r="QQA46" s="125"/>
      <c r="QQB46" s="14"/>
      <c r="QQC46" s="10"/>
      <c r="QQD46" s="125"/>
      <c r="QQE46" s="125"/>
      <c r="QQF46" s="14"/>
      <c r="QQG46" s="15"/>
      <c r="QQH46" s="125"/>
      <c r="QQI46" s="125"/>
      <c r="QQJ46" s="14"/>
      <c r="QQK46" s="15"/>
      <c r="QQL46" s="125"/>
      <c r="QQM46" s="125"/>
      <c r="QQN46" s="14"/>
      <c r="QQO46" s="15"/>
      <c r="QQP46" s="125"/>
      <c r="QQQ46" s="125"/>
      <c r="QQR46" s="14"/>
      <c r="QQS46" s="10"/>
      <c r="QQT46" s="125"/>
      <c r="QQU46" s="125"/>
      <c r="QQV46" s="14"/>
      <c r="QQW46" s="15"/>
      <c r="QQX46" s="125"/>
      <c r="QQY46" s="125"/>
      <c r="QQZ46" s="14"/>
      <c r="QRA46" s="15"/>
      <c r="QRB46" s="125"/>
      <c r="QRC46" s="125"/>
      <c r="QRD46" s="14"/>
      <c r="QRE46" s="15"/>
      <c r="QRF46" s="125"/>
      <c r="QRG46" s="125"/>
      <c r="QRH46" s="14"/>
      <c r="QRI46" s="10"/>
      <c r="QRJ46" s="125"/>
      <c r="QRK46" s="125"/>
      <c r="QRL46" s="14"/>
      <c r="QRM46" s="15"/>
      <c r="QRN46" s="125"/>
      <c r="QRO46" s="125"/>
      <c r="QRP46" s="14"/>
      <c r="QRQ46" s="15"/>
      <c r="QRR46" s="125"/>
      <c r="QRS46" s="125"/>
      <c r="QRT46" s="14"/>
      <c r="QRU46" s="15"/>
      <c r="QRV46" s="125"/>
      <c r="QRW46" s="125"/>
      <c r="QRX46" s="14"/>
      <c r="QRY46" s="10"/>
      <c r="QRZ46" s="125"/>
      <c r="QSA46" s="125"/>
      <c r="QSB46" s="14"/>
      <c r="QSC46" s="15"/>
      <c r="QSD46" s="125"/>
      <c r="QSE46" s="125"/>
      <c r="QSF46" s="14"/>
      <c r="QSG46" s="15"/>
      <c r="QSH46" s="125"/>
      <c r="QSI46" s="125"/>
      <c r="QSJ46" s="14"/>
      <c r="QSK46" s="15"/>
      <c r="QSL46" s="125"/>
      <c r="QSM46" s="125"/>
      <c r="QSN46" s="14"/>
      <c r="QSO46" s="10"/>
      <c r="QSP46" s="125"/>
      <c r="QSQ46" s="125"/>
      <c r="QSR46" s="14"/>
      <c r="QSS46" s="15"/>
      <c r="QST46" s="125"/>
      <c r="QSU46" s="125"/>
      <c r="QSV46" s="14"/>
      <c r="QSW46" s="15"/>
      <c r="QSX46" s="125"/>
      <c r="QSY46" s="125"/>
      <c r="QSZ46" s="14"/>
      <c r="QTA46" s="15"/>
      <c r="QTB46" s="125"/>
      <c r="QTC46" s="125"/>
      <c r="QTD46" s="14"/>
      <c r="QTE46" s="10"/>
      <c r="QTF46" s="125"/>
      <c r="QTG46" s="125"/>
      <c r="QTH46" s="14"/>
      <c r="QTI46" s="15"/>
      <c r="QTJ46" s="125"/>
      <c r="QTK46" s="125"/>
      <c r="QTL46" s="14"/>
      <c r="QTM46" s="15"/>
      <c r="QTN46" s="125"/>
      <c r="QTO46" s="125"/>
      <c r="QTP46" s="14"/>
      <c r="QTQ46" s="15"/>
      <c r="QTR46" s="125"/>
      <c r="QTS46" s="125"/>
      <c r="QTT46" s="14"/>
      <c r="QTU46" s="10"/>
      <c r="QTV46" s="125"/>
      <c r="QTW46" s="125"/>
      <c r="QTX46" s="14"/>
      <c r="QTY46" s="15"/>
      <c r="QTZ46" s="125"/>
      <c r="QUA46" s="125"/>
      <c r="QUB46" s="14"/>
      <c r="QUC46" s="15"/>
      <c r="QUD46" s="125"/>
      <c r="QUE46" s="125"/>
      <c r="QUF46" s="14"/>
      <c r="QUG46" s="15"/>
      <c r="QUH46" s="125"/>
      <c r="QUI46" s="125"/>
      <c r="QUJ46" s="14"/>
      <c r="QUK46" s="10"/>
      <c r="QUL46" s="125"/>
      <c r="QUM46" s="125"/>
      <c r="QUN46" s="14"/>
      <c r="QUO46" s="15"/>
      <c r="QUP46" s="125"/>
      <c r="QUQ46" s="125"/>
      <c r="QUR46" s="14"/>
      <c r="QUS46" s="15"/>
      <c r="QUT46" s="125"/>
      <c r="QUU46" s="125"/>
      <c r="QUV46" s="14"/>
      <c r="QUW46" s="15"/>
      <c r="QUX46" s="125"/>
      <c r="QUY46" s="125"/>
      <c r="QUZ46" s="14"/>
      <c r="QVA46" s="10"/>
      <c r="QVB46" s="125"/>
      <c r="QVC46" s="125"/>
      <c r="QVD46" s="14"/>
      <c r="QVE46" s="15"/>
      <c r="QVF46" s="125"/>
      <c r="QVG46" s="125"/>
      <c r="QVH46" s="14"/>
      <c r="QVI46" s="15"/>
      <c r="QVJ46" s="125"/>
      <c r="QVK46" s="125"/>
      <c r="QVL46" s="14"/>
      <c r="QVM46" s="15"/>
      <c r="QVN46" s="125"/>
      <c r="QVO46" s="125"/>
      <c r="QVP46" s="14"/>
      <c r="QVQ46" s="10"/>
      <c r="QVR46" s="125"/>
      <c r="QVS46" s="125"/>
      <c r="QVT46" s="14"/>
      <c r="QVU46" s="15"/>
      <c r="QVV46" s="125"/>
      <c r="QVW46" s="125"/>
      <c r="QVX46" s="14"/>
      <c r="QVY46" s="15"/>
      <c r="QVZ46" s="125"/>
      <c r="QWA46" s="125"/>
      <c r="QWB46" s="14"/>
      <c r="QWC46" s="15"/>
      <c r="QWD46" s="125"/>
      <c r="QWE46" s="125"/>
      <c r="QWF46" s="14"/>
      <c r="QWG46" s="10"/>
      <c r="QWH46" s="125"/>
      <c r="QWI46" s="125"/>
      <c r="QWJ46" s="14"/>
      <c r="QWK46" s="15"/>
      <c r="QWL46" s="125"/>
      <c r="QWM46" s="125"/>
      <c r="QWN46" s="14"/>
      <c r="QWO46" s="15"/>
      <c r="QWP46" s="125"/>
      <c r="QWQ46" s="125"/>
      <c r="QWR46" s="14"/>
      <c r="QWS46" s="15"/>
      <c r="QWT46" s="125"/>
      <c r="QWU46" s="125"/>
      <c r="QWV46" s="14"/>
      <c r="QWW46" s="10"/>
      <c r="QWX46" s="125"/>
      <c r="QWY46" s="125"/>
      <c r="QWZ46" s="14"/>
      <c r="QXA46" s="15"/>
      <c r="QXB46" s="125"/>
      <c r="QXC46" s="125"/>
      <c r="QXD46" s="14"/>
      <c r="QXE46" s="15"/>
      <c r="QXF46" s="125"/>
      <c r="QXG46" s="125"/>
      <c r="QXH46" s="14"/>
      <c r="QXI46" s="15"/>
      <c r="QXJ46" s="125"/>
      <c r="QXK46" s="125"/>
      <c r="QXL46" s="14"/>
      <c r="QXM46" s="10"/>
      <c r="QXN46" s="125"/>
      <c r="QXO46" s="125"/>
      <c r="QXP46" s="14"/>
      <c r="QXQ46" s="15"/>
      <c r="QXR46" s="125"/>
      <c r="QXS46" s="125"/>
      <c r="QXT46" s="14"/>
      <c r="QXU46" s="15"/>
      <c r="QXV46" s="125"/>
      <c r="QXW46" s="125"/>
      <c r="QXX46" s="14"/>
      <c r="QXY46" s="15"/>
      <c r="QXZ46" s="125"/>
      <c r="QYA46" s="125"/>
      <c r="QYB46" s="14"/>
      <c r="QYC46" s="10"/>
      <c r="QYD46" s="125"/>
      <c r="QYE46" s="125"/>
      <c r="QYF46" s="14"/>
      <c r="QYG46" s="15"/>
      <c r="QYH46" s="125"/>
      <c r="QYI46" s="125"/>
      <c r="QYJ46" s="14"/>
      <c r="QYK46" s="15"/>
      <c r="QYL46" s="125"/>
      <c r="QYM46" s="125"/>
      <c r="QYN46" s="14"/>
      <c r="QYO46" s="15"/>
      <c r="QYP46" s="125"/>
      <c r="QYQ46" s="125"/>
      <c r="QYR46" s="14"/>
      <c r="QYS46" s="10"/>
      <c r="QYT46" s="125"/>
      <c r="QYU46" s="125"/>
      <c r="QYV46" s="14"/>
      <c r="QYW46" s="15"/>
      <c r="QYX46" s="125"/>
      <c r="QYY46" s="125"/>
      <c r="QYZ46" s="14"/>
      <c r="QZA46" s="15"/>
      <c r="QZB46" s="125"/>
      <c r="QZC46" s="125"/>
      <c r="QZD46" s="14"/>
      <c r="QZE46" s="15"/>
      <c r="QZF46" s="125"/>
      <c r="QZG46" s="125"/>
      <c r="QZH46" s="14"/>
      <c r="QZI46" s="10"/>
      <c r="QZJ46" s="125"/>
      <c r="QZK46" s="125"/>
      <c r="QZL46" s="14"/>
      <c r="QZM46" s="15"/>
      <c r="QZN46" s="125"/>
      <c r="QZO46" s="125"/>
      <c r="QZP46" s="14"/>
      <c r="QZQ46" s="15"/>
      <c r="QZR46" s="125"/>
      <c r="QZS46" s="125"/>
      <c r="QZT46" s="14"/>
      <c r="QZU46" s="15"/>
      <c r="QZV46" s="125"/>
      <c r="QZW46" s="125"/>
      <c r="QZX46" s="14"/>
      <c r="QZY46" s="10"/>
      <c r="QZZ46" s="125"/>
      <c r="RAA46" s="125"/>
      <c r="RAB46" s="14"/>
      <c r="RAC46" s="15"/>
      <c r="RAD46" s="125"/>
      <c r="RAE46" s="125"/>
      <c r="RAF46" s="14"/>
      <c r="RAG46" s="15"/>
      <c r="RAH46" s="125"/>
      <c r="RAI46" s="125"/>
      <c r="RAJ46" s="14"/>
      <c r="RAK46" s="15"/>
      <c r="RAL46" s="125"/>
      <c r="RAM46" s="125"/>
      <c r="RAN46" s="14"/>
      <c r="RAO46" s="10"/>
      <c r="RAP46" s="125"/>
      <c r="RAQ46" s="125"/>
      <c r="RAR46" s="14"/>
      <c r="RAS46" s="15"/>
      <c r="RAT46" s="125"/>
      <c r="RAU46" s="125"/>
      <c r="RAV46" s="14"/>
      <c r="RAW46" s="15"/>
      <c r="RAX46" s="125"/>
      <c r="RAY46" s="125"/>
      <c r="RAZ46" s="14"/>
      <c r="RBA46" s="15"/>
      <c r="RBB46" s="125"/>
      <c r="RBC46" s="125"/>
      <c r="RBD46" s="14"/>
      <c r="RBE46" s="10"/>
      <c r="RBF46" s="125"/>
      <c r="RBG46" s="125"/>
      <c r="RBH46" s="14"/>
      <c r="RBI46" s="15"/>
      <c r="RBJ46" s="125"/>
      <c r="RBK46" s="125"/>
      <c r="RBL46" s="14"/>
      <c r="RBM46" s="15"/>
      <c r="RBN46" s="125"/>
      <c r="RBO46" s="125"/>
      <c r="RBP46" s="14"/>
      <c r="RBQ46" s="15"/>
      <c r="RBR46" s="125"/>
      <c r="RBS46" s="125"/>
      <c r="RBT46" s="14"/>
      <c r="RBU46" s="10"/>
      <c r="RBV46" s="125"/>
      <c r="RBW46" s="125"/>
      <c r="RBX46" s="14"/>
      <c r="RBY46" s="15"/>
      <c r="RBZ46" s="125"/>
      <c r="RCA46" s="125"/>
      <c r="RCB46" s="14"/>
      <c r="RCC46" s="15"/>
      <c r="RCD46" s="125"/>
      <c r="RCE46" s="125"/>
      <c r="RCF46" s="14"/>
      <c r="RCG46" s="15"/>
      <c r="RCH46" s="125"/>
      <c r="RCI46" s="125"/>
      <c r="RCJ46" s="14"/>
      <c r="RCK46" s="10"/>
      <c r="RCL46" s="125"/>
      <c r="RCM46" s="125"/>
      <c r="RCN46" s="14"/>
      <c r="RCO46" s="15"/>
      <c r="RCP46" s="125"/>
      <c r="RCQ46" s="125"/>
      <c r="RCR46" s="14"/>
      <c r="RCS46" s="15"/>
      <c r="RCT46" s="125"/>
      <c r="RCU46" s="125"/>
      <c r="RCV46" s="14"/>
      <c r="RCW46" s="15"/>
      <c r="RCX46" s="125"/>
      <c r="RCY46" s="125"/>
      <c r="RCZ46" s="14"/>
      <c r="RDA46" s="10"/>
      <c r="RDB46" s="125"/>
      <c r="RDC46" s="125"/>
      <c r="RDD46" s="14"/>
      <c r="RDE46" s="15"/>
      <c r="RDF46" s="125"/>
      <c r="RDG46" s="125"/>
      <c r="RDH46" s="14"/>
      <c r="RDI46" s="15"/>
      <c r="RDJ46" s="125"/>
      <c r="RDK46" s="125"/>
      <c r="RDL46" s="14"/>
      <c r="RDM46" s="15"/>
      <c r="RDN46" s="125"/>
      <c r="RDO46" s="125"/>
      <c r="RDP46" s="14"/>
      <c r="RDQ46" s="10"/>
      <c r="RDR46" s="125"/>
      <c r="RDS46" s="125"/>
      <c r="RDT46" s="14"/>
      <c r="RDU46" s="15"/>
      <c r="RDV46" s="125"/>
      <c r="RDW46" s="125"/>
      <c r="RDX46" s="14"/>
      <c r="RDY46" s="15"/>
      <c r="RDZ46" s="125"/>
      <c r="REA46" s="125"/>
      <c r="REB46" s="14"/>
      <c r="REC46" s="15"/>
      <c r="RED46" s="125"/>
      <c r="REE46" s="125"/>
      <c r="REF46" s="14"/>
      <c r="REG46" s="10"/>
      <c r="REH46" s="125"/>
      <c r="REI46" s="125"/>
      <c r="REJ46" s="14"/>
      <c r="REK46" s="15"/>
      <c r="REL46" s="125"/>
      <c r="REM46" s="125"/>
      <c r="REN46" s="14"/>
      <c r="REO46" s="15"/>
      <c r="REP46" s="125"/>
      <c r="REQ46" s="125"/>
      <c r="RER46" s="14"/>
      <c r="RES46" s="15"/>
      <c r="RET46" s="125"/>
      <c r="REU46" s="125"/>
      <c r="REV46" s="14"/>
      <c r="REW46" s="10"/>
      <c r="REX46" s="125"/>
      <c r="REY46" s="125"/>
      <c r="REZ46" s="14"/>
      <c r="RFA46" s="15"/>
      <c r="RFB46" s="125"/>
      <c r="RFC46" s="125"/>
      <c r="RFD46" s="14"/>
      <c r="RFE46" s="15"/>
      <c r="RFF46" s="125"/>
      <c r="RFG46" s="125"/>
      <c r="RFH46" s="14"/>
      <c r="RFI46" s="15"/>
      <c r="RFJ46" s="125"/>
      <c r="RFK46" s="125"/>
      <c r="RFL46" s="14"/>
      <c r="RFM46" s="10"/>
      <c r="RFN46" s="125"/>
      <c r="RFO46" s="125"/>
      <c r="RFP46" s="14"/>
      <c r="RFQ46" s="15"/>
      <c r="RFR46" s="125"/>
      <c r="RFS46" s="125"/>
      <c r="RFT46" s="14"/>
      <c r="RFU46" s="15"/>
      <c r="RFV46" s="125"/>
      <c r="RFW46" s="125"/>
      <c r="RFX46" s="14"/>
      <c r="RFY46" s="15"/>
      <c r="RFZ46" s="125"/>
      <c r="RGA46" s="125"/>
      <c r="RGB46" s="14"/>
      <c r="RGC46" s="10"/>
      <c r="RGD46" s="125"/>
      <c r="RGE46" s="125"/>
      <c r="RGF46" s="14"/>
      <c r="RGG46" s="15"/>
      <c r="RGH46" s="125"/>
      <c r="RGI46" s="125"/>
      <c r="RGJ46" s="14"/>
      <c r="RGK46" s="15"/>
      <c r="RGL46" s="125"/>
      <c r="RGM46" s="125"/>
      <c r="RGN46" s="14"/>
      <c r="RGO46" s="15"/>
      <c r="RGP46" s="125"/>
      <c r="RGQ46" s="125"/>
      <c r="RGR46" s="14"/>
      <c r="RGS46" s="10"/>
      <c r="RGT46" s="125"/>
      <c r="RGU46" s="125"/>
      <c r="RGV46" s="14"/>
      <c r="RGW46" s="15"/>
      <c r="RGX46" s="125"/>
      <c r="RGY46" s="125"/>
      <c r="RGZ46" s="14"/>
      <c r="RHA46" s="15"/>
      <c r="RHB46" s="125"/>
      <c r="RHC46" s="125"/>
      <c r="RHD46" s="14"/>
      <c r="RHE46" s="15"/>
      <c r="RHF46" s="125"/>
      <c r="RHG46" s="125"/>
      <c r="RHH46" s="14"/>
      <c r="RHI46" s="10"/>
      <c r="RHJ46" s="125"/>
      <c r="RHK46" s="125"/>
      <c r="RHL46" s="14"/>
      <c r="RHM46" s="15"/>
      <c r="RHN46" s="125"/>
      <c r="RHO46" s="125"/>
      <c r="RHP46" s="14"/>
      <c r="RHQ46" s="15"/>
      <c r="RHR46" s="125"/>
      <c r="RHS46" s="125"/>
      <c r="RHT46" s="14"/>
      <c r="RHU46" s="15"/>
      <c r="RHV46" s="125"/>
      <c r="RHW46" s="125"/>
      <c r="RHX46" s="14"/>
      <c r="RHY46" s="10"/>
      <c r="RHZ46" s="125"/>
      <c r="RIA46" s="125"/>
      <c r="RIB46" s="14"/>
      <c r="RIC46" s="15"/>
      <c r="RID46" s="125"/>
      <c r="RIE46" s="125"/>
      <c r="RIF46" s="14"/>
      <c r="RIG46" s="15"/>
      <c r="RIH46" s="125"/>
      <c r="RII46" s="125"/>
      <c r="RIJ46" s="14"/>
      <c r="RIK46" s="15"/>
      <c r="RIL46" s="125"/>
      <c r="RIM46" s="125"/>
      <c r="RIN46" s="14"/>
      <c r="RIO46" s="10"/>
      <c r="RIP46" s="125"/>
      <c r="RIQ46" s="125"/>
      <c r="RIR46" s="14"/>
      <c r="RIS46" s="15"/>
      <c r="RIT46" s="125"/>
      <c r="RIU46" s="125"/>
      <c r="RIV46" s="14"/>
      <c r="RIW46" s="15"/>
      <c r="RIX46" s="125"/>
      <c r="RIY46" s="125"/>
      <c r="RIZ46" s="14"/>
      <c r="RJA46" s="15"/>
      <c r="RJB46" s="125"/>
      <c r="RJC46" s="125"/>
      <c r="RJD46" s="14"/>
      <c r="RJE46" s="10"/>
      <c r="RJF46" s="125"/>
      <c r="RJG46" s="125"/>
      <c r="RJH46" s="14"/>
      <c r="RJI46" s="15"/>
      <c r="RJJ46" s="125"/>
      <c r="RJK46" s="125"/>
      <c r="RJL46" s="14"/>
      <c r="RJM46" s="15"/>
      <c r="RJN46" s="125"/>
      <c r="RJO46" s="125"/>
      <c r="RJP46" s="14"/>
      <c r="RJQ46" s="15"/>
      <c r="RJR46" s="125"/>
      <c r="RJS46" s="125"/>
      <c r="RJT46" s="14"/>
      <c r="RJU46" s="10"/>
      <c r="RJV46" s="125"/>
      <c r="RJW46" s="125"/>
      <c r="RJX46" s="14"/>
      <c r="RJY46" s="15"/>
      <c r="RJZ46" s="125"/>
      <c r="RKA46" s="125"/>
      <c r="RKB46" s="14"/>
      <c r="RKC46" s="15"/>
      <c r="RKD46" s="125"/>
      <c r="RKE46" s="125"/>
      <c r="RKF46" s="14"/>
      <c r="RKG46" s="15"/>
      <c r="RKH46" s="125"/>
      <c r="RKI46" s="125"/>
      <c r="RKJ46" s="14"/>
      <c r="RKK46" s="10"/>
      <c r="RKL46" s="125"/>
      <c r="RKM46" s="125"/>
      <c r="RKN46" s="14"/>
      <c r="RKO46" s="15"/>
      <c r="RKP46" s="125"/>
      <c r="RKQ46" s="125"/>
      <c r="RKR46" s="14"/>
      <c r="RKS46" s="15"/>
      <c r="RKT46" s="125"/>
      <c r="RKU46" s="125"/>
      <c r="RKV46" s="14"/>
      <c r="RKW46" s="15"/>
      <c r="RKX46" s="125"/>
      <c r="RKY46" s="125"/>
      <c r="RKZ46" s="14"/>
      <c r="RLA46" s="10"/>
      <c r="RLB46" s="125"/>
      <c r="RLC46" s="125"/>
      <c r="RLD46" s="14"/>
      <c r="RLE46" s="15"/>
      <c r="RLF46" s="125"/>
      <c r="RLG46" s="125"/>
      <c r="RLH46" s="14"/>
      <c r="RLI46" s="15"/>
      <c r="RLJ46" s="125"/>
      <c r="RLK46" s="125"/>
      <c r="RLL46" s="14"/>
      <c r="RLM46" s="15"/>
      <c r="RLN46" s="125"/>
      <c r="RLO46" s="125"/>
      <c r="RLP46" s="14"/>
      <c r="RLQ46" s="10"/>
      <c r="RLR46" s="125"/>
      <c r="RLS46" s="125"/>
      <c r="RLT46" s="14"/>
      <c r="RLU46" s="15"/>
      <c r="RLV46" s="125"/>
      <c r="RLW46" s="125"/>
      <c r="RLX46" s="14"/>
      <c r="RLY46" s="15"/>
      <c r="RLZ46" s="125"/>
      <c r="RMA46" s="125"/>
      <c r="RMB46" s="14"/>
      <c r="RMC46" s="15"/>
      <c r="RMD46" s="125"/>
      <c r="RME46" s="125"/>
      <c r="RMF46" s="14"/>
      <c r="RMG46" s="10"/>
      <c r="RMH46" s="125"/>
      <c r="RMI46" s="125"/>
      <c r="RMJ46" s="14"/>
      <c r="RMK46" s="15"/>
      <c r="RML46" s="125"/>
      <c r="RMM46" s="125"/>
      <c r="RMN46" s="14"/>
      <c r="RMO46" s="15"/>
      <c r="RMP46" s="125"/>
      <c r="RMQ46" s="125"/>
      <c r="RMR46" s="14"/>
      <c r="RMS46" s="15"/>
      <c r="RMT46" s="125"/>
      <c r="RMU46" s="125"/>
      <c r="RMV46" s="14"/>
      <c r="RMW46" s="10"/>
      <c r="RMX46" s="125"/>
      <c r="RMY46" s="125"/>
      <c r="RMZ46" s="14"/>
      <c r="RNA46" s="15"/>
      <c r="RNB46" s="125"/>
      <c r="RNC46" s="125"/>
      <c r="RND46" s="14"/>
      <c r="RNE46" s="15"/>
      <c r="RNF46" s="125"/>
      <c r="RNG46" s="125"/>
      <c r="RNH46" s="14"/>
      <c r="RNI46" s="15"/>
      <c r="RNJ46" s="125"/>
      <c r="RNK46" s="125"/>
      <c r="RNL46" s="14"/>
      <c r="RNM46" s="10"/>
      <c r="RNN46" s="125"/>
      <c r="RNO46" s="125"/>
      <c r="RNP46" s="14"/>
      <c r="RNQ46" s="15"/>
      <c r="RNR46" s="125"/>
      <c r="RNS46" s="125"/>
      <c r="RNT46" s="14"/>
      <c r="RNU46" s="15"/>
      <c r="RNV46" s="125"/>
      <c r="RNW46" s="125"/>
      <c r="RNX46" s="14"/>
      <c r="RNY46" s="15"/>
      <c r="RNZ46" s="125"/>
      <c r="ROA46" s="125"/>
      <c r="ROB46" s="14"/>
      <c r="ROC46" s="10"/>
      <c r="ROD46" s="125"/>
      <c r="ROE46" s="125"/>
      <c r="ROF46" s="14"/>
      <c r="ROG46" s="15"/>
      <c r="ROH46" s="125"/>
      <c r="ROI46" s="125"/>
      <c r="ROJ46" s="14"/>
      <c r="ROK46" s="15"/>
      <c r="ROL46" s="125"/>
      <c r="ROM46" s="125"/>
      <c r="RON46" s="14"/>
      <c r="ROO46" s="15"/>
      <c r="ROP46" s="125"/>
      <c r="ROQ46" s="125"/>
      <c r="ROR46" s="14"/>
      <c r="ROS46" s="10"/>
      <c r="ROT46" s="125"/>
      <c r="ROU46" s="125"/>
      <c r="ROV46" s="14"/>
      <c r="ROW46" s="15"/>
      <c r="ROX46" s="125"/>
      <c r="ROY46" s="125"/>
      <c r="ROZ46" s="14"/>
      <c r="RPA46" s="15"/>
      <c r="RPB46" s="125"/>
      <c r="RPC46" s="125"/>
      <c r="RPD46" s="14"/>
      <c r="RPE46" s="15"/>
      <c r="RPF46" s="125"/>
      <c r="RPG46" s="125"/>
      <c r="RPH46" s="14"/>
      <c r="RPI46" s="10"/>
      <c r="RPJ46" s="125"/>
      <c r="RPK46" s="125"/>
      <c r="RPL46" s="14"/>
      <c r="RPM46" s="15"/>
      <c r="RPN46" s="125"/>
      <c r="RPO46" s="125"/>
      <c r="RPP46" s="14"/>
      <c r="RPQ46" s="15"/>
      <c r="RPR46" s="125"/>
      <c r="RPS46" s="125"/>
      <c r="RPT46" s="14"/>
      <c r="RPU46" s="15"/>
      <c r="RPV46" s="125"/>
      <c r="RPW46" s="125"/>
      <c r="RPX46" s="14"/>
      <c r="RPY46" s="10"/>
      <c r="RPZ46" s="125"/>
      <c r="RQA46" s="125"/>
      <c r="RQB46" s="14"/>
      <c r="RQC46" s="15"/>
      <c r="RQD46" s="125"/>
      <c r="RQE46" s="125"/>
      <c r="RQF46" s="14"/>
      <c r="RQG46" s="15"/>
      <c r="RQH46" s="125"/>
      <c r="RQI46" s="125"/>
      <c r="RQJ46" s="14"/>
      <c r="RQK46" s="15"/>
      <c r="RQL46" s="125"/>
      <c r="RQM46" s="125"/>
      <c r="RQN46" s="14"/>
      <c r="RQO46" s="10"/>
      <c r="RQP46" s="125"/>
      <c r="RQQ46" s="125"/>
      <c r="RQR46" s="14"/>
      <c r="RQS46" s="15"/>
      <c r="RQT46" s="125"/>
      <c r="RQU46" s="125"/>
      <c r="RQV46" s="14"/>
      <c r="RQW46" s="15"/>
      <c r="RQX46" s="125"/>
      <c r="RQY46" s="125"/>
      <c r="RQZ46" s="14"/>
      <c r="RRA46" s="15"/>
      <c r="RRB46" s="125"/>
      <c r="RRC46" s="125"/>
      <c r="RRD46" s="14"/>
      <c r="RRE46" s="10"/>
      <c r="RRF46" s="125"/>
      <c r="RRG46" s="125"/>
      <c r="RRH46" s="14"/>
      <c r="RRI46" s="15"/>
      <c r="RRJ46" s="125"/>
      <c r="RRK46" s="125"/>
      <c r="RRL46" s="14"/>
      <c r="RRM46" s="15"/>
      <c r="RRN46" s="125"/>
      <c r="RRO46" s="125"/>
      <c r="RRP46" s="14"/>
      <c r="RRQ46" s="15"/>
      <c r="RRR46" s="125"/>
      <c r="RRS46" s="125"/>
      <c r="RRT46" s="14"/>
      <c r="RRU46" s="10"/>
      <c r="RRV46" s="125"/>
      <c r="RRW46" s="125"/>
      <c r="RRX46" s="14"/>
      <c r="RRY46" s="15"/>
      <c r="RRZ46" s="125"/>
      <c r="RSA46" s="125"/>
      <c r="RSB46" s="14"/>
      <c r="RSC46" s="15"/>
      <c r="RSD46" s="125"/>
      <c r="RSE46" s="125"/>
      <c r="RSF46" s="14"/>
      <c r="RSG46" s="15"/>
      <c r="RSH46" s="125"/>
      <c r="RSI46" s="125"/>
      <c r="RSJ46" s="14"/>
      <c r="RSK46" s="10"/>
      <c r="RSL46" s="125"/>
      <c r="RSM46" s="125"/>
      <c r="RSN46" s="14"/>
      <c r="RSO46" s="15"/>
      <c r="RSP46" s="125"/>
      <c r="RSQ46" s="125"/>
      <c r="RSR46" s="14"/>
      <c r="RSS46" s="15"/>
      <c r="RST46" s="125"/>
      <c r="RSU46" s="125"/>
      <c r="RSV46" s="14"/>
      <c r="RSW46" s="15"/>
      <c r="RSX46" s="125"/>
      <c r="RSY46" s="125"/>
      <c r="RSZ46" s="14"/>
      <c r="RTA46" s="10"/>
      <c r="RTB46" s="125"/>
      <c r="RTC46" s="125"/>
      <c r="RTD46" s="14"/>
      <c r="RTE46" s="15"/>
      <c r="RTF46" s="125"/>
      <c r="RTG46" s="125"/>
      <c r="RTH46" s="14"/>
      <c r="RTI46" s="15"/>
      <c r="RTJ46" s="125"/>
      <c r="RTK46" s="125"/>
      <c r="RTL46" s="14"/>
      <c r="RTM46" s="15"/>
      <c r="RTN46" s="125"/>
      <c r="RTO46" s="125"/>
      <c r="RTP46" s="14"/>
      <c r="RTQ46" s="10"/>
      <c r="RTR46" s="125"/>
      <c r="RTS46" s="125"/>
      <c r="RTT46" s="14"/>
      <c r="RTU46" s="15"/>
      <c r="RTV46" s="125"/>
      <c r="RTW46" s="125"/>
      <c r="RTX46" s="14"/>
      <c r="RTY46" s="15"/>
      <c r="RTZ46" s="125"/>
      <c r="RUA46" s="125"/>
      <c r="RUB46" s="14"/>
      <c r="RUC46" s="15"/>
      <c r="RUD46" s="125"/>
      <c r="RUE46" s="125"/>
      <c r="RUF46" s="14"/>
      <c r="RUG46" s="10"/>
      <c r="RUH46" s="125"/>
      <c r="RUI46" s="125"/>
      <c r="RUJ46" s="14"/>
      <c r="RUK46" s="15"/>
      <c r="RUL46" s="125"/>
      <c r="RUM46" s="125"/>
      <c r="RUN46" s="14"/>
      <c r="RUO46" s="15"/>
      <c r="RUP46" s="125"/>
      <c r="RUQ46" s="125"/>
      <c r="RUR46" s="14"/>
      <c r="RUS46" s="15"/>
      <c r="RUT46" s="125"/>
      <c r="RUU46" s="125"/>
      <c r="RUV46" s="14"/>
      <c r="RUW46" s="10"/>
      <c r="RUX46" s="125"/>
      <c r="RUY46" s="125"/>
      <c r="RUZ46" s="14"/>
      <c r="RVA46" s="15"/>
      <c r="RVB46" s="125"/>
      <c r="RVC46" s="125"/>
      <c r="RVD46" s="14"/>
      <c r="RVE46" s="15"/>
      <c r="RVF46" s="125"/>
      <c r="RVG46" s="125"/>
      <c r="RVH46" s="14"/>
      <c r="RVI46" s="15"/>
      <c r="RVJ46" s="125"/>
      <c r="RVK46" s="125"/>
      <c r="RVL46" s="14"/>
      <c r="RVM46" s="10"/>
      <c r="RVN46" s="125"/>
      <c r="RVO46" s="125"/>
      <c r="RVP46" s="14"/>
      <c r="RVQ46" s="15"/>
      <c r="RVR46" s="125"/>
      <c r="RVS46" s="125"/>
      <c r="RVT46" s="14"/>
      <c r="RVU46" s="15"/>
      <c r="RVV46" s="125"/>
      <c r="RVW46" s="125"/>
      <c r="RVX46" s="14"/>
      <c r="RVY46" s="15"/>
      <c r="RVZ46" s="125"/>
      <c r="RWA46" s="125"/>
      <c r="RWB46" s="14"/>
      <c r="RWC46" s="10"/>
      <c r="RWD46" s="125"/>
      <c r="RWE46" s="125"/>
      <c r="RWF46" s="14"/>
      <c r="RWG46" s="15"/>
      <c r="RWH46" s="125"/>
      <c r="RWI46" s="125"/>
      <c r="RWJ46" s="14"/>
      <c r="RWK46" s="15"/>
      <c r="RWL46" s="125"/>
      <c r="RWM46" s="125"/>
      <c r="RWN46" s="14"/>
      <c r="RWO46" s="15"/>
      <c r="RWP46" s="125"/>
      <c r="RWQ46" s="125"/>
      <c r="RWR46" s="14"/>
      <c r="RWS46" s="10"/>
      <c r="RWT46" s="125"/>
      <c r="RWU46" s="125"/>
      <c r="RWV46" s="14"/>
      <c r="RWW46" s="15"/>
      <c r="RWX46" s="125"/>
      <c r="RWY46" s="125"/>
      <c r="RWZ46" s="14"/>
      <c r="RXA46" s="15"/>
      <c r="RXB46" s="125"/>
      <c r="RXC46" s="125"/>
      <c r="RXD46" s="14"/>
      <c r="RXE46" s="15"/>
      <c r="RXF46" s="125"/>
      <c r="RXG46" s="125"/>
      <c r="RXH46" s="14"/>
      <c r="RXI46" s="10"/>
      <c r="RXJ46" s="125"/>
      <c r="RXK46" s="125"/>
      <c r="RXL46" s="14"/>
      <c r="RXM46" s="15"/>
      <c r="RXN46" s="125"/>
      <c r="RXO46" s="125"/>
      <c r="RXP46" s="14"/>
      <c r="RXQ46" s="15"/>
      <c r="RXR46" s="125"/>
      <c r="RXS46" s="125"/>
      <c r="RXT46" s="14"/>
      <c r="RXU46" s="15"/>
      <c r="RXV46" s="125"/>
      <c r="RXW46" s="125"/>
      <c r="RXX46" s="14"/>
      <c r="RXY46" s="10"/>
      <c r="RXZ46" s="125"/>
      <c r="RYA46" s="125"/>
      <c r="RYB46" s="14"/>
      <c r="RYC46" s="15"/>
      <c r="RYD46" s="125"/>
      <c r="RYE46" s="125"/>
      <c r="RYF46" s="14"/>
      <c r="RYG46" s="15"/>
      <c r="RYH46" s="125"/>
      <c r="RYI46" s="125"/>
      <c r="RYJ46" s="14"/>
      <c r="RYK46" s="15"/>
      <c r="RYL46" s="125"/>
      <c r="RYM46" s="125"/>
      <c r="RYN46" s="14"/>
      <c r="RYO46" s="10"/>
      <c r="RYP46" s="125"/>
      <c r="RYQ46" s="125"/>
      <c r="RYR46" s="14"/>
      <c r="RYS46" s="15"/>
      <c r="RYT46" s="125"/>
      <c r="RYU46" s="125"/>
      <c r="RYV46" s="14"/>
      <c r="RYW46" s="15"/>
      <c r="RYX46" s="125"/>
      <c r="RYY46" s="125"/>
      <c r="RYZ46" s="14"/>
      <c r="RZA46" s="15"/>
      <c r="RZB46" s="125"/>
      <c r="RZC46" s="125"/>
      <c r="RZD46" s="14"/>
      <c r="RZE46" s="10"/>
      <c r="RZF46" s="125"/>
      <c r="RZG46" s="125"/>
      <c r="RZH46" s="14"/>
      <c r="RZI46" s="15"/>
      <c r="RZJ46" s="125"/>
      <c r="RZK46" s="125"/>
      <c r="RZL46" s="14"/>
      <c r="RZM46" s="15"/>
      <c r="RZN46" s="125"/>
      <c r="RZO46" s="125"/>
      <c r="RZP46" s="14"/>
      <c r="RZQ46" s="15"/>
      <c r="RZR46" s="125"/>
      <c r="RZS46" s="125"/>
      <c r="RZT46" s="14"/>
      <c r="RZU46" s="10"/>
      <c r="RZV46" s="125"/>
      <c r="RZW46" s="125"/>
      <c r="RZX46" s="14"/>
      <c r="RZY46" s="15"/>
      <c r="RZZ46" s="125"/>
      <c r="SAA46" s="125"/>
      <c r="SAB46" s="14"/>
      <c r="SAC46" s="15"/>
      <c r="SAD46" s="125"/>
      <c r="SAE46" s="125"/>
      <c r="SAF46" s="14"/>
      <c r="SAG46" s="15"/>
      <c r="SAH46" s="125"/>
      <c r="SAI46" s="125"/>
      <c r="SAJ46" s="14"/>
      <c r="SAK46" s="10"/>
      <c r="SAL46" s="125"/>
      <c r="SAM46" s="125"/>
      <c r="SAN46" s="14"/>
      <c r="SAO46" s="15"/>
      <c r="SAP46" s="125"/>
      <c r="SAQ46" s="125"/>
      <c r="SAR46" s="14"/>
      <c r="SAS46" s="15"/>
      <c r="SAT46" s="125"/>
      <c r="SAU46" s="125"/>
      <c r="SAV46" s="14"/>
      <c r="SAW46" s="15"/>
      <c r="SAX46" s="125"/>
      <c r="SAY46" s="125"/>
      <c r="SAZ46" s="14"/>
      <c r="SBA46" s="10"/>
      <c r="SBB46" s="125"/>
      <c r="SBC46" s="125"/>
      <c r="SBD46" s="14"/>
      <c r="SBE46" s="15"/>
      <c r="SBF46" s="125"/>
      <c r="SBG46" s="125"/>
      <c r="SBH46" s="14"/>
      <c r="SBI46" s="15"/>
      <c r="SBJ46" s="125"/>
      <c r="SBK46" s="125"/>
      <c r="SBL46" s="14"/>
      <c r="SBM46" s="15"/>
      <c r="SBN46" s="125"/>
      <c r="SBO46" s="125"/>
      <c r="SBP46" s="14"/>
      <c r="SBQ46" s="10"/>
      <c r="SBR46" s="125"/>
      <c r="SBS46" s="125"/>
      <c r="SBT46" s="14"/>
      <c r="SBU46" s="15"/>
      <c r="SBV46" s="125"/>
      <c r="SBW46" s="125"/>
      <c r="SBX46" s="14"/>
      <c r="SBY46" s="15"/>
      <c r="SBZ46" s="125"/>
      <c r="SCA46" s="125"/>
      <c r="SCB46" s="14"/>
      <c r="SCC46" s="15"/>
      <c r="SCD46" s="125"/>
      <c r="SCE46" s="125"/>
      <c r="SCF46" s="14"/>
      <c r="SCG46" s="10"/>
      <c r="SCH46" s="125"/>
      <c r="SCI46" s="125"/>
      <c r="SCJ46" s="14"/>
      <c r="SCK46" s="15"/>
      <c r="SCL46" s="125"/>
      <c r="SCM46" s="125"/>
      <c r="SCN46" s="14"/>
      <c r="SCO46" s="15"/>
      <c r="SCP46" s="125"/>
      <c r="SCQ46" s="125"/>
      <c r="SCR46" s="14"/>
      <c r="SCS46" s="15"/>
      <c r="SCT46" s="125"/>
      <c r="SCU46" s="125"/>
      <c r="SCV46" s="14"/>
      <c r="SCW46" s="10"/>
      <c r="SCX46" s="125"/>
      <c r="SCY46" s="125"/>
      <c r="SCZ46" s="14"/>
      <c r="SDA46" s="15"/>
      <c r="SDB46" s="125"/>
      <c r="SDC46" s="125"/>
      <c r="SDD46" s="14"/>
      <c r="SDE46" s="15"/>
      <c r="SDF46" s="125"/>
      <c r="SDG46" s="125"/>
      <c r="SDH46" s="14"/>
      <c r="SDI46" s="15"/>
      <c r="SDJ46" s="125"/>
      <c r="SDK46" s="125"/>
      <c r="SDL46" s="14"/>
      <c r="SDM46" s="10"/>
      <c r="SDN46" s="125"/>
      <c r="SDO46" s="125"/>
      <c r="SDP46" s="14"/>
      <c r="SDQ46" s="15"/>
      <c r="SDR46" s="125"/>
      <c r="SDS46" s="125"/>
      <c r="SDT46" s="14"/>
      <c r="SDU46" s="15"/>
      <c r="SDV46" s="125"/>
      <c r="SDW46" s="125"/>
      <c r="SDX46" s="14"/>
      <c r="SDY46" s="15"/>
      <c r="SDZ46" s="125"/>
      <c r="SEA46" s="125"/>
      <c r="SEB46" s="14"/>
      <c r="SEC46" s="10"/>
      <c r="SED46" s="125"/>
      <c r="SEE46" s="125"/>
      <c r="SEF46" s="14"/>
      <c r="SEG46" s="15"/>
      <c r="SEH46" s="125"/>
      <c r="SEI46" s="125"/>
      <c r="SEJ46" s="14"/>
      <c r="SEK46" s="15"/>
      <c r="SEL46" s="125"/>
      <c r="SEM46" s="125"/>
      <c r="SEN46" s="14"/>
      <c r="SEO46" s="15"/>
      <c r="SEP46" s="125"/>
      <c r="SEQ46" s="125"/>
      <c r="SER46" s="14"/>
      <c r="SES46" s="10"/>
      <c r="SET46" s="125"/>
      <c r="SEU46" s="125"/>
      <c r="SEV46" s="14"/>
      <c r="SEW46" s="15"/>
      <c r="SEX46" s="125"/>
      <c r="SEY46" s="125"/>
      <c r="SEZ46" s="14"/>
      <c r="SFA46" s="15"/>
      <c r="SFB46" s="125"/>
      <c r="SFC46" s="125"/>
      <c r="SFD46" s="14"/>
      <c r="SFE46" s="15"/>
      <c r="SFF46" s="125"/>
      <c r="SFG46" s="125"/>
      <c r="SFH46" s="14"/>
      <c r="SFI46" s="10"/>
      <c r="SFJ46" s="125"/>
      <c r="SFK46" s="125"/>
      <c r="SFL46" s="14"/>
      <c r="SFM46" s="15"/>
      <c r="SFN46" s="125"/>
      <c r="SFO46" s="125"/>
      <c r="SFP46" s="14"/>
      <c r="SFQ46" s="15"/>
      <c r="SFR46" s="125"/>
      <c r="SFS46" s="125"/>
      <c r="SFT46" s="14"/>
      <c r="SFU46" s="15"/>
      <c r="SFV46" s="125"/>
      <c r="SFW46" s="125"/>
      <c r="SFX46" s="14"/>
      <c r="SFY46" s="10"/>
      <c r="SFZ46" s="125"/>
      <c r="SGA46" s="125"/>
      <c r="SGB46" s="14"/>
      <c r="SGC46" s="15"/>
      <c r="SGD46" s="125"/>
      <c r="SGE46" s="125"/>
      <c r="SGF46" s="14"/>
      <c r="SGG46" s="15"/>
      <c r="SGH46" s="125"/>
      <c r="SGI46" s="125"/>
      <c r="SGJ46" s="14"/>
      <c r="SGK46" s="15"/>
      <c r="SGL46" s="125"/>
      <c r="SGM46" s="125"/>
      <c r="SGN46" s="14"/>
      <c r="SGO46" s="10"/>
      <c r="SGP46" s="125"/>
      <c r="SGQ46" s="125"/>
      <c r="SGR46" s="14"/>
      <c r="SGS46" s="15"/>
      <c r="SGT46" s="125"/>
      <c r="SGU46" s="125"/>
      <c r="SGV46" s="14"/>
      <c r="SGW46" s="15"/>
      <c r="SGX46" s="125"/>
      <c r="SGY46" s="125"/>
      <c r="SGZ46" s="14"/>
      <c r="SHA46" s="15"/>
      <c r="SHB46" s="125"/>
      <c r="SHC46" s="125"/>
      <c r="SHD46" s="14"/>
      <c r="SHE46" s="10"/>
      <c r="SHF46" s="125"/>
      <c r="SHG46" s="125"/>
      <c r="SHH46" s="14"/>
      <c r="SHI46" s="15"/>
      <c r="SHJ46" s="125"/>
      <c r="SHK46" s="125"/>
      <c r="SHL46" s="14"/>
      <c r="SHM46" s="15"/>
      <c r="SHN46" s="125"/>
      <c r="SHO46" s="125"/>
      <c r="SHP46" s="14"/>
      <c r="SHQ46" s="15"/>
      <c r="SHR46" s="125"/>
      <c r="SHS46" s="125"/>
      <c r="SHT46" s="14"/>
      <c r="SHU46" s="10"/>
      <c r="SHV46" s="125"/>
      <c r="SHW46" s="125"/>
      <c r="SHX46" s="14"/>
      <c r="SHY46" s="15"/>
      <c r="SHZ46" s="125"/>
      <c r="SIA46" s="125"/>
      <c r="SIB46" s="14"/>
      <c r="SIC46" s="15"/>
      <c r="SID46" s="125"/>
      <c r="SIE46" s="125"/>
      <c r="SIF46" s="14"/>
      <c r="SIG46" s="15"/>
      <c r="SIH46" s="125"/>
      <c r="SII46" s="125"/>
      <c r="SIJ46" s="14"/>
      <c r="SIK46" s="10"/>
      <c r="SIL46" s="125"/>
      <c r="SIM46" s="125"/>
      <c r="SIN46" s="14"/>
      <c r="SIO46" s="15"/>
      <c r="SIP46" s="125"/>
      <c r="SIQ46" s="125"/>
      <c r="SIR46" s="14"/>
      <c r="SIS46" s="15"/>
      <c r="SIT46" s="125"/>
      <c r="SIU46" s="125"/>
      <c r="SIV46" s="14"/>
      <c r="SIW46" s="15"/>
      <c r="SIX46" s="125"/>
      <c r="SIY46" s="125"/>
      <c r="SIZ46" s="14"/>
      <c r="SJA46" s="10"/>
      <c r="SJB46" s="125"/>
      <c r="SJC46" s="125"/>
      <c r="SJD46" s="14"/>
      <c r="SJE46" s="15"/>
      <c r="SJF46" s="125"/>
      <c r="SJG46" s="125"/>
      <c r="SJH46" s="14"/>
      <c r="SJI46" s="15"/>
      <c r="SJJ46" s="125"/>
      <c r="SJK46" s="125"/>
      <c r="SJL46" s="14"/>
      <c r="SJM46" s="15"/>
      <c r="SJN46" s="125"/>
      <c r="SJO46" s="125"/>
      <c r="SJP46" s="14"/>
      <c r="SJQ46" s="10"/>
      <c r="SJR46" s="125"/>
      <c r="SJS46" s="125"/>
      <c r="SJT46" s="14"/>
      <c r="SJU46" s="15"/>
      <c r="SJV46" s="125"/>
      <c r="SJW46" s="125"/>
      <c r="SJX46" s="14"/>
      <c r="SJY46" s="15"/>
      <c r="SJZ46" s="125"/>
      <c r="SKA46" s="125"/>
      <c r="SKB46" s="14"/>
      <c r="SKC46" s="15"/>
      <c r="SKD46" s="125"/>
      <c r="SKE46" s="125"/>
      <c r="SKF46" s="14"/>
      <c r="SKG46" s="10"/>
      <c r="SKH46" s="125"/>
      <c r="SKI46" s="125"/>
      <c r="SKJ46" s="14"/>
      <c r="SKK46" s="15"/>
      <c r="SKL46" s="125"/>
      <c r="SKM46" s="125"/>
      <c r="SKN46" s="14"/>
      <c r="SKO46" s="15"/>
      <c r="SKP46" s="125"/>
      <c r="SKQ46" s="125"/>
      <c r="SKR46" s="14"/>
      <c r="SKS46" s="15"/>
      <c r="SKT46" s="125"/>
      <c r="SKU46" s="125"/>
      <c r="SKV46" s="14"/>
      <c r="SKW46" s="10"/>
      <c r="SKX46" s="125"/>
      <c r="SKY46" s="125"/>
      <c r="SKZ46" s="14"/>
      <c r="SLA46" s="15"/>
      <c r="SLB46" s="125"/>
      <c r="SLC46" s="125"/>
      <c r="SLD46" s="14"/>
      <c r="SLE46" s="15"/>
      <c r="SLF46" s="125"/>
      <c r="SLG46" s="125"/>
      <c r="SLH46" s="14"/>
      <c r="SLI46" s="15"/>
      <c r="SLJ46" s="125"/>
      <c r="SLK46" s="125"/>
      <c r="SLL46" s="14"/>
      <c r="SLM46" s="10"/>
      <c r="SLN46" s="125"/>
      <c r="SLO46" s="125"/>
      <c r="SLP46" s="14"/>
      <c r="SLQ46" s="15"/>
      <c r="SLR46" s="125"/>
      <c r="SLS46" s="125"/>
      <c r="SLT46" s="14"/>
      <c r="SLU46" s="15"/>
      <c r="SLV46" s="125"/>
      <c r="SLW46" s="125"/>
      <c r="SLX46" s="14"/>
      <c r="SLY46" s="15"/>
      <c r="SLZ46" s="125"/>
      <c r="SMA46" s="125"/>
      <c r="SMB46" s="14"/>
      <c r="SMC46" s="10"/>
      <c r="SMD46" s="125"/>
      <c r="SME46" s="125"/>
      <c r="SMF46" s="14"/>
      <c r="SMG46" s="15"/>
      <c r="SMH46" s="125"/>
      <c r="SMI46" s="125"/>
      <c r="SMJ46" s="14"/>
      <c r="SMK46" s="15"/>
      <c r="SML46" s="125"/>
      <c r="SMM46" s="125"/>
      <c r="SMN46" s="14"/>
      <c r="SMO46" s="15"/>
      <c r="SMP46" s="125"/>
      <c r="SMQ46" s="125"/>
      <c r="SMR46" s="14"/>
      <c r="SMS46" s="10"/>
      <c r="SMT46" s="125"/>
      <c r="SMU46" s="125"/>
      <c r="SMV46" s="14"/>
      <c r="SMW46" s="15"/>
      <c r="SMX46" s="125"/>
      <c r="SMY46" s="125"/>
      <c r="SMZ46" s="14"/>
      <c r="SNA46" s="15"/>
      <c r="SNB46" s="125"/>
      <c r="SNC46" s="125"/>
      <c r="SND46" s="14"/>
      <c r="SNE46" s="15"/>
      <c r="SNF46" s="125"/>
      <c r="SNG46" s="125"/>
      <c r="SNH46" s="14"/>
      <c r="SNI46" s="10"/>
      <c r="SNJ46" s="125"/>
      <c r="SNK46" s="125"/>
      <c r="SNL46" s="14"/>
      <c r="SNM46" s="15"/>
      <c r="SNN46" s="125"/>
      <c r="SNO46" s="125"/>
      <c r="SNP46" s="14"/>
      <c r="SNQ46" s="15"/>
      <c r="SNR46" s="125"/>
      <c r="SNS46" s="125"/>
      <c r="SNT46" s="14"/>
      <c r="SNU46" s="15"/>
      <c r="SNV46" s="125"/>
      <c r="SNW46" s="125"/>
      <c r="SNX46" s="14"/>
      <c r="SNY46" s="10"/>
      <c r="SNZ46" s="125"/>
      <c r="SOA46" s="125"/>
      <c r="SOB46" s="14"/>
      <c r="SOC46" s="15"/>
      <c r="SOD46" s="125"/>
      <c r="SOE46" s="125"/>
      <c r="SOF46" s="14"/>
      <c r="SOG46" s="15"/>
      <c r="SOH46" s="125"/>
      <c r="SOI46" s="125"/>
      <c r="SOJ46" s="14"/>
      <c r="SOK46" s="15"/>
      <c r="SOL46" s="125"/>
      <c r="SOM46" s="125"/>
      <c r="SON46" s="14"/>
      <c r="SOO46" s="10"/>
      <c r="SOP46" s="125"/>
      <c r="SOQ46" s="125"/>
      <c r="SOR46" s="14"/>
      <c r="SOS46" s="15"/>
      <c r="SOT46" s="125"/>
      <c r="SOU46" s="125"/>
      <c r="SOV46" s="14"/>
      <c r="SOW46" s="15"/>
      <c r="SOX46" s="125"/>
      <c r="SOY46" s="125"/>
      <c r="SOZ46" s="14"/>
      <c r="SPA46" s="15"/>
      <c r="SPB46" s="125"/>
      <c r="SPC46" s="125"/>
      <c r="SPD46" s="14"/>
      <c r="SPE46" s="10"/>
      <c r="SPF46" s="125"/>
      <c r="SPG46" s="125"/>
      <c r="SPH46" s="14"/>
      <c r="SPI46" s="15"/>
      <c r="SPJ46" s="125"/>
      <c r="SPK46" s="125"/>
      <c r="SPL46" s="14"/>
      <c r="SPM46" s="15"/>
      <c r="SPN46" s="125"/>
      <c r="SPO46" s="125"/>
      <c r="SPP46" s="14"/>
      <c r="SPQ46" s="15"/>
      <c r="SPR46" s="125"/>
      <c r="SPS46" s="125"/>
      <c r="SPT46" s="14"/>
      <c r="SPU46" s="10"/>
      <c r="SPV46" s="125"/>
      <c r="SPW46" s="125"/>
      <c r="SPX46" s="14"/>
      <c r="SPY46" s="15"/>
      <c r="SPZ46" s="125"/>
      <c r="SQA46" s="125"/>
      <c r="SQB46" s="14"/>
      <c r="SQC46" s="15"/>
      <c r="SQD46" s="125"/>
      <c r="SQE46" s="125"/>
      <c r="SQF46" s="14"/>
      <c r="SQG46" s="15"/>
      <c r="SQH46" s="125"/>
      <c r="SQI46" s="125"/>
      <c r="SQJ46" s="14"/>
      <c r="SQK46" s="10"/>
      <c r="SQL46" s="125"/>
      <c r="SQM46" s="125"/>
      <c r="SQN46" s="14"/>
      <c r="SQO46" s="15"/>
      <c r="SQP46" s="125"/>
      <c r="SQQ46" s="125"/>
      <c r="SQR46" s="14"/>
      <c r="SQS46" s="15"/>
      <c r="SQT46" s="125"/>
      <c r="SQU46" s="125"/>
      <c r="SQV46" s="14"/>
      <c r="SQW46" s="15"/>
      <c r="SQX46" s="125"/>
      <c r="SQY46" s="125"/>
      <c r="SQZ46" s="14"/>
      <c r="SRA46" s="10"/>
      <c r="SRB46" s="125"/>
      <c r="SRC46" s="125"/>
      <c r="SRD46" s="14"/>
      <c r="SRE46" s="15"/>
      <c r="SRF46" s="125"/>
      <c r="SRG46" s="125"/>
      <c r="SRH46" s="14"/>
      <c r="SRI46" s="15"/>
      <c r="SRJ46" s="125"/>
      <c r="SRK46" s="125"/>
      <c r="SRL46" s="14"/>
      <c r="SRM46" s="15"/>
      <c r="SRN46" s="125"/>
      <c r="SRO46" s="125"/>
      <c r="SRP46" s="14"/>
      <c r="SRQ46" s="10"/>
      <c r="SRR46" s="125"/>
      <c r="SRS46" s="125"/>
      <c r="SRT46" s="14"/>
      <c r="SRU46" s="15"/>
      <c r="SRV46" s="125"/>
      <c r="SRW46" s="125"/>
      <c r="SRX46" s="14"/>
      <c r="SRY46" s="15"/>
      <c r="SRZ46" s="125"/>
      <c r="SSA46" s="125"/>
      <c r="SSB46" s="14"/>
      <c r="SSC46" s="15"/>
      <c r="SSD46" s="125"/>
      <c r="SSE46" s="125"/>
      <c r="SSF46" s="14"/>
      <c r="SSG46" s="10"/>
      <c r="SSH46" s="125"/>
      <c r="SSI46" s="125"/>
      <c r="SSJ46" s="14"/>
      <c r="SSK46" s="15"/>
      <c r="SSL46" s="125"/>
      <c r="SSM46" s="125"/>
      <c r="SSN46" s="14"/>
      <c r="SSO46" s="15"/>
      <c r="SSP46" s="125"/>
      <c r="SSQ46" s="125"/>
      <c r="SSR46" s="14"/>
      <c r="SSS46" s="15"/>
      <c r="SST46" s="125"/>
      <c r="SSU46" s="125"/>
      <c r="SSV46" s="14"/>
      <c r="SSW46" s="10"/>
      <c r="SSX46" s="125"/>
      <c r="SSY46" s="125"/>
      <c r="SSZ46" s="14"/>
      <c r="STA46" s="15"/>
      <c r="STB46" s="125"/>
      <c r="STC46" s="125"/>
      <c r="STD46" s="14"/>
      <c r="STE46" s="15"/>
      <c r="STF46" s="125"/>
      <c r="STG46" s="125"/>
      <c r="STH46" s="14"/>
      <c r="STI46" s="15"/>
      <c r="STJ46" s="125"/>
      <c r="STK46" s="125"/>
      <c r="STL46" s="14"/>
      <c r="STM46" s="10"/>
      <c r="STN46" s="125"/>
      <c r="STO46" s="125"/>
      <c r="STP46" s="14"/>
      <c r="STQ46" s="15"/>
      <c r="STR46" s="125"/>
      <c r="STS46" s="125"/>
      <c r="STT46" s="14"/>
      <c r="STU46" s="15"/>
      <c r="STV46" s="125"/>
      <c r="STW46" s="125"/>
      <c r="STX46" s="14"/>
      <c r="STY46" s="15"/>
      <c r="STZ46" s="125"/>
      <c r="SUA46" s="125"/>
      <c r="SUB46" s="14"/>
      <c r="SUC46" s="10"/>
      <c r="SUD46" s="125"/>
      <c r="SUE46" s="125"/>
      <c r="SUF46" s="14"/>
      <c r="SUG46" s="15"/>
      <c r="SUH46" s="125"/>
      <c r="SUI46" s="125"/>
      <c r="SUJ46" s="14"/>
      <c r="SUK46" s="15"/>
      <c r="SUL46" s="125"/>
      <c r="SUM46" s="125"/>
      <c r="SUN46" s="14"/>
      <c r="SUO46" s="15"/>
      <c r="SUP46" s="125"/>
      <c r="SUQ46" s="125"/>
      <c r="SUR46" s="14"/>
      <c r="SUS46" s="10"/>
      <c r="SUT46" s="125"/>
      <c r="SUU46" s="125"/>
      <c r="SUV46" s="14"/>
      <c r="SUW46" s="15"/>
      <c r="SUX46" s="125"/>
      <c r="SUY46" s="125"/>
      <c r="SUZ46" s="14"/>
      <c r="SVA46" s="15"/>
      <c r="SVB46" s="125"/>
      <c r="SVC46" s="125"/>
      <c r="SVD46" s="14"/>
      <c r="SVE46" s="15"/>
      <c r="SVF46" s="125"/>
      <c r="SVG46" s="125"/>
      <c r="SVH46" s="14"/>
      <c r="SVI46" s="10"/>
      <c r="SVJ46" s="125"/>
      <c r="SVK46" s="125"/>
      <c r="SVL46" s="14"/>
      <c r="SVM46" s="15"/>
      <c r="SVN46" s="125"/>
      <c r="SVO46" s="125"/>
      <c r="SVP46" s="14"/>
      <c r="SVQ46" s="15"/>
      <c r="SVR46" s="125"/>
      <c r="SVS46" s="125"/>
      <c r="SVT46" s="14"/>
      <c r="SVU46" s="15"/>
      <c r="SVV46" s="125"/>
      <c r="SVW46" s="125"/>
      <c r="SVX46" s="14"/>
      <c r="SVY46" s="10"/>
      <c r="SVZ46" s="125"/>
      <c r="SWA46" s="125"/>
      <c r="SWB46" s="14"/>
      <c r="SWC46" s="15"/>
      <c r="SWD46" s="125"/>
      <c r="SWE46" s="125"/>
      <c r="SWF46" s="14"/>
      <c r="SWG46" s="15"/>
      <c r="SWH46" s="125"/>
      <c r="SWI46" s="125"/>
      <c r="SWJ46" s="14"/>
      <c r="SWK46" s="15"/>
      <c r="SWL46" s="125"/>
      <c r="SWM46" s="125"/>
      <c r="SWN46" s="14"/>
      <c r="SWO46" s="10"/>
      <c r="SWP46" s="125"/>
      <c r="SWQ46" s="125"/>
      <c r="SWR46" s="14"/>
      <c r="SWS46" s="15"/>
      <c r="SWT46" s="125"/>
      <c r="SWU46" s="125"/>
      <c r="SWV46" s="14"/>
      <c r="SWW46" s="15"/>
      <c r="SWX46" s="125"/>
      <c r="SWY46" s="125"/>
      <c r="SWZ46" s="14"/>
      <c r="SXA46" s="15"/>
      <c r="SXB46" s="125"/>
      <c r="SXC46" s="125"/>
      <c r="SXD46" s="14"/>
      <c r="SXE46" s="10"/>
      <c r="SXF46" s="125"/>
      <c r="SXG46" s="125"/>
      <c r="SXH46" s="14"/>
      <c r="SXI46" s="15"/>
      <c r="SXJ46" s="125"/>
      <c r="SXK46" s="125"/>
      <c r="SXL46" s="14"/>
      <c r="SXM46" s="15"/>
      <c r="SXN46" s="125"/>
      <c r="SXO46" s="125"/>
      <c r="SXP46" s="14"/>
      <c r="SXQ46" s="15"/>
      <c r="SXR46" s="125"/>
      <c r="SXS46" s="125"/>
      <c r="SXT46" s="14"/>
      <c r="SXU46" s="10"/>
      <c r="SXV46" s="125"/>
      <c r="SXW46" s="125"/>
      <c r="SXX46" s="14"/>
      <c r="SXY46" s="15"/>
      <c r="SXZ46" s="125"/>
      <c r="SYA46" s="125"/>
      <c r="SYB46" s="14"/>
      <c r="SYC46" s="15"/>
      <c r="SYD46" s="125"/>
      <c r="SYE46" s="125"/>
      <c r="SYF46" s="14"/>
      <c r="SYG46" s="15"/>
      <c r="SYH46" s="125"/>
      <c r="SYI46" s="125"/>
      <c r="SYJ46" s="14"/>
      <c r="SYK46" s="10"/>
      <c r="SYL46" s="125"/>
      <c r="SYM46" s="125"/>
      <c r="SYN46" s="14"/>
      <c r="SYO46" s="15"/>
      <c r="SYP46" s="125"/>
      <c r="SYQ46" s="125"/>
      <c r="SYR46" s="14"/>
      <c r="SYS46" s="15"/>
      <c r="SYT46" s="125"/>
      <c r="SYU46" s="125"/>
      <c r="SYV46" s="14"/>
      <c r="SYW46" s="15"/>
      <c r="SYX46" s="125"/>
      <c r="SYY46" s="125"/>
      <c r="SYZ46" s="14"/>
      <c r="SZA46" s="10"/>
      <c r="SZB46" s="125"/>
      <c r="SZC46" s="125"/>
      <c r="SZD46" s="14"/>
      <c r="SZE46" s="15"/>
      <c r="SZF46" s="125"/>
      <c r="SZG46" s="125"/>
      <c r="SZH46" s="14"/>
      <c r="SZI46" s="15"/>
      <c r="SZJ46" s="125"/>
      <c r="SZK46" s="125"/>
      <c r="SZL46" s="14"/>
      <c r="SZM46" s="15"/>
      <c r="SZN46" s="125"/>
      <c r="SZO46" s="125"/>
      <c r="SZP46" s="14"/>
      <c r="SZQ46" s="10"/>
      <c r="SZR46" s="125"/>
      <c r="SZS46" s="125"/>
      <c r="SZT46" s="14"/>
      <c r="SZU46" s="15"/>
      <c r="SZV46" s="125"/>
      <c r="SZW46" s="125"/>
      <c r="SZX46" s="14"/>
      <c r="SZY46" s="15"/>
      <c r="SZZ46" s="125"/>
      <c r="TAA46" s="125"/>
      <c r="TAB46" s="14"/>
      <c r="TAC46" s="15"/>
      <c r="TAD46" s="125"/>
      <c r="TAE46" s="125"/>
      <c r="TAF46" s="14"/>
      <c r="TAG46" s="10"/>
      <c r="TAH46" s="125"/>
      <c r="TAI46" s="125"/>
      <c r="TAJ46" s="14"/>
      <c r="TAK46" s="15"/>
      <c r="TAL46" s="125"/>
      <c r="TAM46" s="125"/>
      <c r="TAN46" s="14"/>
      <c r="TAO46" s="15"/>
      <c r="TAP46" s="125"/>
      <c r="TAQ46" s="125"/>
      <c r="TAR46" s="14"/>
      <c r="TAS46" s="15"/>
      <c r="TAT46" s="125"/>
      <c r="TAU46" s="125"/>
      <c r="TAV46" s="14"/>
      <c r="TAW46" s="10"/>
      <c r="TAX46" s="125"/>
      <c r="TAY46" s="125"/>
      <c r="TAZ46" s="14"/>
      <c r="TBA46" s="15"/>
      <c r="TBB46" s="125"/>
      <c r="TBC46" s="125"/>
      <c r="TBD46" s="14"/>
      <c r="TBE46" s="15"/>
      <c r="TBF46" s="125"/>
      <c r="TBG46" s="125"/>
      <c r="TBH46" s="14"/>
      <c r="TBI46" s="15"/>
      <c r="TBJ46" s="125"/>
      <c r="TBK46" s="125"/>
      <c r="TBL46" s="14"/>
      <c r="TBM46" s="10"/>
      <c r="TBN46" s="125"/>
      <c r="TBO46" s="125"/>
      <c r="TBP46" s="14"/>
      <c r="TBQ46" s="15"/>
      <c r="TBR46" s="125"/>
      <c r="TBS46" s="125"/>
      <c r="TBT46" s="14"/>
      <c r="TBU46" s="15"/>
      <c r="TBV46" s="125"/>
      <c r="TBW46" s="125"/>
      <c r="TBX46" s="14"/>
      <c r="TBY46" s="15"/>
      <c r="TBZ46" s="125"/>
      <c r="TCA46" s="125"/>
      <c r="TCB46" s="14"/>
      <c r="TCC46" s="10"/>
      <c r="TCD46" s="125"/>
      <c r="TCE46" s="125"/>
      <c r="TCF46" s="14"/>
      <c r="TCG46" s="15"/>
      <c r="TCH46" s="125"/>
      <c r="TCI46" s="125"/>
      <c r="TCJ46" s="14"/>
      <c r="TCK46" s="15"/>
      <c r="TCL46" s="125"/>
      <c r="TCM46" s="125"/>
      <c r="TCN46" s="14"/>
      <c r="TCO46" s="15"/>
      <c r="TCP46" s="125"/>
      <c r="TCQ46" s="125"/>
      <c r="TCR46" s="14"/>
      <c r="TCS46" s="10"/>
      <c r="TCT46" s="125"/>
      <c r="TCU46" s="125"/>
      <c r="TCV46" s="14"/>
      <c r="TCW46" s="15"/>
      <c r="TCX46" s="125"/>
      <c r="TCY46" s="125"/>
      <c r="TCZ46" s="14"/>
      <c r="TDA46" s="15"/>
      <c r="TDB46" s="125"/>
      <c r="TDC46" s="125"/>
      <c r="TDD46" s="14"/>
      <c r="TDE46" s="15"/>
      <c r="TDF46" s="125"/>
      <c r="TDG46" s="125"/>
      <c r="TDH46" s="14"/>
      <c r="TDI46" s="10"/>
      <c r="TDJ46" s="125"/>
      <c r="TDK46" s="125"/>
      <c r="TDL46" s="14"/>
      <c r="TDM46" s="15"/>
      <c r="TDN46" s="125"/>
      <c r="TDO46" s="125"/>
      <c r="TDP46" s="14"/>
      <c r="TDQ46" s="15"/>
      <c r="TDR46" s="125"/>
      <c r="TDS46" s="125"/>
      <c r="TDT46" s="14"/>
      <c r="TDU46" s="15"/>
      <c r="TDV46" s="125"/>
      <c r="TDW46" s="125"/>
      <c r="TDX46" s="14"/>
      <c r="TDY46" s="10"/>
      <c r="TDZ46" s="125"/>
      <c r="TEA46" s="125"/>
      <c r="TEB46" s="14"/>
      <c r="TEC46" s="15"/>
      <c r="TED46" s="125"/>
      <c r="TEE46" s="125"/>
      <c r="TEF46" s="14"/>
      <c r="TEG46" s="15"/>
      <c r="TEH46" s="125"/>
      <c r="TEI46" s="125"/>
      <c r="TEJ46" s="14"/>
      <c r="TEK46" s="15"/>
      <c r="TEL46" s="125"/>
      <c r="TEM46" s="125"/>
      <c r="TEN46" s="14"/>
      <c r="TEO46" s="10"/>
      <c r="TEP46" s="125"/>
      <c r="TEQ46" s="125"/>
      <c r="TER46" s="14"/>
      <c r="TES46" s="15"/>
      <c r="TET46" s="125"/>
      <c r="TEU46" s="125"/>
      <c r="TEV46" s="14"/>
      <c r="TEW46" s="15"/>
      <c r="TEX46" s="125"/>
      <c r="TEY46" s="125"/>
      <c r="TEZ46" s="14"/>
      <c r="TFA46" s="15"/>
      <c r="TFB46" s="125"/>
      <c r="TFC46" s="125"/>
      <c r="TFD46" s="14"/>
      <c r="TFE46" s="10"/>
      <c r="TFF46" s="125"/>
      <c r="TFG46" s="125"/>
      <c r="TFH46" s="14"/>
      <c r="TFI46" s="15"/>
      <c r="TFJ46" s="125"/>
      <c r="TFK46" s="125"/>
      <c r="TFL46" s="14"/>
      <c r="TFM46" s="15"/>
      <c r="TFN46" s="125"/>
      <c r="TFO46" s="125"/>
      <c r="TFP46" s="14"/>
      <c r="TFQ46" s="15"/>
      <c r="TFR46" s="125"/>
      <c r="TFS46" s="125"/>
      <c r="TFT46" s="14"/>
      <c r="TFU46" s="10"/>
      <c r="TFV46" s="125"/>
      <c r="TFW46" s="125"/>
      <c r="TFX46" s="14"/>
      <c r="TFY46" s="15"/>
      <c r="TFZ46" s="125"/>
      <c r="TGA46" s="125"/>
      <c r="TGB46" s="14"/>
      <c r="TGC46" s="15"/>
      <c r="TGD46" s="125"/>
      <c r="TGE46" s="125"/>
      <c r="TGF46" s="14"/>
      <c r="TGG46" s="15"/>
      <c r="TGH46" s="125"/>
      <c r="TGI46" s="125"/>
      <c r="TGJ46" s="14"/>
      <c r="TGK46" s="10"/>
      <c r="TGL46" s="125"/>
      <c r="TGM46" s="125"/>
      <c r="TGN46" s="14"/>
      <c r="TGO46" s="15"/>
      <c r="TGP46" s="125"/>
      <c r="TGQ46" s="125"/>
      <c r="TGR46" s="14"/>
      <c r="TGS46" s="15"/>
      <c r="TGT46" s="125"/>
      <c r="TGU46" s="125"/>
      <c r="TGV46" s="14"/>
      <c r="TGW46" s="15"/>
      <c r="TGX46" s="125"/>
      <c r="TGY46" s="125"/>
      <c r="TGZ46" s="14"/>
      <c r="THA46" s="10"/>
      <c r="THB46" s="125"/>
      <c r="THC46" s="125"/>
      <c r="THD46" s="14"/>
      <c r="THE46" s="15"/>
      <c r="THF46" s="125"/>
      <c r="THG46" s="125"/>
      <c r="THH46" s="14"/>
      <c r="THI46" s="15"/>
      <c r="THJ46" s="125"/>
      <c r="THK46" s="125"/>
      <c r="THL46" s="14"/>
      <c r="THM46" s="15"/>
      <c r="THN46" s="125"/>
      <c r="THO46" s="125"/>
      <c r="THP46" s="14"/>
      <c r="THQ46" s="10"/>
      <c r="THR46" s="125"/>
      <c r="THS46" s="125"/>
      <c r="THT46" s="14"/>
      <c r="THU46" s="15"/>
      <c r="THV46" s="125"/>
      <c r="THW46" s="125"/>
      <c r="THX46" s="14"/>
      <c r="THY46" s="15"/>
      <c r="THZ46" s="125"/>
      <c r="TIA46" s="125"/>
      <c r="TIB46" s="14"/>
      <c r="TIC46" s="15"/>
      <c r="TID46" s="125"/>
      <c r="TIE46" s="125"/>
      <c r="TIF46" s="14"/>
      <c r="TIG46" s="10"/>
      <c r="TIH46" s="125"/>
      <c r="TII46" s="125"/>
      <c r="TIJ46" s="14"/>
      <c r="TIK46" s="15"/>
      <c r="TIL46" s="125"/>
      <c r="TIM46" s="125"/>
      <c r="TIN46" s="14"/>
      <c r="TIO46" s="15"/>
      <c r="TIP46" s="125"/>
      <c r="TIQ46" s="125"/>
      <c r="TIR46" s="14"/>
      <c r="TIS46" s="15"/>
      <c r="TIT46" s="125"/>
      <c r="TIU46" s="125"/>
      <c r="TIV46" s="14"/>
      <c r="TIW46" s="10"/>
      <c r="TIX46" s="125"/>
      <c r="TIY46" s="125"/>
      <c r="TIZ46" s="14"/>
      <c r="TJA46" s="15"/>
      <c r="TJB46" s="125"/>
      <c r="TJC46" s="125"/>
      <c r="TJD46" s="14"/>
      <c r="TJE46" s="15"/>
      <c r="TJF46" s="125"/>
      <c r="TJG46" s="125"/>
      <c r="TJH46" s="14"/>
      <c r="TJI46" s="15"/>
      <c r="TJJ46" s="125"/>
      <c r="TJK46" s="125"/>
      <c r="TJL46" s="14"/>
      <c r="TJM46" s="10"/>
      <c r="TJN46" s="125"/>
      <c r="TJO46" s="125"/>
      <c r="TJP46" s="14"/>
      <c r="TJQ46" s="15"/>
      <c r="TJR46" s="125"/>
      <c r="TJS46" s="125"/>
      <c r="TJT46" s="14"/>
      <c r="TJU46" s="15"/>
      <c r="TJV46" s="125"/>
      <c r="TJW46" s="125"/>
      <c r="TJX46" s="14"/>
      <c r="TJY46" s="15"/>
      <c r="TJZ46" s="125"/>
      <c r="TKA46" s="125"/>
      <c r="TKB46" s="14"/>
      <c r="TKC46" s="10"/>
      <c r="TKD46" s="125"/>
      <c r="TKE46" s="125"/>
      <c r="TKF46" s="14"/>
      <c r="TKG46" s="15"/>
      <c r="TKH46" s="125"/>
      <c r="TKI46" s="125"/>
      <c r="TKJ46" s="14"/>
      <c r="TKK46" s="15"/>
      <c r="TKL46" s="125"/>
      <c r="TKM46" s="125"/>
      <c r="TKN46" s="14"/>
      <c r="TKO46" s="15"/>
      <c r="TKP46" s="125"/>
      <c r="TKQ46" s="125"/>
      <c r="TKR46" s="14"/>
      <c r="TKS46" s="10"/>
      <c r="TKT46" s="125"/>
      <c r="TKU46" s="125"/>
      <c r="TKV46" s="14"/>
      <c r="TKW46" s="15"/>
      <c r="TKX46" s="125"/>
      <c r="TKY46" s="125"/>
      <c r="TKZ46" s="14"/>
      <c r="TLA46" s="15"/>
      <c r="TLB46" s="125"/>
      <c r="TLC46" s="125"/>
      <c r="TLD46" s="14"/>
      <c r="TLE46" s="15"/>
      <c r="TLF46" s="125"/>
      <c r="TLG46" s="125"/>
      <c r="TLH46" s="14"/>
      <c r="TLI46" s="10"/>
      <c r="TLJ46" s="125"/>
      <c r="TLK46" s="125"/>
      <c r="TLL46" s="14"/>
      <c r="TLM46" s="15"/>
      <c r="TLN46" s="125"/>
      <c r="TLO46" s="125"/>
      <c r="TLP46" s="14"/>
      <c r="TLQ46" s="15"/>
      <c r="TLR46" s="125"/>
      <c r="TLS46" s="125"/>
      <c r="TLT46" s="14"/>
      <c r="TLU46" s="15"/>
      <c r="TLV46" s="125"/>
      <c r="TLW46" s="125"/>
      <c r="TLX46" s="14"/>
      <c r="TLY46" s="10"/>
      <c r="TLZ46" s="125"/>
      <c r="TMA46" s="125"/>
      <c r="TMB46" s="14"/>
      <c r="TMC46" s="15"/>
      <c r="TMD46" s="125"/>
      <c r="TME46" s="125"/>
      <c r="TMF46" s="14"/>
      <c r="TMG46" s="15"/>
      <c r="TMH46" s="125"/>
      <c r="TMI46" s="125"/>
      <c r="TMJ46" s="14"/>
      <c r="TMK46" s="15"/>
      <c r="TML46" s="125"/>
      <c r="TMM46" s="125"/>
      <c r="TMN46" s="14"/>
      <c r="TMO46" s="10"/>
      <c r="TMP46" s="125"/>
      <c r="TMQ46" s="125"/>
      <c r="TMR46" s="14"/>
      <c r="TMS46" s="15"/>
      <c r="TMT46" s="125"/>
      <c r="TMU46" s="125"/>
      <c r="TMV46" s="14"/>
      <c r="TMW46" s="15"/>
      <c r="TMX46" s="125"/>
      <c r="TMY46" s="125"/>
      <c r="TMZ46" s="14"/>
      <c r="TNA46" s="15"/>
      <c r="TNB46" s="125"/>
      <c r="TNC46" s="125"/>
      <c r="TND46" s="14"/>
      <c r="TNE46" s="10"/>
      <c r="TNF46" s="125"/>
      <c r="TNG46" s="125"/>
      <c r="TNH46" s="14"/>
      <c r="TNI46" s="15"/>
      <c r="TNJ46" s="125"/>
      <c r="TNK46" s="125"/>
      <c r="TNL46" s="14"/>
      <c r="TNM46" s="15"/>
      <c r="TNN46" s="125"/>
      <c r="TNO46" s="125"/>
      <c r="TNP46" s="14"/>
      <c r="TNQ46" s="15"/>
      <c r="TNR46" s="125"/>
      <c r="TNS46" s="125"/>
      <c r="TNT46" s="14"/>
      <c r="TNU46" s="10"/>
      <c r="TNV46" s="125"/>
      <c r="TNW46" s="125"/>
      <c r="TNX46" s="14"/>
      <c r="TNY46" s="15"/>
      <c r="TNZ46" s="125"/>
      <c r="TOA46" s="125"/>
      <c r="TOB46" s="14"/>
      <c r="TOC46" s="15"/>
      <c r="TOD46" s="125"/>
      <c r="TOE46" s="125"/>
      <c r="TOF46" s="14"/>
      <c r="TOG46" s="15"/>
      <c r="TOH46" s="125"/>
      <c r="TOI46" s="125"/>
      <c r="TOJ46" s="14"/>
      <c r="TOK46" s="10"/>
      <c r="TOL46" s="125"/>
      <c r="TOM46" s="125"/>
      <c r="TON46" s="14"/>
      <c r="TOO46" s="15"/>
      <c r="TOP46" s="125"/>
      <c r="TOQ46" s="125"/>
      <c r="TOR46" s="14"/>
      <c r="TOS46" s="15"/>
      <c r="TOT46" s="125"/>
      <c r="TOU46" s="125"/>
      <c r="TOV46" s="14"/>
      <c r="TOW46" s="15"/>
      <c r="TOX46" s="125"/>
      <c r="TOY46" s="125"/>
      <c r="TOZ46" s="14"/>
      <c r="TPA46" s="10"/>
      <c r="TPB46" s="125"/>
      <c r="TPC46" s="125"/>
      <c r="TPD46" s="14"/>
      <c r="TPE46" s="15"/>
      <c r="TPF46" s="125"/>
      <c r="TPG46" s="125"/>
      <c r="TPH46" s="14"/>
      <c r="TPI46" s="15"/>
      <c r="TPJ46" s="125"/>
      <c r="TPK46" s="125"/>
      <c r="TPL46" s="14"/>
      <c r="TPM46" s="15"/>
      <c r="TPN46" s="125"/>
      <c r="TPO46" s="125"/>
      <c r="TPP46" s="14"/>
      <c r="TPQ46" s="10"/>
      <c r="TPR46" s="125"/>
      <c r="TPS46" s="125"/>
      <c r="TPT46" s="14"/>
      <c r="TPU46" s="15"/>
      <c r="TPV46" s="125"/>
      <c r="TPW46" s="125"/>
      <c r="TPX46" s="14"/>
      <c r="TPY46" s="15"/>
      <c r="TPZ46" s="125"/>
      <c r="TQA46" s="125"/>
      <c r="TQB46" s="14"/>
      <c r="TQC46" s="15"/>
      <c r="TQD46" s="125"/>
      <c r="TQE46" s="125"/>
      <c r="TQF46" s="14"/>
      <c r="TQG46" s="10"/>
      <c r="TQH46" s="125"/>
      <c r="TQI46" s="125"/>
      <c r="TQJ46" s="14"/>
      <c r="TQK46" s="15"/>
      <c r="TQL46" s="125"/>
      <c r="TQM46" s="125"/>
      <c r="TQN46" s="14"/>
      <c r="TQO46" s="15"/>
      <c r="TQP46" s="125"/>
      <c r="TQQ46" s="125"/>
      <c r="TQR46" s="14"/>
      <c r="TQS46" s="15"/>
      <c r="TQT46" s="125"/>
      <c r="TQU46" s="125"/>
      <c r="TQV46" s="14"/>
      <c r="TQW46" s="10"/>
      <c r="TQX46" s="125"/>
      <c r="TQY46" s="125"/>
      <c r="TQZ46" s="14"/>
      <c r="TRA46" s="15"/>
      <c r="TRB46" s="125"/>
      <c r="TRC46" s="125"/>
      <c r="TRD46" s="14"/>
      <c r="TRE46" s="15"/>
      <c r="TRF46" s="125"/>
      <c r="TRG46" s="125"/>
      <c r="TRH46" s="14"/>
      <c r="TRI46" s="15"/>
      <c r="TRJ46" s="125"/>
      <c r="TRK46" s="125"/>
      <c r="TRL46" s="14"/>
      <c r="TRM46" s="10"/>
      <c r="TRN46" s="125"/>
      <c r="TRO46" s="125"/>
      <c r="TRP46" s="14"/>
      <c r="TRQ46" s="15"/>
      <c r="TRR46" s="125"/>
      <c r="TRS46" s="125"/>
      <c r="TRT46" s="14"/>
      <c r="TRU46" s="15"/>
      <c r="TRV46" s="125"/>
      <c r="TRW46" s="125"/>
      <c r="TRX46" s="14"/>
      <c r="TRY46" s="15"/>
      <c r="TRZ46" s="125"/>
      <c r="TSA46" s="125"/>
      <c r="TSB46" s="14"/>
      <c r="TSC46" s="10"/>
      <c r="TSD46" s="125"/>
      <c r="TSE46" s="125"/>
      <c r="TSF46" s="14"/>
      <c r="TSG46" s="15"/>
      <c r="TSH46" s="125"/>
      <c r="TSI46" s="125"/>
      <c r="TSJ46" s="14"/>
      <c r="TSK46" s="15"/>
      <c r="TSL46" s="125"/>
      <c r="TSM46" s="125"/>
      <c r="TSN46" s="14"/>
      <c r="TSO46" s="15"/>
      <c r="TSP46" s="125"/>
      <c r="TSQ46" s="125"/>
      <c r="TSR46" s="14"/>
      <c r="TSS46" s="10"/>
      <c r="TST46" s="125"/>
      <c r="TSU46" s="125"/>
      <c r="TSV46" s="14"/>
      <c r="TSW46" s="15"/>
      <c r="TSX46" s="125"/>
      <c r="TSY46" s="125"/>
      <c r="TSZ46" s="14"/>
      <c r="TTA46" s="15"/>
      <c r="TTB46" s="125"/>
      <c r="TTC46" s="125"/>
      <c r="TTD46" s="14"/>
      <c r="TTE46" s="15"/>
      <c r="TTF46" s="125"/>
      <c r="TTG46" s="125"/>
      <c r="TTH46" s="14"/>
      <c r="TTI46" s="10"/>
      <c r="TTJ46" s="125"/>
      <c r="TTK46" s="125"/>
      <c r="TTL46" s="14"/>
      <c r="TTM46" s="15"/>
      <c r="TTN46" s="125"/>
      <c r="TTO46" s="125"/>
      <c r="TTP46" s="14"/>
      <c r="TTQ46" s="15"/>
      <c r="TTR46" s="125"/>
      <c r="TTS46" s="125"/>
      <c r="TTT46" s="14"/>
      <c r="TTU46" s="15"/>
      <c r="TTV46" s="125"/>
      <c r="TTW46" s="125"/>
      <c r="TTX46" s="14"/>
      <c r="TTY46" s="10"/>
      <c r="TTZ46" s="125"/>
      <c r="TUA46" s="125"/>
      <c r="TUB46" s="14"/>
      <c r="TUC46" s="15"/>
      <c r="TUD46" s="125"/>
      <c r="TUE46" s="125"/>
      <c r="TUF46" s="14"/>
      <c r="TUG46" s="15"/>
      <c r="TUH46" s="125"/>
      <c r="TUI46" s="125"/>
      <c r="TUJ46" s="14"/>
      <c r="TUK46" s="15"/>
      <c r="TUL46" s="125"/>
      <c r="TUM46" s="125"/>
      <c r="TUN46" s="14"/>
      <c r="TUO46" s="10"/>
      <c r="TUP46" s="125"/>
      <c r="TUQ46" s="125"/>
      <c r="TUR46" s="14"/>
      <c r="TUS46" s="15"/>
      <c r="TUT46" s="125"/>
      <c r="TUU46" s="125"/>
      <c r="TUV46" s="14"/>
      <c r="TUW46" s="15"/>
      <c r="TUX46" s="125"/>
      <c r="TUY46" s="125"/>
      <c r="TUZ46" s="14"/>
      <c r="TVA46" s="15"/>
      <c r="TVB46" s="125"/>
      <c r="TVC46" s="125"/>
      <c r="TVD46" s="14"/>
      <c r="TVE46" s="10"/>
      <c r="TVF46" s="125"/>
      <c r="TVG46" s="125"/>
      <c r="TVH46" s="14"/>
      <c r="TVI46" s="15"/>
      <c r="TVJ46" s="125"/>
      <c r="TVK46" s="125"/>
      <c r="TVL46" s="14"/>
      <c r="TVM46" s="15"/>
      <c r="TVN46" s="125"/>
      <c r="TVO46" s="125"/>
      <c r="TVP46" s="14"/>
      <c r="TVQ46" s="15"/>
      <c r="TVR46" s="125"/>
      <c r="TVS46" s="125"/>
      <c r="TVT46" s="14"/>
      <c r="TVU46" s="10"/>
      <c r="TVV46" s="125"/>
      <c r="TVW46" s="125"/>
      <c r="TVX46" s="14"/>
      <c r="TVY46" s="15"/>
      <c r="TVZ46" s="125"/>
      <c r="TWA46" s="125"/>
      <c r="TWB46" s="14"/>
      <c r="TWC46" s="15"/>
      <c r="TWD46" s="125"/>
      <c r="TWE46" s="125"/>
      <c r="TWF46" s="14"/>
      <c r="TWG46" s="15"/>
      <c r="TWH46" s="125"/>
      <c r="TWI46" s="125"/>
      <c r="TWJ46" s="14"/>
      <c r="TWK46" s="10"/>
      <c r="TWL46" s="125"/>
      <c r="TWM46" s="125"/>
      <c r="TWN46" s="14"/>
      <c r="TWO46" s="15"/>
      <c r="TWP46" s="125"/>
      <c r="TWQ46" s="125"/>
      <c r="TWR46" s="14"/>
      <c r="TWS46" s="15"/>
      <c r="TWT46" s="125"/>
      <c r="TWU46" s="125"/>
      <c r="TWV46" s="14"/>
      <c r="TWW46" s="15"/>
      <c r="TWX46" s="125"/>
      <c r="TWY46" s="125"/>
      <c r="TWZ46" s="14"/>
      <c r="TXA46" s="10"/>
      <c r="TXB46" s="125"/>
      <c r="TXC46" s="125"/>
      <c r="TXD46" s="14"/>
      <c r="TXE46" s="15"/>
      <c r="TXF46" s="125"/>
      <c r="TXG46" s="125"/>
      <c r="TXH46" s="14"/>
      <c r="TXI46" s="15"/>
      <c r="TXJ46" s="125"/>
      <c r="TXK46" s="125"/>
      <c r="TXL46" s="14"/>
      <c r="TXM46" s="15"/>
      <c r="TXN46" s="125"/>
      <c r="TXO46" s="125"/>
      <c r="TXP46" s="14"/>
      <c r="TXQ46" s="10"/>
      <c r="TXR46" s="125"/>
      <c r="TXS46" s="125"/>
      <c r="TXT46" s="14"/>
      <c r="TXU46" s="15"/>
      <c r="TXV46" s="125"/>
      <c r="TXW46" s="125"/>
      <c r="TXX46" s="14"/>
      <c r="TXY46" s="15"/>
      <c r="TXZ46" s="125"/>
      <c r="TYA46" s="125"/>
      <c r="TYB46" s="14"/>
      <c r="TYC46" s="15"/>
      <c r="TYD46" s="125"/>
      <c r="TYE46" s="125"/>
      <c r="TYF46" s="14"/>
      <c r="TYG46" s="10"/>
      <c r="TYH46" s="125"/>
      <c r="TYI46" s="125"/>
      <c r="TYJ46" s="14"/>
      <c r="TYK46" s="15"/>
      <c r="TYL46" s="125"/>
      <c r="TYM46" s="125"/>
      <c r="TYN46" s="14"/>
      <c r="TYO46" s="15"/>
      <c r="TYP46" s="125"/>
      <c r="TYQ46" s="125"/>
      <c r="TYR46" s="14"/>
      <c r="TYS46" s="15"/>
      <c r="TYT46" s="125"/>
      <c r="TYU46" s="125"/>
      <c r="TYV46" s="14"/>
      <c r="TYW46" s="10"/>
      <c r="TYX46" s="125"/>
      <c r="TYY46" s="125"/>
      <c r="TYZ46" s="14"/>
      <c r="TZA46" s="15"/>
      <c r="TZB46" s="125"/>
      <c r="TZC46" s="125"/>
      <c r="TZD46" s="14"/>
      <c r="TZE46" s="15"/>
      <c r="TZF46" s="125"/>
      <c r="TZG46" s="125"/>
      <c r="TZH46" s="14"/>
      <c r="TZI46" s="15"/>
      <c r="TZJ46" s="125"/>
      <c r="TZK46" s="125"/>
      <c r="TZL46" s="14"/>
      <c r="TZM46" s="10"/>
      <c r="TZN46" s="125"/>
      <c r="TZO46" s="125"/>
      <c r="TZP46" s="14"/>
      <c r="TZQ46" s="15"/>
      <c r="TZR46" s="125"/>
      <c r="TZS46" s="125"/>
      <c r="TZT46" s="14"/>
      <c r="TZU46" s="15"/>
      <c r="TZV46" s="125"/>
      <c r="TZW46" s="125"/>
      <c r="TZX46" s="14"/>
      <c r="TZY46" s="15"/>
      <c r="TZZ46" s="125"/>
      <c r="UAA46" s="125"/>
      <c r="UAB46" s="14"/>
      <c r="UAC46" s="10"/>
      <c r="UAD46" s="125"/>
      <c r="UAE46" s="125"/>
      <c r="UAF46" s="14"/>
      <c r="UAG46" s="15"/>
      <c r="UAH46" s="125"/>
      <c r="UAI46" s="125"/>
      <c r="UAJ46" s="14"/>
      <c r="UAK46" s="15"/>
      <c r="UAL46" s="125"/>
      <c r="UAM46" s="125"/>
      <c r="UAN46" s="14"/>
      <c r="UAO46" s="15"/>
      <c r="UAP46" s="125"/>
      <c r="UAQ46" s="125"/>
      <c r="UAR46" s="14"/>
      <c r="UAS46" s="10"/>
      <c r="UAT46" s="125"/>
      <c r="UAU46" s="125"/>
      <c r="UAV46" s="14"/>
      <c r="UAW46" s="15"/>
      <c r="UAX46" s="125"/>
      <c r="UAY46" s="125"/>
      <c r="UAZ46" s="14"/>
      <c r="UBA46" s="15"/>
      <c r="UBB46" s="125"/>
      <c r="UBC46" s="125"/>
      <c r="UBD46" s="14"/>
      <c r="UBE46" s="15"/>
      <c r="UBF46" s="125"/>
      <c r="UBG46" s="125"/>
      <c r="UBH46" s="14"/>
      <c r="UBI46" s="10"/>
      <c r="UBJ46" s="125"/>
      <c r="UBK46" s="125"/>
      <c r="UBL46" s="14"/>
      <c r="UBM46" s="15"/>
      <c r="UBN46" s="125"/>
      <c r="UBO46" s="125"/>
      <c r="UBP46" s="14"/>
      <c r="UBQ46" s="15"/>
      <c r="UBR46" s="125"/>
      <c r="UBS46" s="125"/>
      <c r="UBT46" s="14"/>
      <c r="UBU46" s="15"/>
      <c r="UBV46" s="125"/>
      <c r="UBW46" s="125"/>
      <c r="UBX46" s="14"/>
      <c r="UBY46" s="10"/>
      <c r="UBZ46" s="125"/>
      <c r="UCA46" s="125"/>
      <c r="UCB46" s="14"/>
      <c r="UCC46" s="15"/>
      <c r="UCD46" s="125"/>
      <c r="UCE46" s="125"/>
      <c r="UCF46" s="14"/>
      <c r="UCG46" s="15"/>
      <c r="UCH46" s="125"/>
      <c r="UCI46" s="125"/>
      <c r="UCJ46" s="14"/>
      <c r="UCK46" s="15"/>
      <c r="UCL46" s="125"/>
      <c r="UCM46" s="125"/>
      <c r="UCN46" s="14"/>
      <c r="UCO46" s="10"/>
      <c r="UCP46" s="125"/>
      <c r="UCQ46" s="125"/>
      <c r="UCR46" s="14"/>
      <c r="UCS46" s="15"/>
      <c r="UCT46" s="125"/>
      <c r="UCU46" s="125"/>
      <c r="UCV46" s="14"/>
      <c r="UCW46" s="15"/>
      <c r="UCX46" s="125"/>
      <c r="UCY46" s="125"/>
      <c r="UCZ46" s="14"/>
      <c r="UDA46" s="15"/>
      <c r="UDB46" s="125"/>
      <c r="UDC46" s="125"/>
      <c r="UDD46" s="14"/>
      <c r="UDE46" s="10"/>
      <c r="UDF46" s="125"/>
      <c r="UDG46" s="125"/>
      <c r="UDH46" s="14"/>
      <c r="UDI46" s="15"/>
      <c r="UDJ46" s="125"/>
      <c r="UDK46" s="125"/>
      <c r="UDL46" s="14"/>
      <c r="UDM46" s="15"/>
      <c r="UDN46" s="125"/>
      <c r="UDO46" s="125"/>
      <c r="UDP46" s="14"/>
      <c r="UDQ46" s="15"/>
      <c r="UDR46" s="125"/>
      <c r="UDS46" s="125"/>
      <c r="UDT46" s="14"/>
      <c r="UDU46" s="10"/>
      <c r="UDV46" s="125"/>
      <c r="UDW46" s="125"/>
      <c r="UDX46" s="14"/>
      <c r="UDY46" s="15"/>
      <c r="UDZ46" s="125"/>
      <c r="UEA46" s="125"/>
      <c r="UEB46" s="14"/>
      <c r="UEC46" s="15"/>
      <c r="UED46" s="125"/>
      <c r="UEE46" s="125"/>
      <c r="UEF46" s="14"/>
      <c r="UEG46" s="15"/>
      <c r="UEH46" s="125"/>
      <c r="UEI46" s="125"/>
      <c r="UEJ46" s="14"/>
      <c r="UEK46" s="10"/>
      <c r="UEL46" s="125"/>
      <c r="UEM46" s="125"/>
      <c r="UEN46" s="14"/>
      <c r="UEO46" s="15"/>
      <c r="UEP46" s="125"/>
      <c r="UEQ46" s="125"/>
      <c r="UER46" s="14"/>
      <c r="UES46" s="15"/>
      <c r="UET46" s="125"/>
      <c r="UEU46" s="125"/>
      <c r="UEV46" s="14"/>
      <c r="UEW46" s="15"/>
      <c r="UEX46" s="125"/>
      <c r="UEY46" s="125"/>
      <c r="UEZ46" s="14"/>
      <c r="UFA46" s="10"/>
      <c r="UFB46" s="125"/>
      <c r="UFC46" s="125"/>
      <c r="UFD46" s="14"/>
      <c r="UFE46" s="15"/>
      <c r="UFF46" s="125"/>
      <c r="UFG46" s="125"/>
      <c r="UFH46" s="14"/>
      <c r="UFI46" s="15"/>
      <c r="UFJ46" s="125"/>
      <c r="UFK46" s="125"/>
      <c r="UFL46" s="14"/>
      <c r="UFM46" s="15"/>
      <c r="UFN46" s="125"/>
      <c r="UFO46" s="125"/>
      <c r="UFP46" s="14"/>
      <c r="UFQ46" s="10"/>
      <c r="UFR46" s="125"/>
      <c r="UFS46" s="125"/>
      <c r="UFT46" s="14"/>
      <c r="UFU46" s="15"/>
      <c r="UFV46" s="125"/>
      <c r="UFW46" s="125"/>
      <c r="UFX46" s="14"/>
      <c r="UFY46" s="15"/>
      <c r="UFZ46" s="125"/>
      <c r="UGA46" s="125"/>
      <c r="UGB46" s="14"/>
      <c r="UGC46" s="15"/>
      <c r="UGD46" s="125"/>
      <c r="UGE46" s="125"/>
      <c r="UGF46" s="14"/>
      <c r="UGG46" s="10"/>
      <c r="UGH46" s="125"/>
      <c r="UGI46" s="125"/>
      <c r="UGJ46" s="14"/>
      <c r="UGK46" s="15"/>
      <c r="UGL46" s="125"/>
      <c r="UGM46" s="125"/>
      <c r="UGN46" s="14"/>
      <c r="UGO46" s="15"/>
      <c r="UGP46" s="125"/>
      <c r="UGQ46" s="125"/>
      <c r="UGR46" s="14"/>
      <c r="UGS46" s="15"/>
      <c r="UGT46" s="125"/>
      <c r="UGU46" s="125"/>
      <c r="UGV46" s="14"/>
      <c r="UGW46" s="10"/>
      <c r="UGX46" s="125"/>
      <c r="UGY46" s="125"/>
      <c r="UGZ46" s="14"/>
      <c r="UHA46" s="15"/>
      <c r="UHB46" s="125"/>
      <c r="UHC46" s="125"/>
      <c r="UHD46" s="14"/>
      <c r="UHE46" s="15"/>
      <c r="UHF46" s="125"/>
      <c r="UHG46" s="125"/>
      <c r="UHH46" s="14"/>
      <c r="UHI46" s="15"/>
      <c r="UHJ46" s="125"/>
      <c r="UHK46" s="125"/>
      <c r="UHL46" s="14"/>
      <c r="UHM46" s="10"/>
      <c r="UHN46" s="125"/>
      <c r="UHO46" s="125"/>
      <c r="UHP46" s="14"/>
      <c r="UHQ46" s="15"/>
      <c r="UHR46" s="125"/>
      <c r="UHS46" s="125"/>
      <c r="UHT46" s="14"/>
      <c r="UHU46" s="15"/>
      <c r="UHV46" s="125"/>
      <c r="UHW46" s="125"/>
      <c r="UHX46" s="14"/>
      <c r="UHY46" s="15"/>
      <c r="UHZ46" s="125"/>
      <c r="UIA46" s="125"/>
      <c r="UIB46" s="14"/>
      <c r="UIC46" s="10"/>
      <c r="UID46" s="125"/>
      <c r="UIE46" s="125"/>
      <c r="UIF46" s="14"/>
      <c r="UIG46" s="15"/>
      <c r="UIH46" s="125"/>
      <c r="UII46" s="125"/>
      <c r="UIJ46" s="14"/>
      <c r="UIK46" s="15"/>
      <c r="UIL46" s="125"/>
      <c r="UIM46" s="125"/>
      <c r="UIN46" s="14"/>
      <c r="UIO46" s="15"/>
      <c r="UIP46" s="125"/>
      <c r="UIQ46" s="125"/>
      <c r="UIR46" s="14"/>
      <c r="UIS46" s="10"/>
      <c r="UIT46" s="125"/>
      <c r="UIU46" s="125"/>
      <c r="UIV46" s="14"/>
      <c r="UIW46" s="15"/>
      <c r="UIX46" s="125"/>
      <c r="UIY46" s="125"/>
      <c r="UIZ46" s="14"/>
      <c r="UJA46" s="15"/>
      <c r="UJB46" s="125"/>
      <c r="UJC46" s="125"/>
      <c r="UJD46" s="14"/>
      <c r="UJE46" s="15"/>
      <c r="UJF46" s="125"/>
      <c r="UJG46" s="125"/>
      <c r="UJH46" s="14"/>
      <c r="UJI46" s="10"/>
      <c r="UJJ46" s="125"/>
      <c r="UJK46" s="125"/>
      <c r="UJL46" s="14"/>
      <c r="UJM46" s="15"/>
      <c r="UJN46" s="125"/>
      <c r="UJO46" s="125"/>
      <c r="UJP46" s="14"/>
      <c r="UJQ46" s="15"/>
      <c r="UJR46" s="125"/>
      <c r="UJS46" s="125"/>
      <c r="UJT46" s="14"/>
      <c r="UJU46" s="15"/>
      <c r="UJV46" s="125"/>
      <c r="UJW46" s="125"/>
      <c r="UJX46" s="14"/>
      <c r="UJY46" s="10"/>
      <c r="UJZ46" s="125"/>
      <c r="UKA46" s="125"/>
      <c r="UKB46" s="14"/>
      <c r="UKC46" s="15"/>
      <c r="UKD46" s="125"/>
      <c r="UKE46" s="125"/>
      <c r="UKF46" s="14"/>
      <c r="UKG46" s="15"/>
      <c r="UKH46" s="125"/>
      <c r="UKI46" s="125"/>
      <c r="UKJ46" s="14"/>
      <c r="UKK46" s="15"/>
      <c r="UKL46" s="125"/>
      <c r="UKM46" s="125"/>
      <c r="UKN46" s="14"/>
      <c r="UKO46" s="10"/>
      <c r="UKP46" s="125"/>
      <c r="UKQ46" s="125"/>
      <c r="UKR46" s="14"/>
      <c r="UKS46" s="15"/>
      <c r="UKT46" s="125"/>
      <c r="UKU46" s="125"/>
      <c r="UKV46" s="14"/>
      <c r="UKW46" s="15"/>
      <c r="UKX46" s="125"/>
      <c r="UKY46" s="125"/>
      <c r="UKZ46" s="14"/>
      <c r="ULA46" s="15"/>
      <c r="ULB46" s="125"/>
      <c r="ULC46" s="125"/>
      <c r="ULD46" s="14"/>
      <c r="ULE46" s="10"/>
      <c r="ULF46" s="125"/>
      <c r="ULG46" s="125"/>
      <c r="ULH46" s="14"/>
      <c r="ULI46" s="15"/>
      <c r="ULJ46" s="125"/>
      <c r="ULK46" s="125"/>
      <c r="ULL46" s="14"/>
      <c r="ULM46" s="15"/>
      <c r="ULN46" s="125"/>
      <c r="ULO46" s="125"/>
      <c r="ULP46" s="14"/>
      <c r="ULQ46" s="15"/>
      <c r="ULR46" s="125"/>
      <c r="ULS46" s="125"/>
      <c r="ULT46" s="14"/>
      <c r="ULU46" s="10"/>
      <c r="ULV46" s="125"/>
      <c r="ULW46" s="125"/>
      <c r="ULX46" s="14"/>
      <c r="ULY46" s="15"/>
      <c r="ULZ46" s="125"/>
      <c r="UMA46" s="125"/>
      <c r="UMB46" s="14"/>
      <c r="UMC46" s="15"/>
      <c r="UMD46" s="125"/>
      <c r="UME46" s="125"/>
      <c r="UMF46" s="14"/>
      <c r="UMG46" s="15"/>
      <c r="UMH46" s="125"/>
      <c r="UMI46" s="125"/>
      <c r="UMJ46" s="14"/>
      <c r="UMK46" s="10"/>
      <c r="UML46" s="125"/>
      <c r="UMM46" s="125"/>
      <c r="UMN46" s="14"/>
      <c r="UMO46" s="15"/>
      <c r="UMP46" s="125"/>
      <c r="UMQ46" s="125"/>
      <c r="UMR46" s="14"/>
      <c r="UMS46" s="15"/>
      <c r="UMT46" s="125"/>
      <c r="UMU46" s="125"/>
      <c r="UMV46" s="14"/>
      <c r="UMW46" s="15"/>
      <c r="UMX46" s="125"/>
      <c r="UMY46" s="125"/>
      <c r="UMZ46" s="14"/>
      <c r="UNA46" s="10"/>
      <c r="UNB46" s="125"/>
      <c r="UNC46" s="125"/>
      <c r="UND46" s="14"/>
      <c r="UNE46" s="15"/>
      <c r="UNF46" s="125"/>
      <c r="UNG46" s="125"/>
      <c r="UNH46" s="14"/>
      <c r="UNI46" s="15"/>
      <c r="UNJ46" s="125"/>
      <c r="UNK46" s="125"/>
      <c r="UNL46" s="14"/>
      <c r="UNM46" s="15"/>
      <c r="UNN46" s="125"/>
      <c r="UNO46" s="125"/>
      <c r="UNP46" s="14"/>
      <c r="UNQ46" s="10"/>
      <c r="UNR46" s="125"/>
      <c r="UNS46" s="125"/>
      <c r="UNT46" s="14"/>
      <c r="UNU46" s="15"/>
      <c r="UNV46" s="125"/>
      <c r="UNW46" s="125"/>
      <c r="UNX46" s="14"/>
      <c r="UNY46" s="15"/>
      <c r="UNZ46" s="125"/>
      <c r="UOA46" s="125"/>
      <c r="UOB46" s="14"/>
      <c r="UOC46" s="15"/>
      <c r="UOD46" s="125"/>
      <c r="UOE46" s="125"/>
      <c r="UOF46" s="14"/>
      <c r="UOG46" s="10"/>
      <c r="UOH46" s="125"/>
      <c r="UOI46" s="125"/>
      <c r="UOJ46" s="14"/>
      <c r="UOK46" s="15"/>
      <c r="UOL46" s="125"/>
      <c r="UOM46" s="125"/>
      <c r="UON46" s="14"/>
      <c r="UOO46" s="15"/>
      <c r="UOP46" s="125"/>
      <c r="UOQ46" s="125"/>
      <c r="UOR46" s="14"/>
      <c r="UOS46" s="15"/>
      <c r="UOT46" s="125"/>
      <c r="UOU46" s="125"/>
      <c r="UOV46" s="14"/>
      <c r="UOW46" s="10"/>
      <c r="UOX46" s="125"/>
      <c r="UOY46" s="125"/>
      <c r="UOZ46" s="14"/>
      <c r="UPA46" s="15"/>
      <c r="UPB46" s="125"/>
      <c r="UPC46" s="125"/>
      <c r="UPD46" s="14"/>
      <c r="UPE46" s="15"/>
      <c r="UPF46" s="125"/>
      <c r="UPG46" s="125"/>
      <c r="UPH46" s="14"/>
      <c r="UPI46" s="15"/>
      <c r="UPJ46" s="125"/>
      <c r="UPK46" s="125"/>
      <c r="UPL46" s="14"/>
      <c r="UPM46" s="10"/>
      <c r="UPN46" s="125"/>
      <c r="UPO46" s="125"/>
      <c r="UPP46" s="14"/>
      <c r="UPQ46" s="15"/>
      <c r="UPR46" s="125"/>
      <c r="UPS46" s="125"/>
      <c r="UPT46" s="14"/>
      <c r="UPU46" s="15"/>
      <c r="UPV46" s="125"/>
      <c r="UPW46" s="125"/>
      <c r="UPX46" s="14"/>
      <c r="UPY46" s="15"/>
      <c r="UPZ46" s="125"/>
      <c r="UQA46" s="125"/>
      <c r="UQB46" s="14"/>
      <c r="UQC46" s="10"/>
      <c r="UQD46" s="125"/>
      <c r="UQE46" s="125"/>
      <c r="UQF46" s="14"/>
      <c r="UQG46" s="15"/>
      <c r="UQH46" s="125"/>
      <c r="UQI46" s="125"/>
      <c r="UQJ46" s="14"/>
      <c r="UQK46" s="15"/>
      <c r="UQL46" s="125"/>
      <c r="UQM46" s="125"/>
      <c r="UQN46" s="14"/>
      <c r="UQO46" s="15"/>
      <c r="UQP46" s="125"/>
      <c r="UQQ46" s="125"/>
      <c r="UQR46" s="14"/>
      <c r="UQS46" s="10"/>
      <c r="UQT46" s="125"/>
      <c r="UQU46" s="125"/>
      <c r="UQV46" s="14"/>
      <c r="UQW46" s="15"/>
      <c r="UQX46" s="125"/>
      <c r="UQY46" s="125"/>
      <c r="UQZ46" s="14"/>
      <c r="URA46" s="15"/>
      <c r="URB46" s="125"/>
      <c r="URC46" s="125"/>
      <c r="URD46" s="14"/>
      <c r="URE46" s="15"/>
      <c r="URF46" s="125"/>
      <c r="URG46" s="125"/>
      <c r="URH46" s="14"/>
      <c r="URI46" s="10"/>
      <c r="URJ46" s="125"/>
      <c r="URK46" s="125"/>
      <c r="URL46" s="14"/>
      <c r="URM46" s="15"/>
      <c r="URN46" s="125"/>
      <c r="URO46" s="125"/>
      <c r="URP46" s="14"/>
      <c r="URQ46" s="15"/>
      <c r="URR46" s="125"/>
      <c r="URS46" s="125"/>
      <c r="URT46" s="14"/>
      <c r="URU46" s="15"/>
      <c r="URV46" s="125"/>
      <c r="URW46" s="125"/>
      <c r="URX46" s="14"/>
      <c r="URY46" s="10"/>
      <c r="URZ46" s="125"/>
      <c r="USA46" s="125"/>
      <c r="USB46" s="14"/>
      <c r="USC46" s="15"/>
      <c r="USD46" s="125"/>
      <c r="USE46" s="125"/>
      <c r="USF46" s="14"/>
      <c r="USG46" s="15"/>
      <c r="USH46" s="125"/>
      <c r="USI46" s="125"/>
      <c r="USJ46" s="14"/>
      <c r="USK46" s="15"/>
      <c r="USL46" s="125"/>
      <c r="USM46" s="125"/>
      <c r="USN46" s="14"/>
      <c r="USO46" s="10"/>
      <c r="USP46" s="125"/>
      <c r="USQ46" s="125"/>
      <c r="USR46" s="14"/>
      <c r="USS46" s="15"/>
      <c r="UST46" s="125"/>
      <c r="USU46" s="125"/>
      <c r="USV46" s="14"/>
      <c r="USW46" s="15"/>
      <c r="USX46" s="125"/>
      <c r="USY46" s="125"/>
      <c r="USZ46" s="14"/>
      <c r="UTA46" s="15"/>
      <c r="UTB46" s="125"/>
      <c r="UTC46" s="125"/>
      <c r="UTD46" s="14"/>
      <c r="UTE46" s="10"/>
      <c r="UTF46" s="125"/>
      <c r="UTG46" s="125"/>
      <c r="UTH46" s="14"/>
      <c r="UTI46" s="15"/>
      <c r="UTJ46" s="125"/>
      <c r="UTK46" s="125"/>
      <c r="UTL46" s="14"/>
      <c r="UTM46" s="15"/>
      <c r="UTN46" s="125"/>
      <c r="UTO46" s="125"/>
      <c r="UTP46" s="14"/>
      <c r="UTQ46" s="15"/>
      <c r="UTR46" s="125"/>
      <c r="UTS46" s="125"/>
      <c r="UTT46" s="14"/>
      <c r="UTU46" s="10"/>
      <c r="UTV46" s="125"/>
      <c r="UTW46" s="125"/>
      <c r="UTX46" s="14"/>
      <c r="UTY46" s="15"/>
      <c r="UTZ46" s="125"/>
      <c r="UUA46" s="125"/>
      <c r="UUB46" s="14"/>
      <c r="UUC46" s="15"/>
      <c r="UUD46" s="125"/>
      <c r="UUE46" s="125"/>
      <c r="UUF46" s="14"/>
      <c r="UUG46" s="15"/>
      <c r="UUH46" s="125"/>
      <c r="UUI46" s="125"/>
      <c r="UUJ46" s="14"/>
      <c r="UUK46" s="10"/>
      <c r="UUL46" s="125"/>
      <c r="UUM46" s="125"/>
      <c r="UUN46" s="14"/>
      <c r="UUO46" s="15"/>
      <c r="UUP46" s="125"/>
      <c r="UUQ46" s="125"/>
      <c r="UUR46" s="14"/>
      <c r="UUS46" s="15"/>
      <c r="UUT46" s="125"/>
      <c r="UUU46" s="125"/>
      <c r="UUV46" s="14"/>
      <c r="UUW46" s="15"/>
      <c r="UUX46" s="125"/>
      <c r="UUY46" s="125"/>
      <c r="UUZ46" s="14"/>
      <c r="UVA46" s="10"/>
      <c r="UVB46" s="125"/>
      <c r="UVC46" s="125"/>
      <c r="UVD46" s="14"/>
      <c r="UVE46" s="15"/>
      <c r="UVF46" s="125"/>
      <c r="UVG46" s="125"/>
      <c r="UVH46" s="14"/>
      <c r="UVI46" s="15"/>
      <c r="UVJ46" s="125"/>
      <c r="UVK46" s="125"/>
      <c r="UVL46" s="14"/>
      <c r="UVM46" s="15"/>
      <c r="UVN46" s="125"/>
      <c r="UVO46" s="125"/>
      <c r="UVP46" s="14"/>
      <c r="UVQ46" s="10"/>
      <c r="UVR46" s="125"/>
      <c r="UVS46" s="125"/>
      <c r="UVT46" s="14"/>
      <c r="UVU46" s="15"/>
      <c r="UVV46" s="125"/>
      <c r="UVW46" s="125"/>
      <c r="UVX46" s="14"/>
      <c r="UVY46" s="15"/>
      <c r="UVZ46" s="125"/>
      <c r="UWA46" s="125"/>
      <c r="UWB46" s="14"/>
      <c r="UWC46" s="15"/>
      <c r="UWD46" s="125"/>
      <c r="UWE46" s="125"/>
      <c r="UWF46" s="14"/>
      <c r="UWG46" s="10"/>
      <c r="UWH46" s="125"/>
      <c r="UWI46" s="125"/>
      <c r="UWJ46" s="14"/>
      <c r="UWK46" s="15"/>
      <c r="UWL46" s="125"/>
      <c r="UWM46" s="125"/>
      <c r="UWN46" s="14"/>
      <c r="UWO46" s="15"/>
      <c r="UWP46" s="125"/>
      <c r="UWQ46" s="125"/>
      <c r="UWR46" s="14"/>
      <c r="UWS46" s="15"/>
      <c r="UWT46" s="125"/>
      <c r="UWU46" s="125"/>
      <c r="UWV46" s="14"/>
      <c r="UWW46" s="10"/>
      <c r="UWX46" s="125"/>
      <c r="UWY46" s="125"/>
      <c r="UWZ46" s="14"/>
      <c r="UXA46" s="15"/>
      <c r="UXB46" s="125"/>
      <c r="UXC46" s="125"/>
      <c r="UXD46" s="14"/>
      <c r="UXE46" s="15"/>
      <c r="UXF46" s="125"/>
      <c r="UXG46" s="125"/>
      <c r="UXH46" s="14"/>
      <c r="UXI46" s="15"/>
      <c r="UXJ46" s="125"/>
      <c r="UXK46" s="125"/>
      <c r="UXL46" s="14"/>
      <c r="UXM46" s="10"/>
      <c r="UXN46" s="125"/>
      <c r="UXO46" s="125"/>
      <c r="UXP46" s="14"/>
      <c r="UXQ46" s="15"/>
      <c r="UXR46" s="125"/>
      <c r="UXS46" s="125"/>
      <c r="UXT46" s="14"/>
      <c r="UXU46" s="15"/>
      <c r="UXV46" s="125"/>
      <c r="UXW46" s="125"/>
      <c r="UXX46" s="14"/>
      <c r="UXY46" s="15"/>
      <c r="UXZ46" s="125"/>
      <c r="UYA46" s="125"/>
      <c r="UYB46" s="14"/>
      <c r="UYC46" s="10"/>
      <c r="UYD46" s="125"/>
      <c r="UYE46" s="125"/>
      <c r="UYF46" s="14"/>
      <c r="UYG46" s="15"/>
      <c r="UYH46" s="125"/>
      <c r="UYI46" s="125"/>
      <c r="UYJ46" s="14"/>
      <c r="UYK46" s="15"/>
      <c r="UYL46" s="125"/>
      <c r="UYM46" s="125"/>
      <c r="UYN46" s="14"/>
      <c r="UYO46" s="15"/>
      <c r="UYP46" s="125"/>
      <c r="UYQ46" s="125"/>
      <c r="UYR46" s="14"/>
      <c r="UYS46" s="10"/>
      <c r="UYT46" s="125"/>
      <c r="UYU46" s="125"/>
      <c r="UYV46" s="14"/>
      <c r="UYW46" s="15"/>
      <c r="UYX46" s="125"/>
      <c r="UYY46" s="125"/>
      <c r="UYZ46" s="14"/>
      <c r="UZA46" s="15"/>
      <c r="UZB46" s="125"/>
      <c r="UZC46" s="125"/>
      <c r="UZD46" s="14"/>
      <c r="UZE46" s="15"/>
      <c r="UZF46" s="125"/>
      <c r="UZG46" s="125"/>
      <c r="UZH46" s="14"/>
      <c r="UZI46" s="10"/>
      <c r="UZJ46" s="125"/>
      <c r="UZK46" s="125"/>
      <c r="UZL46" s="14"/>
      <c r="UZM46" s="15"/>
      <c r="UZN46" s="125"/>
      <c r="UZO46" s="125"/>
      <c r="UZP46" s="14"/>
      <c r="UZQ46" s="15"/>
      <c r="UZR46" s="125"/>
      <c r="UZS46" s="125"/>
      <c r="UZT46" s="14"/>
      <c r="UZU46" s="15"/>
      <c r="UZV46" s="125"/>
      <c r="UZW46" s="125"/>
      <c r="UZX46" s="14"/>
      <c r="UZY46" s="10"/>
      <c r="UZZ46" s="125"/>
      <c r="VAA46" s="125"/>
      <c r="VAB46" s="14"/>
      <c r="VAC46" s="15"/>
      <c r="VAD46" s="125"/>
      <c r="VAE46" s="125"/>
      <c r="VAF46" s="14"/>
      <c r="VAG46" s="15"/>
      <c r="VAH46" s="125"/>
      <c r="VAI46" s="125"/>
      <c r="VAJ46" s="14"/>
      <c r="VAK46" s="15"/>
      <c r="VAL46" s="125"/>
      <c r="VAM46" s="125"/>
      <c r="VAN46" s="14"/>
      <c r="VAO46" s="10"/>
      <c r="VAP46" s="125"/>
      <c r="VAQ46" s="125"/>
      <c r="VAR46" s="14"/>
      <c r="VAS46" s="15"/>
      <c r="VAT46" s="125"/>
      <c r="VAU46" s="125"/>
      <c r="VAV46" s="14"/>
      <c r="VAW46" s="15"/>
      <c r="VAX46" s="125"/>
      <c r="VAY46" s="125"/>
      <c r="VAZ46" s="14"/>
      <c r="VBA46" s="15"/>
      <c r="VBB46" s="125"/>
      <c r="VBC46" s="125"/>
      <c r="VBD46" s="14"/>
      <c r="VBE46" s="10"/>
      <c r="VBF46" s="125"/>
      <c r="VBG46" s="125"/>
      <c r="VBH46" s="14"/>
      <c r="VBI46" s="15"/>
      <c r="VBJ46" s="125"/>
      <c r="VBK46" s="125"/>
      <c r="VBL46" s="14"/>
      <c r="VBM46" s="15"/>
      <c r="VBN46" s="125"/>
      <c r="VBO46" s="125"/>
      <c r="VBP46" s="14"/>
      <c r="VBQ46" s="15"/>
      <c r="VBR46" s="125"/>
      <c r="VBS46" s="125"/>
      <c r="VBT46" s="14"/>
      <c r="VBU46" s="10"/>
      <c r="VBV46" s="125"/>
      <c r="VBW46" s="125"/>
      <c r="VBX46" s="14"/>
      <c r="VBY46" s="15"/>
      <c r="VBZ46" s="125"/>
      <c r="VCA46" s="125"/>
      <c r="VCB46" s="14"/>
      <c r="VCC46" s="15"/>
      <c r="VCD46" s="125"/>
      <c r="VCE46" s="125"/>
      <c r="VCF46" s="14"/>
      <c r="VCG46" s="15"/>
      <c r="VCH46" s="125"/>
      <c r="VCI46" s="125"/>
      <c r="VCJ46" s="14"/>
      <c r="VCK46" s="10"/>
      <c r="VCL46" s="125"/>
      <c r="VCM46" s="125"/>
      <c r="VCN46" s="14"/>
      <c r="VCO46" s="15"/>
      <c r="VCP46" s="125"/>
      <c r="VCQ46" s="125"/>
      <c r="VCR46" s="14"/>
      <c r="VCS46" s="15"/>
      <c r="VCT46" s="125"/>
      <c r="VCU46" s="125"/>
      <c r="VCV46" s="14"/>
      <c r="VCW46" s="15"/>
      <c r="VCX46" s="125"/>
      <c r="VCY46" s="125"/>
      <c r="VCZ46" s="14"/>
      <c r="VDA46" s="10"/>
      <c r="VDB46" s="125"/>
      <c r="VDC46" s="125"/>
      <c r="VDD46" s="14"/>
      <c r="VDE46" s="15"/>
      <c r="VDF46" s="125"/>
      <c r="VDG46" s="125"/>
      <c r="VDH46" s="14"/>
      <c r="VDI46" s="15"/>
      <c r="VDJ46" s="125"/>
      <c r="VDK46" s="125"/>
      <c r="VDL46" s="14"/>
      <c r="VDM46" s="15"/>
      <c r="VDN46" s="125"/>
      <c r="VDO46" s="125"/>
      <c r="VDP46" s="14"/>
      <c r="VDQ46" s="10"/>
      <c r="VDR46" s="125"/>
      <c r="VDS46" s="125"/>
      <c r="VDT46" s="14"/>
      <c r="VDU46" s="15"/>
      <c r="VDV46" s="125"/>
      <c r="VDW46" s="125"/>
      <c r="VDX46" s="14"/>
      <c r="VDY46" s="15"/>
      <c r="VDZ46" s="125"/>
      <c r="VEA46" s="125"/>
      <c r="VEB46" s="14"/>
      <c r="VEC46" s="15"/>
      <c r="VED46" s="125"/>
      <c r="VEE46" s="125"/>
      <c r="VEF46" s="14"/>
      <c r="VEG46" s="10"/>
      <c r="VEH46" s="125"/>
      <c r="VEI46" s="125"/>
      <c r="VEJ46" s="14"/>
      <c r="VEK46" s="15"/>
      <c r="VEL46" s="125"/>
      <c r="VEM46" s="125"/>
      <c r="VEN46" s="14"/>
      <c r="VEO46" s="15"/>
      <c r="VEP46" s="125"/>
      <c r="VEQ46" s="125"/>
      <c r="VER46" s="14"/>
      <c r="VES46" s="15"/>
      <c r="VET46" s="125"/>
      <c r="VEU46" s="125"/>
      <c r="VEV46" s="14"/>
      <c r="VEW46" s="10"/>
      <c r="VEX46" s="125"/>
      <c r="VEY46" s="125"/>
      <c r="VEZ46" s="14"/>
      <c r="VFA46" s="15"/>
      <c r="VFB46" s="125"/>
      <c r="VFC46" s="125"/>
      <c r="VFD46" s="14"/>
      <c r="VFE46" s="15"/>
      <c r="VFF46" s="125"/>
      <c r="VFG46" s="125"/>
      <c r="VFH46" s="14"/>
      <c r="VFI46" s="15"/>
      <c r="VFJ46" s="125"/>
      <c r="VFK46" s="125"/>
      <c r="VFL46" s="14"/>
      <c r="VFM46" s="10"/>
      <c r="VFN46" s="125"/>
      <c r="VFO46" s="125"/>
      <c r="VFP46" s="14"/>
      <c r="VFQ46" s="15"/>
      <c r="VFR46" s="125"/>
      <c r="VFS46" s="125"/>
      <c r="VFT46" s="14"/>
      <c r="VFU46" s="15"/>
      <c r="VFV46" s="125"/>
      <c r="VFW46" s="125"/>
      <c r="VFX46" s="14"/>
      <c r="VFY46" s="15"/>
      <c r="VFZ46" s="125"/>
      <c r="VGA46" s="125"/>
      <c r="VGB46" s="14"/>
      <c r="VGC46" s="10"/>
      <c r="VGD46" s="125"/>
      <c r="VGE46" s="125"/>
      <c r="VGF46" s="14"/>
      <c r="VGG46" s="15"/>
      <c r="VGH46" s="125"/>
      <c r="VGI46" s="125"/>
      <c r="VGJ46" s="14"/>
      <c r="VGK46" s="15"/>
      <c r="VGL46" s="125"/>
      <c r="VGM46" s="125"/>
      <c r="VGN46" s="14"/>
      <c r="VGO46" s="15"/>
      <c r="VGP46" s="125"/>
      <c r="VGQ46" s="125"/>
      <c r="VGR46" s="14"/>
      <c r="VGS46" s="10"/>
      <c r="VGT46" s="125"/>
      <c r="VGU46" s="125"/>
      <c r="VGV46" s="14"/>
      <c r="VGW46" s="15"/>
      <c r="VGX46" s="125"/>
      <c r="VGY46" s="125"/>
      <c r="VGZ46" s="14"/>
      <c r="VHA46" s="15"/>
      <c r="VHB46" s="125"/>
      <c r="VHC46" s="125"/>
      <c r="VHD46" s="14"/>
      <c r="VHE46" s="15"/>
      <c r="VHF46" s="125"/>
      <c r="VHG46" s="125"/>
      <c r="VHH46" s="14"/>
      <c r="VHI46" s="10"/>
      <c r="VHJ46" s="125"/>
      <c r="VHK46" s="125"/>
      <c r="VHL46" s="14"/>
      <c r="VHM46" s="15"/>
      <c r="VHN46" s="125"/>
      <c r="VHO46" s="125"/>
      <c r="VHP46" s="14"/>
      <c r="VHQ46" s="15"/>
      <c r="VHR46" s="125"/>
      <c r="VHS46" s="125"/>
      <c r="VHT46" s="14"/>
      <c r="VHU46" s="15"/>
      <c r="VHV46" s="125"/>
      <c r="VHW46" s="125"/>
      <c r="VHX46" s="14"/>
      <c r="VHY46" s="10"/>
      <c r="VHZ46" s="125"/>
      <c r="VIA46" s="125"/>
      <c r="VIB46" s="14"/>
      <c r="VIC46" s="15"/>
      <c r="VID46" s="125"/>
      <c r="VIE46" s="125"/>
      <c r="VIF46" s="14"/>
      <c r="VIG46" s="15"/>
      <c r="VIH46" s="125"/>
      <c r="VII46" s="125"/>
      <c r="VIJ46" s="14"/>
      <c r="VIK46" s="15"/>
      <c r="VIL46" s="125"/>
      <c r="VIM46" s="125"/>
      <c r="VIN46" s="14"/>
      <c r="VIO46" s="10"/>
      <c r="VIP46" s="125"/>
      <c r="VIQ46" s="125"/>
      <c r="VIR46" s="14"/>
      <c r="VIS46" s="15"/>
      <c r="VIT46" s="125"/>
      <c r="VIU46" s="125"/>
      <c r="VIV46" s="14"/>
      <c r="VIW46" s="15"/>
      <c r="VIX46" s="125"/>
      <c r="VIY46" s="125"/>
      <c r="VIZ46" s="14"/>
      <c r="VJA46" s="15"/>
      <c r="VJB46" s="125"/>
      <c r="VJC46" s="125"/>
      <c r="VJD46" s="14"/>
      <c r="VJE46" s="10"/>
      <c r="VJF46" s="125"/>
      <c r="VJG46" s="125"/>
      <c r="VJH46" s="14"/>
      <c r="VJI46" s="15"/>
      <c r="VJJ46" s="125"/>
      <c r="VJK46" s="125"/>
      <c r="VJL46" s="14"/>
      <c r="VJM46" s="15"/>
      <c r="VJN46" s="125"/>
      <c r="VJO46" s="125"/>
      <c r="VJP46" s="14"/>
      <c r="VJQ46" s="15"/>
      <c r="VJR46" s="125"/>
      <c r="VJS46" s="125"/>
      <c r="VJT46" s="14"/>
      <c r="VJU46" s="10"/>
      <c r="VJV46" s="125"/>
      <c r="VJW46" s="125"/>
      <c r="VJX46" s="14"/>
      <c r="VJY46" s="15"/>
      <c r="VJZ46" s="125"/>
      <c r="VKA46" s="125"/>
      <c r="VKB46" s="14"/>
      <c r="VKC46" s="15"/>
      <c r="VKD46" s="125"/>
      <c r="VKE46" s="125"/>
      <c r="VKF46" s="14"/>
      <c r="VKG46" s="15"/>
      <c r="VKH46" s="125"/>
      <c r="VKI46" s="125"/>
      <c r="VKJ46" s="14"/>
      <c r="VKK46" s="10"/>
      <c r="VKL46" s="125"/>
      <c r="VKM46" s="125"/>
      <c r="VKN46" s="14"/>
      <c r="VKO46" s="15"/>
      <c r="VKP46" s="125"/>
      <c r="VKQ46" s="125"/>
      <c r="VKR46" s="14"/>
      <c r="VKS46" s="15"/>
      <c r="VKT46" s="125"/>
      <c r="VKU46" s="125"/>
      <c r="VKV46" s="14"/>
      <c r="VKW46" s="15"/>
      <c r="VKX46" s="125"/>
      <c r="VKY46" s="125"/>
      <c r="VKZ46" s="14"/>
      <c r="VLA46" s="10"/>
      <c r="VLB46" s="125"/>
      <c r="VLC46" s="125"/>
      <c r="VLD46" s="14"/>
      <c r="VLE46" s="15"/>
      <c r="VLF46" s="125"/>
      <c r="VLG46" s="125"/>
      <c r="VLH46" s="14"/>
      <c r="VLI46" s="15"/>
      <c r="VLJ46" s="125"/>
      <c r="VLK46" s="125"/>
      <c r="VLL46" s="14"/>
      <c r="VLM46" s="15"/>
      <c r="VLN46" s="125"/>
      <c r="VLO46" s="125"/>
      <c r="VLP46" s="14"/>
      <c r="VLQ46" s="10"/>
      <c r="VLR46" s="125"/>
      <c r="VLS46" s="125"/>
      <c r="VLT46" s="14"/>
      <c r="VLU46" s="15"/>
      <c r="VLV46" s="125"/>
      <c r="VLW46" s="125"/>
      <c r="VLX46" s="14"/>
      <c r="VLY46" s="15"/>
      <c r="VLZ46" s="125"/>
      <c r="VMA46" s="125"/>
      <c r="VMB46" s="14"/>
      <c r="VMC46" s="15"/>
      <c r="VMD46" s="125"/>
      <c r="VME46" s="125"/>
      <c r="VMF46" s="14"/>
      <c r="VMG46" s="10"/>
      <c r="VMH46" s="125"/>
      <c r="VMI46" s="125"/>
      <c r="VMJ46" s="14"/>
      <c r="VMK46" s="15"/>
      <c r="VML46" s="125"/>
      <c r="VMM46" s="125"/>
      <c r="VMN46" s="14"/>
      <c r="VMO46" s="15"/>
      <c r="VMP46" s="125"/>
      <c r="VMQ46" s="125"/>
      <c r="VMR46" s="14"/>
      <c r="VMS46" s="15"/>
      <c r="VMT46" s="125"/>
      <c r="VMU46" s="125"/>
      <c r="VMV46" s="14"/>
      <c r="VMW46" s="10"/>
      <c r="VMX46" s="125"/>
      <c r="VMY46" s="125"/>
      <c r="VMZ46" s="14"/>
      <c r="VNA46" s="15"/>
      <c r="VNB46" s="125"/>
      <c r="VNC46" s="125"/>
      <c r="VND46" s="14"/>
      <c r="VNE46" s="15"/>
      <c r="VNF46" s="125"/>
      <c r="VNG46" s="125"/>
      <c r="VNH46" s="14"/>
      <c r="VNI46" s="15"/>
      <c r="VNJ46" s="125"/>
      <c r="VNK46" s="125"/>
      <c r="VNL46" s="14"/>
      <c r="VNM46" s="10"/>
      <c r="VNN46" s="125"/>
      <c r="VNO46" s="125"/>
      <c r="VNP46" s="14"/>
      <c r="VNQ46" s="15"/>
      <c r="VNR46" s="125"/>
      <c r="VNS46" s="125"/>
      <c r="VNT46" s="14"/>
      <c r="VNU46" s="15"/>
      <c r="VNV46" s="125"/>
      <c r="VNW46" s="125"/>
      <c r="VNX46" s="14"/>
      <c r="VNY46" s="15"/>
      <c r="VNZ46" s="125"/>
      <c r="VOA46" s="125"/>
      <c r="VOB46" s="14"/>
      <c r="VOC46" s="10"/>
      <c r="VOD46" s="125"/>
      <c r="VOE46" s="125"/>
      <c r="VOF46" s="14"/>
      <c r="VOG46" s="15"/>
      <c r="VOH46" s="125"/>
      <c r="VOI46" s="125"/>
      <c r="VOJ46" s="14"/>
      <c r="VOK46" s="15"/>
      <c r="VOL46" s="125"/>
      <c r="VOM46" s="125"/>
      <c r="VON46" s="14"/>
      <c r="VOO46" s="15"/>
      <c r="VOP46" s="125"/>
      <c r="VOQ46" s="125"/>
      <c r="VOR46" s="14"/>
      <c r="VOS46" s="10"/>
      <c r="VOT46" s="125"/>
      <c r="VOU46" s="125"/>
      <c r="VOV46" s="14"/>
      <c r="VOW46" s="15"/>
      <c r="VOX46" s="125"/>
      <c r="VOY46" s="125"/>
      <c r="VOZ46" s="14"/>
      <c r="VPA46" s="15"/>
      <c r="VPB46" s="125"/>
      <c r="VPC46" s="125"/>
      <c r="VPD46" s="14"/>
      <c r="VPE46" s="15"/>
      <c r="VPF46" s="125"/>
      <c r="VPG46" s="125"/>
      <c r="VPH46" s="14"/>
      <c r="VPI46" s="10"/>
      <c r="VPJ46" s="125"/>
      <c r="VPK46" s="125"/>
      <c r="VPL46" s="14"/>
      <c r="VPM46" s="15"/>
      <c r="VPN46" s="125"/>
      <c r="VPO46" s="125"/>
      <c r="VPP46" s="14"/>
      <c r="VPQ46" s="15"/>
      <c r="VPR46" s="125"/>
      <c r="VPS46" s="125"/>
      <c r="VPT46" s="14"/>
      <c r="VPU46" s="15"/>
      <c r="VPV46" s="125"/>
      <c r="VPW46" s="125"/>
      <c r="VPX46" s="14"/>
      <c r="VPY46" s="10"/>
      <c r="VPZ46" s="125"/>
      <c r="VQA46" s="125"/>
      <c r="VQB46" s="14"/>
      <c r="VQC46" s="15"/>
      <c r="VQD46" s="125"/>
      <c r="VQE46" s="125"/>
      <c r="VQF46" s="14"/>
      <c r="VQG46" s="15"/>
      <c r="VQH46" s="125"/>
      <c r="VQI46" s="125"/>
      <c r="VQJ46" s="14"/>
      <c r="VQK46" s="15"/>
      <c r="VQL46" s="125"/>
      <c r="VQM46" s="125"/>
      <c r="VQN46" s="14"/>
      <c r="VQO46" s="10"/>
      <c r="VQP46" s="125"/>
      <c r="VQQ46" s="125"/>
      <c r="VQR46" s="14"/>
      <c r="VQS46" s="15"/>
      <c r="VQT46" s="125"/>
      <c r="VQU46" s="125"/>
      <c r="VQV46" s="14"/>
      <c r="VQW46" s="15"/>
      <c r="VQX46" s="125"/>
      <c r="VQY46" s="125"/>
      <c r="VQZ46" s="14"/>
      <c r="VRA46" s="15"/>
      <c r="VRB46" s="125"/>
      <c r="VRC46" s="125"/>
      <c r="VRD46" s="14"/>
      <c r="VRE46" s="10"/>
      <c r="VRF46" s="125"/>
      <c r="VRG46" s="125"/>
      <c r="VRH46" s="14"/>
      <c r="VRI46" s="15"/>
      <c r="VRJ46" s="125"/>
      <c r="VRK46" s="125"/>
      <c r="VRL46" s="14"/>
      <c r="VRM46" s="15"/>
      <c r="VRN46" s="125"/>
      <c r="VRO46" s="125"/>
      <c r="VRP46" s="14"/>
      <c r="VRQ46" s="15"/>
      <c r="VRR46" s="125"/>
      <c r="VRS46" s="125"/>
      <c r="VRT46" s="14"/>
      <c r="VRU46" s="10"/>
      <c r="VRV46" s="125"/>
      <c r="VRW46" s="125"/>
      <c r="VRX46" s="14"/>
      <c r="VRY46" s="15"/>
      <c r="VRZ46" s="125"/>
      <c r="VSA46" s="125"/>
      <c r="VSB46" s="14"/>
      <c r="VSC46" s="15"/>
      <c r="VSD46" s="125"/>
      <c r="VSE46" s="125"/>
      <c r="VSF46" s="14"/>
      <c r="VSG46" s="15"/>
      <c r="VSH46" s="125"/>
      <c r="VSI46" s="125"/>
      <c r="VSJ46" s="14"/>
      <c r="VSK46" s="10"/>
      <c r="VSL46" s="125"/>
      <c r="VSM46" s="125"/>
      <c r="VSN46" s="14"/>
      <c r="VSO46" s="15"/>
      <c r="VSP46" s="125"/>
      <c r="VSQ46" s="125"/>
      <c r="VSR46" s="14"/>
      <c r="VSS46" s="15"/>
      <c r="VST46" s="125"/>
      <c r="VSU46" s="125"/>
      <c r="VSV46" s="14"/>
      <c r="VSW46" s="15"/>
      <c r="VSX46" s="125"/>
      <c r="VSY46" s="125"/>
      <c r="VSZ46" s="14"/>
      <c r="VTA46" s="10"/>
      <c r="VTB46" s="125"/>
      <c r="VTC46" s="125"/>
      <c r="VTD46" s="14"/>
      <c r="VTE46" s="15"/>
      <c r="VTF46" s="125"/>
      <c r="VTG46" s="125"/>
      <c r="VTH46" s="14"/>
      <c r="VTI46" s="15"/>
      <c r="VTJ46" s="125"/>
      <c r="VTK46" s="125"/>
      <c r="VTL46" s="14"/>
      <c r="VTM46" s="15"/>
      <c r="VTN46" s="125"/>
      <c r="VTO46" s="125"/>
      <c r="VTP46" s="14"/>
      <c r="VTQ46" s="10"/>
      <c r="VTR46" s="125"/>
      <c r="VTS46" s="125"/>
      <c r="VTT46" s="14"/>
      <c r="VTU46" s="15"/>
      <c r="VTV46" s="125"/>
      <c r="VTW46" s="125"/>
      <c r="VTX46" s="14"/>
      <c r="VTY46" s="15"/>
      <c r="VTZ46" s="125"/>
      <c r="VUA46" s="125"/>
      <c r="VUB46" s="14"/>
      <c r="VUC46" s="15"/>
      <c r="VUD46" s="125"/>
      <c r="VUE46" s="125"/>
      <c r="VUF46" s="14"/>
      <c r="VUG46" s="10"/>
      <c r="VUH46" s="125"/>
      <c r="VUI46" s="125"/>
      <c r="VUJ46" s="14"/>
      <c r="VUK46" s="15"/>
      <c r="VUL46" s="125"/>
      <c r="VUM46" s="125"/>
      <c r="VUN46" s="14"/>
      <c r="VUO46" s="15"/>
      <c r="VUP46" s="125"/>
      <c r="VUQ46" s="125"/>
      <c r="VUR46" s="14"/>
      <c r="VUS46" s="15"/>
      <c r="VUT46" s="125"/>
      <c r="VUU46" s="125"/>
      <c r="VUV46" s="14"/>
      <c r="VUW46" s="10"/>
      <c r="VUX46" s="125"/>
      <c r="VUY46" s="125"/>
      <c r="VUZ46" s="14"/>
      <c r="VVA46" s="15"/>
      <c r="VVB46" s="125"/>
      <c r="VVC46" s="125"/>
      <c r="VVD46" s="14"/>
      <c r="VVE46" s="15"/>
      <c r="VVF46" s="125"/>
      <c r="VVG46" s="125"/>
      <c r="VVH46" s="14"/>
      <c r="VVI46" s="15"/>
      <c r="VVJ46" s="125"/>
      <c r="VVK46" s="125"/>
      <c r="VVL46" s="14"/>
      <c r="VVM46" s="10"/>
      <c r="VVN46" s="125"/>
      <c r="VVO46" s="125"/>
      <c r="VVP46" s="14"/>
      <c r="VVQ46" s="15"/>
      <c r="VVR46" s="125"/>
      <c r="VVS46" s="125"/>
      <c r="VVT46" s="14"/>
      <c r="VVU46" s="15"/>
      <c r="VVV46" s="125"/>
      <c r="VVW46" s="125"/>
      <c r="VVX46" s="14"/>
      <c r="VVY46" s="15"/>
      <c r="VVZ46" s="125"/>
      <c r="VWA46" s="125"/>
      <c r="VWB46" s="14"/>
      <c r="VWC46" s="10"/>
      <c r="VWD46" s="125"/>
      <c r="VWE46" s="125"/>
      <c r="VWF46" s="14"/>
      <c r="VWG46" s="15"/>
      <c r="VWH46" s="125"/>
      <c r="VWI46" s="125"/>
      <c r="VWJ46" s="14"/>
      <c r="VWK46" s="15"/>
      <c r="VWL46" s="125"/>
      <c r="VWM46" s="125"/>
      <c r="VWN46" s="14"/>
      <c r="VWO46" s="15"/>
      <c r="VWP46" s="125"/>
      <c r="VWQ46" s="125"/>
      <c r="VWR46" s="14"/>
      <c r="VWS46" s="10"/>
      <c r="VWT46" s="125"/>
      <c r="VWU46" s="125"/>
      <c r="VWV46" s="14"/>
      <c r="VWW46" s="15"/>
      <c r="VWX46" s="125"/>
      <c r="VWY46" s="125"/>
      <c r="VWZ46" s="14"/>
      <c r="VXA46" s="15"/>
      <c r="VXB46" s="125"/>
      <c r="VXC46" s="125"/>
      <c r="VXD46" s="14"/>
      <c r="VXE46" s="15"/>
      <c r="VXF46" s="125"/>
      <c r="VXG46" s="125"/>
      <c r="VXH46" s="14"/>
      <c r="VXI46" s="10"/>
      <c r="VXJ46" s="125"/>
      <c r="VXK46" s="125"/>
      <c r="VXL46" s="14"/>
      <c r="VXM46" s="15"/>
      <c r="VXN46" s="125"/>
      <c r="VXO46" s="125"/>
      <c r="VXP46" s="14"/>
      <c r="VXQ46" s="15"/>
      <c r="VXR46" s="125"/>
      <c r="VXS46" s="125"/>
      <c r="VXT46" s="14"/>
      <c r="VXU46" s="15"/>
      <c r="VXV46" s="125"/>
      <c r="VXW46" s="125"/>
      <c r="VXX46" s="14"/>
      <c r="VXY46" s="10"/>
      <c r="VXZ46" s="125"/>
      <c r="VYA46" s="125"/>
      <c r="VYB46" s="14"/>
      <c r="VYC46" s="15"/>
      <c r="VYD46" s="125"/>
      <c r="VYE46" s="125"/>
      <c r="VYF46" s="14"/>
      <c r="VYG46" s="15"/>
      <c r="VYH46" s="125"/>
      <c r="VYI46" s="125"/>
      <c r="VYJ46" s="14"/>
      <c r="VYK46" s="15"/>
      <c r="VYL46" s="125"/>
      <c r="VYM46" s="125"/>
      <c r="VYN46" s="14"/>
      <c r="VYO46" s="10"/>
      <c r="VYP46" s="125"/>
      <c r="VYQ46" s="125"/>
      <c r="VYR46" s="14"/>
      <c r="VYS46" s="15"/>
      <c r="VYT46" s="125"/>
      <c r="VYU46" s="125"/>
      <c r="VYV46" s="14"/>
      <c r="VYW46" s="15"/>
      <c r="VYX46" s="125"/>
      <c r="VYY46" s="125"/>
      <c r="VYZ46" s="14"/>
      <c r="VZA46" s="15"/>
      <c r="VZB46" s="125"/>
      <c r="VZC46" s="125"/>
      <c r="VZD46" s="14"/>
      <c r="VZE46" s="10"/>
      <c r="VZF46" s="125"/>
      <c r="VZG46" s="125"/>
      <c r="VZH46" s="14"/>
      <c r="VZI46" s="15"/>
      <c r="VZJ46" s="125"/>
      <c r="VZK46" s="125"/>
      <c r="VZL46" s="14"/>
      <c r="VZM46" s="15"/>
      <c r="VZN46" s="125"/>
      <c r="VZO46" s="125"/>
      <c r="VZP46" s="14"/>
      <c r="VZQ46" s="15"/>
      <c r="VZR46" s="125"/>
      <c r="VZS46" s="125"/>
      <c r="VZT46" s="14"/>
      <c r="VZU46" s="10"/>
      <c r="VZV46" s="125"/>
      <c r="VZW46" s="125"/>
      <c r="VZX46" s="14"/>
      <c r="VZY46" s="15"/>
      <c r="VZZ46" s="125"/>
      <c r="WAA46" s="125"/>
      <c r="WAB46" s="14"/>
      <c r="WAC46" s="15"/>
      <c r="WAD46" s="125"/>
      <c r="WAE46" s="125"/>
      <c r="WAF46" s="14"/>
      <c r="WAG46" s="15"/>
      <c r="WAH46" s="125"/>
      <c r="WAI46" s="125"/>
      <c r="WAJ46" s="14"/>
      <c r="WAK46" s="10"/>
      <c r="WAL46" s="125"/>
      <c r="WAM46" s="125"/>
      <c r="WAN46" s="14"/>
      <c r="WAO46" s="15"/>
      <c r="WAP46" s="125"/>
      <c r="WAQ46" s="125"/>
      <c r="WAR46" s="14"/>
      <c r="WAS46" s="15"/>
      <c r="WAT46" s="125"/>
      <c r="WAU46" s="125"/>
      <c r="WAV46" s="14"/>
      <c r="WAW46" s="15"/>
      <c r="WAX46" s="125"/>
      <c r="WAY46" s="125"/>
      <c r="WAZ46" s="14"/>
      <c r="WBA46" s="10"/>
      <c r="WBB46" s="125"/>
      <c r="WBC46" s="125"/>
      <c r="WBD46" s="14"/>
      <c r="WBE46" s="15"/>
      <c r="WBF46" s="125"/>
      <c r="WBG46" s="125"/>
      <c r="WBH46" s="14"/>
      <c r="WBI46" s="15"/>
      <c r="WBJ46" s="125"/>
      <c r="WBK46" s="125"/>
      <c r="WBL46" s="14"/>
      <c r="WBM46" s="15"/>
      <c r="WBN46" s="125"/>
      <c r="WBO46" s="125"/>
      <c r="WBP46" s="14"/>
      <c r="WBQ46" s="10"/>
      <c r="WBR46" s="125"/>
      <c r="WBS46" s="125"/>
      <c r="WBT46" s="14"/>
      <c r="WBU46" s="15"/>
      <c r="WBV46" s="125"/>
      <c r="WBW46" s="125"/>
      <c r="WBX46" s="14"/>
      <c r="WBY46" s="15"/>
      <c r="WBZ46" s="125"/>
      <c r="WCA46" s="125"/>
      <c r="WCB46" s="14"/>
      <c r="WCC46" s="15"/>
      <c r="WCD46" s="125"/>
      <c r="WCE46" s="125"/>
      <c r="WCF46" s="14"/>
      <c r="WCG46" s="10"/>
      <c r="WCH46" s="125"/>
      <c r="WCI46" s="125"/>
      <c r="WCJ46" s="14"/>
      <c r="WCK46" s="15"/>
      <c r="WCL46" s="125"/>
      <c r="WCM46" s="125"/>
      <c r="WCN46" s="14"/>
      <c r="WCO46" s="15"/>
      <c r="WCP46" s="125"/>
      <c r="WCQ46" s="125"/>
      <c r="WCR46" s="14"/>
      <c r="WCS46" s="15"/>
      <c r="WCT46" s="125"/>
      <c r="WCU46" s="125"/>
      <c r="WCV46" s="14"/>
      <c r="WCW46" s="10"/>
      <c r="WCX46" s="125"/>
      <c r="WCY46" s="125"/>
      <c r="WCZ46" s="14"/>
      <c r="WDA46" s="15"/>
      <c r="WDB46" s="125"/>
      <c r="WDC46" s="125"/>
      <c r="WDD46" s="14"/>
      <c r="WDE46" s="15"/>
      <c r="WDF46" s="125"/>
      <c r="WDG46" s="125"/>
      <c r="WDH46" s="14"/>
      <c r="WDI46" s="15"/>
      <c r="WDJ46" s="125"/>
      <c r="WDK46" s="125"/>
      <c r="WDL46" s="14"/>
      <c r="WDM46" s="10"/>
      <c r="WDN46" s="125"/>
      <c r="WDO46" s="125"/>
      <c r="WDP46" s="14"/>
      <c r="WDQ46" s="15"/>
      <c r="WDR46" s="125"/>
      <c r="WDS46" s="125"/>
      <c r="WDT46" s="14"/>
      <c r="WDU46" s="15"/>
      <c r="WDV46" s="125"/>
      <c r="WDW46" s="125"/>
      <c r="WDX46" s="14"/>
      <c r="WDY46" s="15"/>
      <c r="WDZ46" s="125"/>
      <c r="WEA46" s="125"/>
      <c r="WEB46" s="14"/>
      <c r="WEC46" s="10"/>
      <c r="WED46" s="125"/>
      <c r="WEE46" s="125"/>
      <c r="WEF46" s="14"/>
      <c r="WEG46" s="15"/>
      <c r="WEH46" s="125"/>
      <c r="WEI46" s="125"/>
      <c r="WEJ46" s="14"/>
      <c r="WEK46" s="15"/>
      <c r="WEL46" s="125"/>
      <c r="WEM46" s="125"/>
      <c r="WEN46" s="14"/>
      <c r="WEO46" s="15"/>
      <c r="WEP46" s="125"/>
      <c r="WEQ46" s="125"/>
      <c r="WER46" s="14"/>
      <c r="WES46" s="10"/>
      <c r="WET46" s="125"/>
      <c r="WEU46" s="125"/>
      <c r="WEV46" s="14"/>
      <c r="WEW46" s="15"/>
      <c r="WEX46" s="125"/>
      <c r="WEY46" s="125"/>
      <c r="WEZ46" s="14"/>
      <c r="WFA46" s="15"/>
      <c r="WFB46" s="125"/>
      <c r="WFC46" s="125"/>
      <c r="WFD46" s="14"/>
      <c r="WFE46" s="15"/>
      <c r="WFF46" s="125"/>
      <c r="WFG46" s="125"/>
      <c r="WFH46" s="14"/>
      <c r="WFI46" s="10"/>
      <c r="WFJ46" s="125"/>
      <c r="WFK46" s="125"/>
      <c r="WFL46" s="14"/>
      <c r="WFM46" s="15"/>
      <c r="WFN46" s="125"/>
      <c r="WFO46" s="125"/>
      <c r="WFP46" s="14"/>
      <c r="WFQ46" s="15"/>
      <c r="WFR46" s="125"/>
      <c r="WFS46" s="125"/>
      <c r="WFT46" s="14"/>
      <c r="WFU46" s="15"/>
      <c r="WFV46" s="125"/>
      <c r="WFW46" s="125"/>
      <c r="WFX46" s="14"/>
      <c r="WFY46" s="10"/>
      <c r="WFZ46" s="125"/>
      <c r="WGA46" s="125"/>
      <c r="WGB46" s="14"/>
      <c r="WGC46" s="15"/>
      <c r="WGD46" s="125"/>
      <c r="WGE46" s="125"/>
      <c r="WGF46" s="14"/>
      <c r="WGG46" s="15"/>
      <c r="WGH46" s="125"/>
      <c r="WGI46" s="125"/>
      <c r="WGJ46" s="14"/>
      <c r="WGK46" s="15"/>
      <c r="WGL46" s="125"/>
      <c r="WGM46" s="125"/>
      <c r="WGN46" s="14"/>
      <c r="WGO46" s="10"/>
      <c r="WGP46" s="125"/>
      <c r="WGQ46" s="125"/>
      <c r="WGR46" s="14"/>
      <c r="WGS46" s="15"/>
      <c r="WGT46" s="125"/>
      <c r="WGU46" s="125"/>
      <c r="WGV46" s="14"/>
      <c r="WGW46" s="15"/>
      <c r="WGX46" s="125"/>
      <c r="WGY46" s="125"/>
      <c r="WGZ46" s="14"/>
      <c r="WHA46" s="15"/>
      <c r="WHB46" s="125"/>
      <c r="WHC46" s="125"/>
      <c r="WHD46" s="14"/>
      <c r="WHE46" s="10"/>
      <c r="WHF46" s="125"/>
      <c r="WHG46" s="125"/>
      <c r="WHH46" s="14"/>
      <c r="WHI46" s="15"/>
      <c r="WHJ46" s="125"/>
      <c r="WHK46" s="125"/>
      <c r="WHL46" s="14"/>
      <c r="WHM46" s="15"/>
      <c r="WHN46" s="125"/>
      <c r="WHO46" s="125"/>
      <c r="WHP46" s="14"/>
      <c r="WHQ46" s="15"/>
      <c r="WHR46" s="125"/>
      <c r="WHS46" s="125"/>
      <c r="WHT46" s="14"/>
      <c r="WHU46" s="10"/>
      <c r="WHV46" s="125"/>
      <c r="WHW46" s="125"/>
      <c r="WHX46" s="14"/>
      <c r="WHY46" s="15"/>
      <c r="WHZ46" s="125"/>
      <c r="WIA46" s="125"/>
      <c r="WIB46" s="14"/>
      <c r="WIC46" s="15"/>
      <c r="WID46" s="125"/>
      <c r="WIE46" s="125"/>
      <c r="WIF46" s="14"/>
      <c r="WIG46" s="15"/>
      <c r="WIH46" s="125"/>
      <c r="WII46" s="125"/>
      <c r="WIJ46" s="14"/>
      <c r="WIK46" s="10"/>
      <c r="WIL46" s="125"/>
      <c r="WIM46" s="125"/>
      <c r="WIN46" s="14"/>
      <c r="WIO46" s="15"/>
      <c r="WIP46" s="125"/>
      <c r="WIQ46" s="125"/>
      <c r="WIR46" s="14"/>
      <c r="WIS46" s="15"/>
      <c r="WIT46" s="125"/>
      <c r="WIU46" s="125"/>
      <c r="WIV46" s="14"/>
      <c r="WIW46" s="15"/>
      <c r="WIX46" s="125"/>
      <c r="WIY46" s="125"/>
      <c r="WIZ46" s="14"/>
      <c r="WJA46" s="10"/>
      <c r="WJB46" s="125"/>
      <c r="WJC46" s="125"/>
      <c r="WJD46" s="14"/>
      <c r="WJE46" s="15"/>
      <c r="WJF46" s="125"/>
      <c r="WJG46" s="125"/>
      <c r="WJH46" s="14"/>
      <c r="WJI46" s="15"/>
      <c r="WJJ46" s="125"/>
      <c r="WJK46" s="125"/>
      <c r="WJL46" s="14"/>
      <c r="WJM46" s="15"/>
      <c r="WJN46" s="125"/>
      <c r="WJO46" s="125"/>
      <c r="WJP46" s="14"/>
      <c r="WJQ46" s="10"/>
      <c r="WJR46" s="125"/>
      <c r="WJS46" s="125"/>
      <c r="WJT46" s="14"/>
      <c r="WJU46" s="15"/>
      <c r="WJV46" s="125"/>
      <c r="WJW46" s="125"/>
      <c r="WJX46" s="14"/>
      <c r="WJY46" s="15"/>
      <c r="WJZ46" s="125"/>
      <c r="WKA46" s="125"/>
      <c r="WKB46" s="14"/>
      <c r="WKC46" s="15"/>
      <c r="WKD46" s="125"/>
      <c r="WKE46" s="125"/>
      <c r="WKF46" s="14"/>
      <c r="WKG46" s="10"/>
      <c r="WKH46" s="125"/>
      <c r="WKI46" s="125"/>
      <c r="WKJ46" s="14"/>
      <c r="WKK46" s="15"/>
      <c r="WKL46" s="125"/>
      <c r="WKM46" s="125"/>
      <c r="WKN46" s="14"/>
      <c r="WKO46" s="15"/>
      <c r="WKP46" s="125"/>
      <c r="WKQ46" s="125"/>
      <c r="WKR46" s="14"/>
      <c r="WKS46" s="15"/>
      <c r="WKT46" s="125"/>
      <c r="WKU46" s="125"/>
      <c r="WKV46" s="14"/>
      <c r="WKW46" s="10"/>
      <c r="WKX46" s="125"/>
      <c r="WKY46" s="125"/>
      <c r="WKZ46" s="14"/>
      <c r="WLA46" s="15"/>
      <c r="WLB46" s="125"/>
      <c r="WLC46" s="125"/>
      <c r="WLD46" s="14"/>
      <c r="WLE46" s="15"/>
      <c r="WLF46" s="125"/>
      <c r="WLG46" s="125"/>
      <c r="WLH46" s="14"/>
      <c r="WLI46" s="15"/>
      <c r="WLJ46" s="125"/>
      <c r="WLK46" s="125"/>
      <c r="WLL46" s="14"/>
      <c r="WLM46" s="10"/>
      <c r="WLN46" s="125"/>
      <c r="WLO46" s="125"/>
      <c r="WLP46" s="14"/>
      <c r="WLQ46" s="15"/>
      <c r="WLR46" s="125"/>
      <c r="WLS46" s="125"/>
      <c r="WLT46" s="14"/>
      <c r="WLU46" s="15"/>
      <c r="WLV46" s="125"/>
      <c r="WLW46" s="125"/>
      <c r="WLX46" s="14"/>
      <c r="WLY46" s="15"/>
      <c r="WLZ46" s="125"/>
      <c r="WMA46" s="125"/>
      <c r="WMB46" s="14"/>
      <c r="WMC46" s="10"/>
      <c r="WMD46" s="125"/>
      <c r="WME46" s="125"/>
      <c r="WMF46" s="14"/>
      <c r="WMG46" s="15"/>
      <c r="WMH46" s="125"/>
      <c r="WMI46" s="125"/>
      <c r="WMJ46" s="14"/>
      <c r="WMK46" s="15"/>
      <c r="WML46" s="125"/>
      <c r="WMM46" s="125"/>
      <c r="WMN46" s="14"/>
      <c r="WMO46" s="15"/>
      <c r="WMP46" s="125"/>
      <c r="WMQ46" s="125"/>
      <c r="WMR46" s="14"/>
      <c r="WMS46" s="10"/>
      <c r="WMT46" s="125"/>
      <c r="WMU46" s="125"/>
      <c r="WMV46" s="14"/>
      <c r="WMW46" s="15"/>
      <c r="WMX46" s="125"/>
      <c r="WMY46" s="125"/>
      <c r="WMZ46" s="14"/>
      <c r="WNA46" s="15"/>
      <c r="WNB46" s="125"/>
      <c r="WNC46" s="125"/>
      <c r="WND46" s="14"/>
      <c r="WNE46" s="15"/>
      <c r="WNF46" s="125"/>
      <c r="WNG46" s="125"/>
      <c r="WNH46" s="14"/>
      <c r="WNI46" s="10"/>
      <c r="WNJ46" s="125"/>
      <c r="WNK46" s="125"/>
      <c r="WNL46" s="14"/>
      <c r="WNM46" s="15"/>
      <c r="WNN46" s="125"/>
      <c r="WNO46" s="125"/>
      <c r="WNP46" s="14"/>
      <c r="WNQ46" s="15"/>
      <c r="WNR46" s="125"/>
      <c r="WNS46" s="125"/>
      <c r="WNT46" s="14"/>
      <c r="WNU46" s="15"/>
      <c r="WNV46" s="125"/>
      <c r="WNW46" s="125"/>
      <c r="WNX46" s="14"/>
      <c r="WNY46" s="10"/>
      <c r="WNZ46" s="125"/>
      <c r="WOA46" s="125"/>
      <c r="WOB46" s="14"/>
      <c r="WOC46" s="15"/>
      <c r="WOD46" s="125"/>
      <c r="WOE46" s="125"/>
      <c r="WOF46" s="14"/>
      <c r="WOG46" s="15"/>
      <c r="WOH46" s="125"/>
      <c r="WOI46" s="125"/>
      <c r="WOJ46" s="14"/>
      <c r="WOK46" s="15"/>
      <c r="WOL46" s="125"/>
      <c r="WOM46" s="125"/>
      <c r="WON46" s="14"/>
      <c r="WOO46" s="10"/>
      <c r="WOP46" s="125"/>
      <c r="WOQ46" s="125"/>
      <c r="WOR46" s="14"/>
      <c r="WOS46" s="15"/>
      <c r="WOT46" s="125"/>
      <c r="WOU46" s="125"/>
      <c r="WOV46" s="14"/>
      <c r="WOW46" s="15"/>
      <c r="WOX46" s="125"/>
      <c r="WOY46" s="125"/>
      <c r="WOZ46" s="14"/>
      <c r="WPA46" s="15"/>
      <c r="WPB46" s="125"/>
      <c r="WPC46" s="125"/>
      <c r="WPD46" s="14"/>
      <c r="WPE46" s="10"/>
      <c r="WPF46" s="125"/>
      <c r="WPG46" s="125"/>
      <c r="WPH46" s="14"/>
      <c r="WPI46" s="15"/>
      <c r="WPJ46" s="125"/>
      <c r="WPK46" s="125"/>
      <c r="WPL46" s="14"/>
      <c r="WPM46" s="15"/>
      <c r="WPN46" s="125"/>
      <c r="WPO46" s="125"/>
      <c r="WPP46" s="14"/>
      <c r="WPQ46" s="15"/>
      <c r="WPR46" s="125"/>
      <c r="WPS46" s="125"/>
      <c r="WPT46" s="14"/>
      <c r="WPU46" s="10"/>
      <c r="WPV46" s="125"/>
      <c r="WPW46" s="125"/>
      <c r="WPX46" s="14"/>
      <c r="WPY46" s="15"/>
      <c r="WPZ46" s="125"/>
      <c r="WQA46" s="125"/>
      <c r="WQB46" s="14"/>
      <c r="WQC46" s="15"/>
      <c r="WQD46" s="125"/>
      <c r="WQE46" s="125"/>
      <c r="WQF46" s="14"/>
      <c r="WQG46" s="15"/>
      <c r="WQH46" s="125"/>
      <c r="WQI46" s="125"/>
      <c r="WQJ46" s="14"/>
      <c r="WQK46" s="10"/>
      <c r="WQL46" s="125"/>
      <c r="WQM46" s="125"/>
      <c r="WQN46" s="14"/>
      <c r="WQO46" s="15"/>
      <c r="WQP46" s="125"/>
      <c r="WQQ46" s="125"/>
      <c r="WQR46" s="14"/>
      <c r="WQS46" s="15"/>
      <c r="WQT46" s="125"/>
      <c r="WQU46" s="125"/>
      <c r="WQV46" s="14"/>
      <c r="WQW46" s="15"/>
      <c r="WQX46" s="125"/>
      <c r="WQY46" s="125"/>
      <c r="WQZ46" s="14"/>
      <c r="WRA46" s="10"/>
      <c r="WRB46" s="125"/>
      <c r="WRC46" s="125"/>
      <c r="WRD46" s="14"/>
      <c r="WRE46" s="15"/>
      <c r="WRF46" s="125"/>
      <c r="WRG46" s="125"/>
      <c r="WRH46" s="14"/>
      <c r="WRI46" s="15"/>
      <c r="WRJ46" s="125"/>
      <c r="WRK46" s="125"/>
      <c r="WRL46" s="14"/>
      <c r="WRM46" s="15"/>
      <c r="WRN46" s="125"/>
      <c r="WRO46" s="125"/>
      <c r="WRP46" s="14"/>
      <c r="WRQ46" s="10"/>
      <c r="WRR46" s="125"/>
      <c r="WRS46" s="125"/>
      <c r="WRT46" s="14"/>
      <c r="WRU46" s="15"/>
      <c r="WRV46" s="125"/>
      <c r="WRW46" s="125"/>
      <c r="WRX46" s="14"/>
      <c r="WRY46" s="15"/>
      <c r="WRZ46" s="125"/>
      <c r="WSA46" s="125"/>
      <c r="WSB46" s="14"/>
      <c r="WSC46" s="15"/>
      <c r="WSD46" s="125"/>
      <c r="WSE46" s="125"/>
      <c r="WSF46" s="14"/>
      <c r="WSG46" s="10"/>
      <c r="WSH46" s="125"/>
      <c r="WSI46" s="125"/>
      <c r="WSJ46" s="14"/>
      <c r="WSK46" s="15"/>
      <c r="WSL46" s="125"/>
      <c r="WSM46" s="125"/>
      <c r="WSN46" s="14"/>
      <c r="WSO46" s="15"/>
      <c r="WSP46" s="125"/>
      <c r="WSQ46" s="125"/>
      <c r="WSR46" s="14"/>
      <c r="WSS46" s="15"/>
      <c r="WST46" s="125"/>
      <c r="WSU46" s="125"/>
      <c r="WSV46" s="14"/>
      <c r="WSW46" s="10"/>
      <c r="WSX46" s="125"/>
      <c r="WSY46" s="125"/>
      <c r="WSZ46" s="14"/>
      <c r="WTA46" s="15"/>
      <c r="WTB46" s="125"/>
      <c r="WTC46" s="125"/>
      <c r="WTD46" s="14"/>
      <c r="WTE46" s="15"/>
      <c r="WTF46" s="125"/>
      <c r="WTG46" s="125"/>
      <c r="WTH46" s="14"/>
      <c r="WTI46" s="15"/>
      <c r="WTJ46" s="125"/>
      <c r="WTK46" s="125"/>
      <c r="WTL46" s="14"/>
      <c r="WTM46" s="10"/>
      <c r="WTN46" s="125"/>
      <c r="WTO46" s="125"/>
      <c r="WTP46" s="14"/>
      <c r="WTQ46" s="15"/>
      <c r="WTR46" s="125"/>
      <c r="WTS46" s="125"/>
      <c r="WTT46" s="14"/>
      <c r="WTU46" s="15"/>
      <c r="WTV46" s="125"/>
      <c r="WTW46" s="125"/>
      <c r="WTX46" s="14"/>
      <c r="WTY46" s="15"/>
      <c r="WTZ46" s="125"/>
      <c r="WUA46" s="125"/>
      <c r="WUB46" s="14"/>
      <c r="WUC46" s="10"/>
      <c r="WUD46" s="125"/>
      <c r="WUE46" s="125"/>
      <c r="WUF46" s="14"/>
      <c r="WUG46" s="15"/>
      <c r="WUH46" s="125"/>
      <c r="WUI46" s="125"/>
      <c r="WUJ46" s="14"/>
      <c r="WUK46" s="15"/>
      <c r="WUL46" s="125"/>
      <c r="WUM46" s="125"/>
      <c r="WUN46" s="14"/>
      <c r="WUO46" s="15"/>
      <c r="WUP46" s="125"/>
      <c r="WUQ46" s="125"/>
      <c r="WUR46" s="14"/>
      <c r="WUS46" s="10"/>
      <c r="WUT46" s="125"/>
      <c r="WUU46" s="125"/>
      <c r="WUV46" s="14"/>
      <c r="WUW46" s="15"/>
      <c r="WUX46" s="125"/>
      <c r="WUY46" s="125"/>
      <c r="WUZ46" s="14"/>
      <c r="WVA46" s="15"/>
      <c r="WVB46" s="125"/>
      <c r="WVC46" s="125"/>
      <c r="WVD46" s="14"/>
      <c r="WVE46" s="15"/>
      <c r="WVF46" s="125"/>
      <c r="WVG46" s="125"/>
      <c r="WVH46" s="14"/>
      <c r="WVI46" s="10"/>
      <c r="WVJ46" s="125"/>
      <c r="WVK46" s="125"/>
      <c r="WVL46" s="14"/>
      <c r="WVM46" s="15"/>
      <c r="WVN46" s="125"/>
      <c r="WVO46" s="125"/>
      <c r="WVP46" s="14"/>
      <c r="WVQ46" s="15"/>
      <c r="WVR46" s="125"/>
      <c r="WVS46" s="125"/>
      <c r="WVT46" s="14"/>
      <c r="WVU46" s="15"/>
      <c r="WVV46" s="125"/>
      <c r="WVW46" s="125"/>
      <c r="WVX46" s="14"/>
      <c r="WVY46" s="10"/>
      <c r="WVZ46" s="125"/>
      <c r="WWA46" s="125"/>
      <c r="WWB46" s="14"/>
      <c r="WWC46" s="15"/>
      <c r="WWD46" s="125"/>
      <c r="WWE46" s="125"/>
      <c r="WWF46" s="14"/>
      <c r="WWG46" s="15"/>
      <c r="WWH46" s="125"/>
      <c r="WWI46" s="125"/>
      <c r="WWJ46" s="14"/>
      <c r="WWK46" s="15"/>
      <c r="WWL46" s="125"/>
      <c r="WWM46" s="125"/>
      <c r="WWN46" s="14"/>
      <c r="WWO46" s="10"/>
      <c r="WWP46" s="125"/>
      <c r="WWQ46" s="125"/>
      <c r="WWR46" s="14"/>
      <c r="WWS46" s="15"/>
      <c r="WWT46" s="125"/>
      <c r="WWU46" s="125"/>
      <c r="WWV46" s="14"/>
      <c r="WWW46" s="15"/>
      <c r="WWX46" s="125"/>
      <c r="WWY46" s="125"/>
      <c r="WWZ46" s="14"/>
      <c r="WXA46" s="15"/>
      <c r="WXB46" s="125"/>
      <c r="WXC46" s="125"/>
      <c r="WXD46" s="14"/>
      <c r="WXE46" s="10"/>
      <c r="WXF46" s="125"/>
      <c r="WXG46" s="125"/>
      <c r="WXH46" s="14"/>
      <c r="WXI46" s="15"/>
      <c r="WXJ46" s="125"/>
      <c r="WXK46" s="125"/>
      <c r="WXL46" s="14"/>
      <c r="WXM46" s="15"/>
      <c r="WXN46" s="125"/>
      <c r="WXO46" s="125"/>
      <c r="WXP46" s="14"/>
      <c r="WXQ46" s="15"/>
      <c r="WXR46" s="125"/>
      <c r="WXS46" s="125"/>
      <c r="WXT46" s="14"/>
      <c r="WXU46" s="10"/>
      <c r="WXV46" s="125"/>
      <c r="WXW46" s="125"/>
      <c r="WXX46" s="14"/>
      <c r="WXY46" s="15"/>
      <c r="WXZ46" s="125"/>
      <c r="WYA46" s="125"/>
      <c r="WYB46" s="14"/>
      <c r="WYC46" s="15"/>
      <c r="WYD46" s="125"/>
      <c r="WYE46" s="125"/>
      <c r="WYF46" s="14"/>
      <c r="WYG46" s="15"/>
      <c r="WYH46" s="125"/>
      <c r="WYI46" s="125"/>
      <c r="WYJ46" s="14"/>
      <c r="WYK46" s="10"/>
      <c r="WYL46" s="125"/>
      <c r="WYM46" s="125"/>
      <c r="WYN46" s="14"/>
      <c r="WYO46" s="15"/>
      <c r="WYP46" s="125"/>
      <c r="WYQ46" s="125"/>
      <c r="WYR46" s="14"/>
      <c r="WYS46" s="15"/>
      <c r="WYT46" s="125"/>
      <c r="WYU46" s="125"/>
      <c r="WYV46" s="14"/>
      <c r="WYW46" s="15"/>
      <c r="WYX46" s="125"/>
      <c r="WYY46" s="125"/>
      <c r="WYZ46" s="14"/>
      <c r="WZA46" s="10"/>
      <c r="WZB46" s="125"/>
      <c r="WZC46" s="125"/>
      <c r="WZD46" s="14"/>
      <c r="WZE46" s="15"/>
      <c r="WZF46" s="125"/>
      <c r="WZG46" s="125"/>
      <c r="WZH46" s="14"/>
      <c r="WZI46" s="15"/>
      <c r="WZJ46" s="125"/>
      <c r="WZK46" s="125"/>
      <c r="WZL46" s="14"/>
      <c r="WZM46" s="15"/>
      <c r="WZN46" s="125"/>
      <c r="WZO46" s="125"/>
      <c r="WZP46" s="14"/>
      <c r="WZQ46" s="10"/>
      <c r="WZR46" s="125"/>
      <c r="WZS46" s="125"/>
      <c r="WZT46" s="14"/>
      <c r="WZU46" s="15"/>
      <c r="WZV46" s="125"/>
      <c r="WZW46" s="125"/>
      <c r="WZX46" s="14"/>
      <c r="WZY46" s="15"/>
      <c r="WZZ46" s="125"/>
      <c r="XAA46" s="125"/>
      <c r="XAB46" s="14"/>
      <c r="XAC46" s="15"/>
      <c r="XAD46" s="125"/>
      <c r="XAE46" s="125"/>
      <c r="XAF46" s="14"/>
      <c r="XAG46" s="10"/>
      <c r="XAH46" s="125"/>
      <c r="XAI46" s="125"/>
      <c r="XAJ46" s="14"/>
      <c r="XAK46" s="15"/>
      <c r="XAL46" s="125"/>
      <c r="XAM46" s="125"/>
      <c r="XAN46" s="14"/>
      <c r="XAO46" s="15"/>
      <c r="XAP46" s="125"/>
      <c r="XAQ46" s="125"/>
      <c r="XAR46" s="14"/>
      <c r="XAS46" s="15"/>
      <c r="XAT46" s="125"/>
      <c r="XAU46" s="125"/>
      <c r="XAV46" s="14"/>
      <c r="XAW46" s="10"/>
      <c r="XAX46" s="125"/>
      <c r="XAY46" s="125"/>
      <c r="XAZ46" s="14"/>
      <c r="XBA46" s="15"/>
      <c r="XBB46" s="125"/>
      <c r="XBC46" s="125"/>
      <c r="XBD46" s="14"/>
      <c r="XBE46" s="15"/>
      <c r="XBF46" s="125"/>
      <c r="XBG46" s="125"/>
      <c r="XBH46" s="14"/>
      <c r="XBI46" s="15"/>
      <c r="XBJ46" s="125"/>
      <c r="XBK46" s="125"/>
      <c r="XBL46" s="14"/>
      <c r="XBM46" s="10"/>
      <c r="XBN46" s="125"/>
      <c r="XBO46" s="125"/>
      <c r="XBP46" s="14"/>
      <c r="XBQ46" s="15"/>
      <c r="XBR46" s="125"/>
      <c r="XBS46" s="125"/>
      <c r="XBT46" s="14"/>
      <c r="XBU46" s="15"/>
      <c r="XBV46" s="125"/>
      <c r="XBW46" s="125"/>
      <c r="XBX46" s="14"/>
      <c r="XBY46" s="15"/>
      <c r="XBZ46" s="125"/>
      <c r="XCA46" s="125"/>
      <c r="XCB46" s="14"/>
      <c r="XCC46" s="10"/>
      <c r="XCD46" s="125"/>
      <c r="XCE46" s="125"/>
      <c r="XCF46" s="14"/>
      <c r="XCG46" s="15"/>
      <c r="XCH46" s="125"/>
      <c r="XCI46" s="125"/>
      <c r="XCJ46" s="14"/>
      <c r="XCK46" s="15"/>
      <c r="XCL46" s="125"/>
      <c r="XCM46" s="125"/>
      <c r="XCN46" s="14"/>
      <c r="XCO46" s="15"/>
      <c r="XCP46" s="125"/>
      <c r="XCQ46" s="125"/>
      <c r="XCR46" s="14"/>
      <c r="XCS46" s="10"/>
      <c r="XCT46" s="125"/>
      <c r="XCU46" s="125"/>
      <c r="XCV46" s="14"/>
      <c r="XCW46" s="15"/>
      <c r="XCX46" s="125"/>
      <c r="XCY46" s="125"/>
      <c r="XCZ46" s="14"/>
      <c r="XDA46" s="15"/>
      <c r="XDB46" s="125"/>
      <c r="XDC46" s="125"/>
      <c r="XDD46" s="14"/>
      <c r="XDE46" s="15"/>
      <c r="XDF46" s="125"/>
      <c r="XDG46" s="125"/>
      <c r="XDH46" s="14"/>
      <c r="XDI46" s="10"/>
      <c r="XDJ46" s="125"/>
      <c r="XDK46" s="125"/>
      <c r="XDL46" s="14"/>
      <c r="XDM46" s="15"/>
      <c r="XDN46" s="125"/>
      <c r="XDO46" s="125"/>
      <c r="XDP46" s="14"/>
      <c r="XDQ46" s="15"/>
      <c r="XDR46" s="125"/>
      <c r="XDS46" s="125"/>
      <c r="XDT46" s="14"/>
      <c r="XDU46" s="15"/>
      <c r="XDV46" s="125"/>
      <c r="XDW46" s="125"/>
      <c r="XDX46" s="14"/>
      <c r="XDY46" s="10"/>
      <c r="XDZ46" s="125"/>
      <c r="XEA46" s="125"/>
      <c r="XEB46" s="14"/>
      <c r="XEC46" s="15"/>
      <c r="XED46" s="125"/>
      <c r="XEE46" s="125"/>
      <c r="XEF46" s="14"/>
      <c r="XEG46" s="15"/>
      <c r="XEH46" s="125"/>
      <c r="XEI46" s="125"/>
      <c r="XEJ46" s="14"/>
      <c r="XEK46" s="15"/>
      <c r="XEL46" s="125"/>
      <c r="XEM46" s="125"/>
      <c r="XEN46" s="14"/>
      <c r="XEO46" s="10"/>
      <c r="XEP46" s="125"/>
      <c r="XEQ46" s="125"/>
      <c r="XER46" s="14"/>
      <c r="XES46" s="15"/>
      <c r="XET46" s="125"/>
      <c r="XEU46" s="125"/>
      <c r="XEV46" s="14"/>
      <c r="XEW46" s="15"/>
      <c r="XEX46" s="125"/>
      <c r="XEY46" s="125"/>
      <c r="XEZ46" s="14"/>
      <c r="XFA46" s="15"/>
      <c r="XFB46" s="125"/>
      <c r="XFC46" s="125"/>
      <c r="XFD46" s="14"/>
    </row>
    <row r="47" spans="1:16384" customFormat="1">
      <c r="A47" s="10" t="s">
        <v>48</v>
      </c>
      <c r="B47" s="125" cm="1">
        <f t="array" ref="B47">SUM(SUMIFS(B$9:B$40,$A$9:$A$40,{"East Dunbartonshire","East Renfrewshire","Glasgow City","Inverclyde","North Lanarkshire","Renfrewshire","South Lanarkshire","West Dunbartonshire"}))</f>
        <v>60055</v>
      </c>
      <c r="C47" s="125" cm="1">
        <f t="array" ref="C47">SUM(SUMIFS(C$9:C$40,$A$9:$A$40,{"East Dunbartonshire","East Renfrewshire","Glasgow City","Inverclyde","North Lanarkshire","Renfrewshire","South Lanarkshire","West Dunbartonshire"}))</f>
        <v>1212484.7918159561</v>
      </c>
      <c r="D47" s="14">
        <f t="shared" si="0"/>
        <v>4.9530518160194612</v>
      </c>
      <c r="E47" s="15"/>
      <c r="F47" s="125" cm="1">
        <f t="array" ref="F47">SUM(SUMIFS(F$9:F$40,$A$9:$A$40,{"East Dunbartonshire","East Renfrewshire","Glasgow City","Inverclyde","North Lanarkshire","Renfrewshire","South Lanarkshire","West Dunbartonshire"}))</f>
        <v>43935</v>
      </c>
      <c r="G47" s="125" cm="1">
        <f t="array" ref="G47">SUM(SUMIFS(G$9:G$40,$A$9:$A$40,{"East Dunbartonshire","East Renfrewshire","Glasgow City","Inverclyde","North Lanarkshire","Renfrewshire","South Lanarkshire","West Dunbartonshire"}))</f>
        <v>1220037.6693132699</v>
      </c>
      <c r="H47" s="14">
        <f t="shared" si="1"/>
        <v>3.6011183183163489</v>
      </c>
      <c r="I47" s="15"/>
      <c r="J47" s="125" cm="1">
        <f t="array" ref="J47">SUM(SUMIFS(J$9:J$40,$A$9:$A$40,{"East Dunbartonshire","East Renfrewshire","Glasgow City","Inverclyde","North Lanarkshire","Renfrewshire","South Lanarkshire","West Dunbartonshire"}))</f>
        <v>42825</v>
      </c>
      <c r="K47" s="125" cm="1">
        <f t="array" ref="K47">SUM(SUMIFS(K$9:K$40,$A$9:$A$40,{"East Dunbartonshire","East Renfrewshire","Glasgow City","Inverclyde","North Lanarkshire","Renfrewshire","South Lanarkshire","West Dunbartonshire"}))</f>
        <v>1215019.1792234133</v>
      </c>
      <c r="L47" s="14">
        <f t="shared" si="2"/>
        <v>3.5246357203490279</v>
      </c>
      <c r="M47" s="15"/>
      <c r="N47" s="125" cm="1">
        <f t="array" ref="N47">SUM(SUMIFS(N$9:N$40,$A$9:$A$40,{"East Dunbartonshire","East Renfrewshire","Glasgow City","Inverclyde","North Lanarkshire","Renfrewshire","South Lanarkshire","West Dunbartonshire"}))</f>
        <v>46705</v>
      </c>
      <c r="O47" s="125" cm="1">
        <f t="array" ref="O47">SUM(SUMIFS(O$9:O$40,$A$9:$A$40,{"East Dunbartonshire","East Renfrewshire","Glasgow City","Inverclyde","North Lanarkshire","Renfrewshire","South Lanarkshire","West Dunbartonshire"}))</f>
        <v>1204972.6362206391</v>
      </c>
      <c r="P47" s="14">
        <f t="shared" si="3"/>
        <v>3.8760216287142288</v>
      </c>
    </row>
    <row r="48" spans="1:16384" customFormat="1">
      <c r="A48" s="10" t="s">
        <v>246</v>
      </c>
      <c r="B48" s="125" cm="1">
        <f t="array" ref="B48">SUM(SUMIFS(B$9:B$40,$A$9:$A$40,{"Na h-Eileanan Siar","Argyll and Bute","Shetland Islands","Highland","Orkney Islands","Scottish Borders","Dumfries and Galloway","Aberdeenshire"}))</f>
        <v>17385</v>
      </c>
      <c r="C48" s="125">
        <f>SUM(SUMIFS(C$9:C$40,$A$9:$A$40,{"Na h-Eileanan Siar","Argyll and Bute","Shetland Islands","Highland","Orkney Islands","Scottish Borders","Dumfries and Galloway","Aberdeenshire"}))</f>
        <v>554634.34669998847</v>
      </c>
      <c r="D48" s="316">
        <f t="shared" ref="D48:D51" si="4">SUM(B48/C48)*100</f>
        <v>3.1344975484188424</v>
      </c>
      <c r="E48" s="14"/>
      <c r="F48" s="125">
        <f>SUM(SUMIFS(F$9:F$40,$A$9:$A$40,{"Na h-Eileanan Siar","Argyll and Bute","Shetland Islands","Highland","Orkney Islands","Scottish Borders","Dumfries and Galloway","Aberdeenshire"}))</f>
        <v>12450</v>
      </c>
      <c r="G48" s="125">
        <f>SUM(SUMIFS(G$9:G$40,$A$9:$A$40,{"Na h-Eileanan Siar","Argyll and Bute","Shetland Islands","Highland","Orkney Islands","Scottish Borders","Dumfries and Galloway","Aberdeenshire"}))</f>
        <v>552424.10805568704</v>
      </c>
      <c r="H48" s="316">
        <f t="shared" ref="H48:H51" si="5">SUM(F48/G48)*100</f>
        <v>2.2537032360551832</v>
      </c>
      <c r="I48" s="14"/>
      <c r="J48" s="125">
        <f>SUM(SUMIFS(J$9:J$40,$A$9:$A$40,{"Na h-Eileanan Siar","Argyll and Bute","Shetland Islands","Highland","Orkney Islands","Scottish Borders","Dumfries and Galloway","Aberdeenshire"}))</f>
        <v>11995</v>
      </c>
      <c r="K48" s="125">
        <f>SUM(SUMIFS(K$9:K$40,$A$9:$A$40,{"Na h-Eileanan Siar","Argyll and Bute","Shetland Islands","Highland","Orkney Islands","Scottish Borders","Dumfries and Galloway","Aberdeenshire"}))</f>
        <v>555332.13507625274</v>
      </c>
      <c r="L48" s="316">
        <f t="shared" ref="L48:L51" si="6">SUM(J48/K48)*100</f>
        <v>2.1599686462143892</v>
      </c>
      <c r="M48" s="14"/>
      <c r="N48" s="125">
        <f>SUM(SUMIFS(N$9:N$40,$A$9:$A$40,{"Na h-Eileanan Siar","Argyll and Bute","Shetland Islands","Highland","Orkney Islands","Scottish Borders","Dumfries and Galloway","Aberdeenshire"}))</f>
        <v>12950</v>
      </c>
      <c r="O48" s="125">
        <f>SUM(SUMIFS(O$9:O$40,$A$9:$A$40,{"Na h-Eileanan Siar","Argyll and Bute","Shetland Islands","Highland","Orkney Islands","Scottish Borders","Dumfries and Galloway","Aberdeenshire"}))</f>
        <v>555314.7918389854</v>
      </c>
      <c r="P48" s="316">
        <f t="shared" ref="P48:P51" si="7">SUM(N48/O48)*100</f>
        <v>2.3320106343853486</v>
      </c>
      <c r="Q48" s="15"/>
    </row>
    <row r="49" spans="1:17">
      <c r="A49" s="10" t="s">
        <v>247</v>
      </c>
      <c r="B49" s="125">
        <f>SUM(SUMIFS(B$9:B$40,$A$9:$A$40,{"Perth and Kinross","Stirling","Moray","South Ayrshire","East Ayrshire","East Lothian","North Ayrshire","Fife"}))</f>
        <v>31690</v>
      </c>
      <c r="C49" s="125">
        <f>SUM(SUMIFS(C$9:C$40,$A$9:$A$40,{"Perth and Kinross","Stirling","Moray","South Ayrshire","East Ayrshire","East Lothian","North Ayrshire","Fife"}))</f>
        <v>736108.00450123555</v>
      </c>
      <c r="D49" s="316">
        <f t="shared" si="4"/>
        <v>4.3050747724815439</v>
      </c>
      <c r="E49" s="14"/>
      <c r="F49" s="125">
        <f>SUM(SUMIFS(F$9:F$40,$A$9:$A$40,{"Perth and Kinross","Stirling","Moray","South Ayrshire","East Ayrshire","East Lothian","North Ayrshire","Fife"}))</f>
        <v>22695</v>
      </c>
      <c r="G49" s="125">
        <f>SUM(SUMIFS(G$9:G$40,$A$9:$A$40,{"Perth and Kinross","Stirling","Moray","South Ayrshire","East Ayrshire","East Lothian","North Ayrshire","Fife"}))</f>
        <v>730624.08243929991</v>
      </c>
      <c r="H49" s="316">
        <f t="shared" si="5"/>
        <v>3.1062485545547966</v>
      </c>
      <c r="I49" s="14"/>
      <c r="J49" s="125">
        <f>SUM(SUMIFS(J$9:J$40,$A$9:$A$40,{"Perth and Kinross","Stirling","Moray","South Ayrshire","East Ayrshire","East Lothian","North Ayrshire","Fife"}))</f>
        <v>22130</v>
      </c>
      <c r="K49" s="125">
        <f>SUM(SUMIFS(K$9:K$40,$A$9:$A$40,{"Perth and Kinross","Stirling","Moray","South Ayrshire","East Ayrshire","East Lothian","North Ayrshire","Fife"}))</f>
        <v>732070.26504839957</v>
      </c>
      <c r="L49" s="316">
        <f t="shared" si="6"/>
        <v>3.0229338707722153</v>
      </c>
      <c r="M49" s="14"/>
      <c r="N49" s="125">
        <f>SUM(SUMIFS(N$9:N$40,$A$9:$A$40,{"Perth and Kinross","Stirling","Moray","South Ayrshire","East Ayrshire","East Lothian","North Ayrshire","Fife"}))</f>
        <v>22945</v>
      </c>
      <c r="O49" s="125">
        <f>SUM(SUMIFS(O$9:O$40,$A$9:$A$40,{"Perth and Kinross","Stirling","Moray","South Ayrshire","East Ayrshire","East Lothian","North Ayrshire","Fife"}))</f>
        <v>736435.32857433113</v>
      </c>
      <c r="P49" s="316">
        <f t="shared" si="7"/>
        <v>3.1156843119434998</v>
      </c>
      <c r="Q49" s="14"/>
    </row>
    <row r="50" spans="1:17">
      <c r="A50" s="10" t="s">
        <v>248</v>
      </c>
      <c r="B50" s="125">
        <f>SUM(SUMIFS(B$9:B$40,$A$9:$A$40,{"Angus","Clackmannanshire","Midlothian","South Lanarkshire","Inverclyde","Renfrewshire","West Lothian","East Renfrewshire"}))</f>
        <v>27575</v>
      </c>
      <c r="C50" s="125">
        <f>SUM(SUMIFS(C$9:C$40,$A$9:$A$40,{"Angus","Clackmannanshire","Midlothian","South Lanarkshire","Inverclyde","Renfrewshire","West Lothian","East Renfrewshire"}))</f>
        <v>702110.60428319837</v>
      </c>
      <c r="D50" s="316">
        <f t="shared" si="4"/>
        <v>3.9274438858749301</v>
      </c>
      <c r="E50" s="14"/>
      <c r="F50" s="125">
        <f>SUM(SUMIFS(F$9:F$40,$A$9:$A$40,{"Angus","Clackmannanshire","Midlothian","South Lanarkshire","Inverclyde","Renfrewshire","West Lothian","East Renfrewshire"}))</f>
        <v>19530</v>
      </c>
      <c r="G50" s="125">
        <f>SUM(SUMIFS(G$9:G$40,$A$9:$A$40,{"Angus","Clackmannanshire","Midlothian","South Lanarkshire","Inverclyde","Renfrewshire","West Lothian","East Renfrewshire"}))</f>
        <v>700909.60659710655</v>
      </c>
      <c r="H50" s="316">
        <f t="shared" si="5"/>
        <v>2.7863792729018964</v>
      </c>
      <c r="I50" s="14"/>
      <c r="J50" s="125">
        <f>SUM(SUMIFS(J$9:J$40,$A$9:$A$40,{"Angus","Clackmannanshire","Midlothian","South Lanarkshire","Inverclyde","Renfrewshire","West Lothian","East Renfrewshire"}))</f>
        <v>19190</v>
      </c>
      <c r="K50" s="125">
        <f>SUM(SUMIFS(K$9:K$40,$A$9:$A$40,{"Angus","Clackmannanshire","Midlothian","South Lanarkshire","Inverclyde","Renfrewshire","West Lothian","East Renfrewshire"}))</f>
        <v>700188.99679690751</v>
      </c>
      <c r="L50" s="316">
        <f t="shared" si="6"/>
        <v>2.7406885980480684</v>
      </c>
      <c r="M50" s="14"/>
      <c r="N50" s="125">
        <f>SUM(SUMIFS(N$9:N$40,$A$9:$A$40,{"Angus","Clackmannanshire","Midlothian","South Lanarkshire","Inverclyde","Renfrewshire","West Lothian","East Renfrewshire"}))</f>
        <v>19850</v>
      </c>
      <c r="O50" s="125">
        <f>SUM(SUMIFS(O$9:O$40,$A$9:$A$40,{"Angus","Clackmannanshire","Midlothian","South Lanarkshire","Inverclyde","Renfrewshire","West Lothian","East Renfrewshire"}))</f>
        <v>698660.36893567676</v>
      </c>
      <c r="P50" s="316">
        <f t="shared" si="7"/>
        <v>2.8411515641339489</v>
      </c>
      <c r="Q50" s="15"/>
    </row>
    <row r="51" spans="1:17">
      <c r="A51" s="10" t="s">
        <v>249</v>
      </c>
      <c r="B51" s="125">
        <f>SUM(SUMIFS(B$9:B$40,$A$9:$A$40,{"North Lanarkshire","Falkirk","East Dunbartonshire","Aberdeen City","Edinburgh, City of","West Dunbartonshire","Dundee City","Glasgow City"}))</f>
        <v>70975</v>
      </c>
      <c r="C51" s="125">
        <f>SUM(SUMIFS(C$9:C$40,$A$9:$A$40,{"North Lanarkshire","Falkirk","East Dunbartonshire","Aberdeen City","Edinburgh, City of","West Dunbartonshire","Dundee City","Glasgow City"}))</f>
        <v>1507836.4212242134</v>
      </c>
      <c r="D51" s="316">
        <f t="shared" si="4"/>
        <v>4.7070755820034744</v>
      </c>
      <c r="E51" s="14"/>
      <c r="F51" s="125">
        <f>SUM(SUMIFS(F$9:F$40,$A$9:$A$40,{"North Lanarkshire","Falkirk","East Dunbartonshire","Aberdeen City","Edinburgh, City of","West Dunbartonshire","Dundee City","Glasgow City"}))</f>
        <v>52260</v>
      </c>
      <c r="G51" s="125">
        <f>SUM(SUMIFS(G$9:G$40,$A$9:$A$40,{"North Lanarkshire","Falkirk","East Dunbartonshire","Aberdeen City","Edinburgh, City of","West Dunbartonshire","Dundee City","Glasgow City"}))</f>
        <v>1522367.7862109242</v>
      </c>
      <c r="H51" s="316">
        <f t="shared" si="5"/>
        <v>3.4328104202777299</v>
      </c>
      <c r="I51" s="14"/>
      <c r="J51" s="125">
        <f>SUM(SUMIFS(J$9:J$40,$A$9:$A$40,{"North Lanarkshire","Falkirk","East Dunbartonshire","Aberdeen City","Edinburgh, City of","West Dunbartonshire","Dundee City","Glasgow City"}))</f>
        <v>50490</v>
      </c>
      <c r="K51" s="125">
        <f>SUM(SUMIFS(K$9:K$40,$A$9:$A$40,{"North Lanarkshire","Falkirk","East Dunbartonshire","Aberdeen City","Edinburgh, City of","West Dunbartonshire","Dundee City","Glasgow City"}))</f>
        <v>1503232.4910787926</v>
      </c>
      <c r="L51" s="316">
        <f t="shared" si="6"/>
        <v>3.3587618881072698</v>
      </c>
      <c r="M51" s="14"/>
      <c r="N51" s="125">
        <f>SUM(SUMIFS(N$9:N$40,$A$9:$A$40,{"North Lanarkshire","Falkirk","East Dunbartonshire","Aberdeen City","Edinburgh, City of","West Dunbartonshire","Dundee City","Glasgow City"}))</f>
        <v>55660</v>
      </c>
      <c r="O51" s="125">
        <f>SUM(SUMIFS(O$9:O$40,$A$9:$A$40,{"North Lanarkshire","Falkirk","East Dunbartonshire","Aberdeen City","Edinburgh, City of","West Dunbartonshire","Dundee City","Glasgow City"}))</f>
        <v>1512985.4645334508</v>
      </c>
      <c r="P51" s="316">
        <f t="shared" si="7"/>
        <v>3.6788192156997033</v>
      </c>
      <c r="Q51" s="15"/>
    </row>
    <row r="52" spans="1:17">
      <c r="B52" s="125"/>
      <c r="Q52" s="14"/>
    </row>
    <row r="53" spans="1:17">
      <c r="A53" s="2" t="s">
        <v>399</v>
      </c>
      <c r="Q53" s="14"/>
    </row>
    <row r="54" spans="1:17">
      <c r="A54" s="2" t="s">
        <v>400</v>
      </c>
      <c r="Q54" s="14"/>
    </row>
    <row r="55" spans="1:17">
      <c r="A55" s="2" t="s">
        <v>401</v>
      </c>
      <c r="Q55" s="14"/>
    </row>
    <row r="56" spans="1:17">
      <c r="A56" s="2" t="s">
        <v>402</v>
      </c>
    </row>
    <row r="57" spans="1:17">
      <c r="A57" s="2" t="s">
        <v>403</v>
      </c>
    </row>
    <row r="58" spans="1:17">
      <c r="A58" s="2" t="s">
        <v>404</v>
      </c>
    </row>
    <row r="65" customFormat="1" ht="30" customHeight="1"/>
    <row r="111" customFormat="1" ht="27.95" customHeight="1"/>
  </sheetData>
  <conditionalFormatting sqref="A1:XFD7 A8 D8:XFD8 A9:XFD1048576">
    <cfRule type="expression" dxfId="85"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autoPageBreaks="0"/>
  </sheetPr>
  <dimension ref="A1:Q53"/>
  <sheetViews>
    <sheetView topLeftCell="A19" zoomScale="70" zoomScaleNormal="70" workbookViewId="0">
      <selection activeCell="T38" sqref="T38"/>
    </sheetView>
  </sheetViews>
  <sheetFormatPr defaultColWidth="8.7109375" defaultRowHeight="15"/>
  <cols>
    <col min="1" max="1" width="25.85546875" style="75" bestFit="1" customWidth="1"/>
    <col min="2" max="2" width="11" style="75" customWidth="1"/>
    <col min="3" max="3" width="13.7109375" style="75" customWidth="1"/>
    <col min="4" max="5" width="8.7109375" style="75"/>
    <col min="6" max="6" width="11" style="75" customWidth="1"/>
    <col min="7" max="7" width="14.5703125" style="75" customWidth="1"/>
    <col min="8" max="9" width="8.7109375" style="75"/>
    <col min="10" max="10" width="11.42578125" style="75" customWidth="1"/>
    <col min="11" max="11" width="12.5703125" style="75" customWidth="1"/>
    <col min="12" max="16" width="11.5703125" style="75" customWidth="1"/>
    <col min="17" max="16384" width="8.7109375" style="75"/>
  </cols>
  <sheetData>
    <row r="1" spans="1:16" ht="18.75">
      <c r="A1" s="77" t="s">
        <v>190</v>
      </c>
    </row>
    <row r="2" spans="1:16" ht="15.75">
      <c r="A2" s="77" t="s">
        <v>189</v>
      </c>
    </row>
    <row r="8" spans="1:16">
      <c r="D8" s="75">
        <v>2019</v>
      </c>
      <c r="H8" s="75">
        <v>2020</v>
      </c>
      <c r="L8" s="75">
        <v>2021</v>
      </c>
      <c r="P8" s="75">
        <v>2022</v>
      </c>
    </row>
    <row r="9" spans="1:16">
      <c r="A9" s="75" t="s">
        <v>15</v>
      </c>
      <c r="B9" s="346">
        <v>13879</v>
      </c>
      <c r="C9" s="346">
        <v>86045</v>
      </c>
      <c r="D9" s="347">
        <v>16.129932012319134</v>
      </c>
      <c r="E9" s="348"/>
      <c r="F9" s="346">
        <v>12470</v>
      </c>
      <c r="G9" s="346">
        <v>81747</v>
      </c>
      <c r="H9" s="347">
        <v>15.254382423819834</v>
      </c>
      <c r="I9" s="348"/>
      <c r="J9" s="346">
        <v>10679</v>
      </c>
      <c r="K9" s="346">
        <v>77305</v>
      </c>
      <c r="L9" s="347">
        <v>13.814112929305997</v>
      </c>
      <c r="M9" s="348"/>
      <c r="N9" s="346">
        <v>15198</v>
      </c>
      <c r="O9" s="346">
        <v>82479.999999999985</v>
      </c>
      <c r="P9" s="349">
        <v>18.426285160038798</v>
      </c>
    </row>
    <row r="10" spans="1:16">
      <c r="A10" s="75" t="s">
        <v>16</v>
      </c>
      <c r="B10" s="346">
        <v>9662</v>
      </c>
      <c r="C10" s="346">
        <v>81169</v>
      </c>
      <c r="D10" s="347">
        <v>11.903559240596779</v>
      </c>
      <c r="E10" s="348"/>
      <c r="F10" s="346">
        <v>10267</v>
      </c>
      <c r="G10" s="346">
        <v>78860</v>
      </c>
      <c r="H10" s="347">
        <v>13.01927466396145</v>
      </c>
      <c r="I10" s="348"/>
      <c r="J10" s="346">
        <v>9811</v>
      </c>
      <c r="K10" s="346">
        <v>76941</v>
      </c>
      <c r="L10" s="347">
        <v>12.751328940356895</v>
      </c>
      <c r="M10" s="348"/>
      <c r="N10" s="346">
        <v>9970</v>
      </c>
      <c r="O10" s="346">
        <v>78145</v>
      </c>
      <c r="P10" s="349">
        <v>12.758333866530169</v>
      </c>
    </row>
    <row r="11" spans="1:16">
      <c r="A11" s="75" t="s">
        <v>17</v>
      </c>
      <c r="B11" s="346">
        <v>5683</v>
      </c>
      <c r="C11" s="346">
        <v>36869</v>
      </c>
      <c r="D11" s="347">
        <v>15.414033469852722</v>
      </c>
      <c r="E11" s="348"/>
      <c r="F11" s="346">
        <v>5876</v>
      </c>
      <c r="G11" s="346">
        <v>35787</v>
      </c>
      <c r="H11" s="347">
        <v>16.419370162349455</v>
      </c>
      <c r="I11" s="348"/>
      <c r="J11" s="346">
        <v>6040</v>
      </c>
      <c r="K11" s="346">
        <v>33831</v>
      </c>
      <c r="L11" s="347">
        <v>17.853448021045786</v>
      </c>
      <c r="M11" s="348"/>
      <c r="N11" s="346">
        <v>6388</v>
      </c>
      <c r="O11" s="346">
        <v>33109</v>
      </c>
      <c r="P11" s="349">
        <v>19.293847594309703</v>
      </c>
    </row>
    <row r="12" spans="1:16">
      <c r="A12" s="75" t="s">
        <v>18</v>
      </c>
      <c r="B12" s="346">
        <v>4379</v>
      </c>
      <c r="C12" s="346">
        <v>22820</v>
      </c>
      <c r="D12" s="347">
        <v>19.189307624890446</v>
      </c>
      <c r="E12" s="348"/>
      <c r="F12" s="346">
        <v>3227</v>
      </c>
      <c r="G12" s="346">
        <v>21884</v>
      </c>
      <c r="H12" s="347">
        <v>14.745933101809541</v>
      </c>
      <c r="I12" s="348"/>
      <c r="J12" s="346">
        <v>2900</v>
      </c>
      <c r="K12" s="346">
        <v>21475</v>
      </c>
      <c r="L12" s="347">
        <v>13.50407450523865</v>
      </c>
      <c r="M12" s="348"/>
      <c r="N12" s="346">
        <v>3911</v>
      </c>
      <c r="O12" s="346">
        <v>21021</v>
      </c>
      <c r="P12" s="349">
        <v>18.605204319490035</v>
      </c>
    </row>
    <row r="13" spans="1:16">
      <c r="A13" s="75" t="s">
        <v>126</v>
      </c>
      <c r="B13" s="346">
        <v>28688</v>
      </c>
      <c r="C13" s="346">
        <v>190529</v>
      </c>
      <c r="D13" s="347">
        <v>15.057025439696844</v>
      </c>
      <c r="E13" s="348"/>
      <c r="F13" s="346">
        <v>31825</v>
      </c>
      <c r="G13" s="346">
        <v>199425</v>
      </c>
      <c r="H13" s="347">
        <v>15.958380343487526</v>
      </c>
      <c r="I13" s="348"/>
      <c r="J13" s="346">
        <v>24296</v>
      </c>
      <c r="K13" s="346">
        <v>212064</v>
      </c>
      <c r="L13" s="347">
        <v>11.456918666063075</v>
      </c>
      <c r="M13" s="348"/>
      <c r="N13" s="346">
        <v>31304</v>
      </c>
      <c r="O13" s="346">
        <v>207448</v>
      </c>
      <c r="P13" s="349">
        <v>15.090046662296094</v>
      </c>
    </row>
    <row r="14" spans="1:16">
      <c r="A14" s="75" t="s">
        <v>19</v>
      </c>
      <c r="B14" s="346">
        <v>3307</v>
      </c>
      <c r="C14" s="346">
        <v>16090</v>
      </c>
      <c r="D14" s="347">
        <v>20.553138595400871</v>
      </c>
      <c r="E14" s="348"/>
      <c r="F14" s="346">
        <v>2866</v>
      </c>
      <c r="G14" s="346">
        <v>15526.999999999998</v>
      </c>
      <c r="H14" s="347">
        <v>18.458169639981968</v>
      </c>
      <c r="I14" s="348"/>
      <c r="J14" s="346">
        <v>3549</v>
      </c>
      <c r="K14" s="346">
        <v>14970</v>
      </c>
      <c r="L14" s="347">
        <v>23.707414829659317</v>
      </c>
      <c r="M14" s="348"/>
      <c r="N14" s="346">
        <v>4599</v>
      </c>
      <c r="O14" s="346">
        <v>16741</v>
      </c>
      <c r="P14" s="349">
        <v>27.471477211636103</v>
      </c>
    </row>
    <row r="15" spans="1:16">
      <c r="A15" s="75" t="s">
        <v>20</v>
      </c>
      <c r="B15" s="346">
        <v>7969</v>
      </c>
      <c r="C15" s="346">
        <v>44085</v>
      </c>
      <c r="D15" s="347">
        <v>18.076443234660317</v>
      </c>
      <c r="E15" s="348"/>
      <c r="F15" s="346">
        <v>10106</v>
      </c>
      <c r="G15" s="346">
        <v>42588</v>
      </c>
      <c r="H15" s="347">
        <v>23.729689114304499</v>
      </c>
      <c r="I15" s="348"/>
      <c r="J15" s="346">
        <v>9522</v>
      </c>
      <c r="K15" s="346">
        <v>42138</v>
      </c>
      <c r="L15" s="347">
        <v>22.59718069201196</v>
      </c>
      <c r="M15" s="348"/>
      <c r="N15" s="346">
        <v>9797</v>
      </c>
      <c r="O15" s="346">
        <v>43573</v>
      </c>
      <c r="P15" s="349">
        <v>22.484107130562506</v>
      </c>
    </row>
    <row r="16" spans="1:16">
      <c r="A16" s="75" t="s">
        <v>21</v>
      </c>
      <c r="B16" s="346">
        <v>13505</v>
      </c>
      <c r="C16" s="346">
        <v>53396</v>
      </c>
      <c r="D16" s="347">
        <v>25.292156715858866</v>
      </c>
      <c r="E16" s="348"/>
      <c r="F16" s="346">
        <v>9451</v>
      </c>
      <c r="G16" s="346">
        <v>48447.999999999993</v>
      </c>
      <c r="H16" s="347">
        <v>19.507513210039633</v>
      </c>
      <c r="I16" s="348"/>
      <c r="J16" s="346">
        <v>10524</v>
      </c>
      <c r="K16" s="346">
        <v>48061</v>
      </c>
      <c r="L16" s="347">
        <v>21.897172343480161</v>
      </c>
      <c r="M16" s="348"/>
      <c r="N16" s="346">
        <v>10266</v>
      </c>
      <c r="O16" s="346">
        <v>50850</v>
      </c>
      <c r="P16" s="349">
        <v>20.188790560471976</v>
      </c>
    </row>
    <row r="17" spans="1:16">
      <c r="A17" s="75" t="s">
        <v>22</v>
      </c>
      <c r="B17" s="346">
        <v>9181</v>
      </c>
      <c r="C17" s="346">
        <v>39980</v>
      </c>
      <c r="D17" s="347">
        <v>22.963981990995496</v>
      </c>
      <c r="E17" s="348"/>
      <c r="F17" s="346">
        <v>6618</v>
      </c>
      <c r="G17" s="346">
        <v>37674.999999999993</v>
      </c>
      <c r="H17" s="347">
        <v>17.566025215660254</v>
      </c>
      <c r="I17" s="348"/>
      <c r="J17" s="346">
        <v>6974</v>
      </c>
      <c r="K17" s="346">
        <v>39246</v>
      </c>
      <c r="L17" s="347">
        <v>17.769963817968708</v>
      </c>
      <c r="M17" s="348"/>
      <c r="N17" s="346">
        <v>7264</v>
      </c>
      <c r="O17" s="346">
        <v>37463.000000000007</v>
      </c>
      <c r="P17" s="349">
        <v>19.389797933961507</v>
      </c>
    </row>
    <row r="18" spans="1:16">
      <c r="A18" s="75" t="s">
        <v>24</v>
      </c>
      <c r="B18" s="346">
        <v>3947</v>
      </c>
      <c r="C18" s="346">
        <v>33419</v>
      </c>
      <c r="D18" s="347">
        <v>11.81064663813998</v>
      </c>
      <c r="E18" s="348"/>
      <c r="F18" s="346">
        <v>4352</v>
      </c>
      <c r="G18" s="346">
        <v>31752</v>
      </c>
      <c r="H18" s="347">
        <v>13.706223230032755</v>
      </c>
      <c r="I18" s="348"/>
      <c r="J18" s="346">
        <v>3835</v>
      </c>
      <c r="K18" s="346">
        <v>31262</v>
      </c>
      <c r="L18" s="347">
        <v>12.267289360885419</v>
      </c>
      <c r="M18" s="348"/>
      <c r="N18" s="346">
        <v>5578</v>
      </c>
      <c r="O18" s="346">
        <v>32050</v>
      </c>
      <c r="P18" s="349">
        <v>17.404056162246491</v>
      </c>
    </row>
    <row r="19" spans="1:16">
      <c r="A19" s="75" t="s">
        <v>26</v>
      </c>
      <c r="B19" s="346">
        <v>11179</v>
      </c>
      <c r="C19" s="346">
        <v>55022</v>
      </c>
      <c r="D19" s="347">
        <v>20.317327614408782</v>
      </c>
      <c r="E19" s="348"/>
      <c r="F19" s="346">
        <v>8939</v>
      </c>
      <c r="G19" s="346">
        <v>49597.999999999993</v>
      </c>
      <c r="H19" s="347">
        <v>18.022904149360862</v>
      </c>
      <c r="I19" s="348"/>
      <c r="J19" s="346">
        <v>6205</v>
      </c>
      <c r="K19" s="346">
        <v>46649</v>
      </c>
      <c r="L19" s="347">
        <v>13.301464125704731</v>
      </c>
      <c r="M19" s="348"/>
      <c r="N19" s="346">
        <v>7033</v>
      </c>
      <c r="O19" s="346">
        <v>54235</v>
      </c>
      <c r="P19" s="349">
        <v>12.967640822347192</v>
      </c>
    </row>
    <row r="20" spans="1:16">
      <c r="A20" s="75" t="s">
        <v>27</v>
      </c>
      <c r="B20" s="346">
        <v>21734</v>
      </c>
      <c r="C20" s="346">
        <v>125643.99999999999</v>
      </c>
      <c r="D20" s="347">
        <v>17.298080290344149</v>
      </c>
      <c r="E20" s="348"/>
      <c r="F20" s="346">
        <v>30316</v>
      </c>
      <c r="G20" s="346">
        <v>129924</v>
      </c>
      <c r="H20" s="347">
        <v>23.333641205627906</v>
      </c>
      <c r="I20" s="348"/>
      <c r="J20" s="346">
        <v>28170</v>
      </c>
      <c r="K20" s="346">
        <v>122083</v>
      </c>
      <c r="L20" s="347">
        <v>23.074465732329642</v>
      </c>
      <c r="M20" s="348"/>
      <c r="N20" s="346">
        <v>19851</v>
      </c>
      <c r="O20" s="346">
        <v>121817</v>
      </c>
      <c r="P20" s="349">
        <v>16.295755108071944</v>
      </c>
    </row>
    <row r="21" spans="1:16">
      <c r="A21" s="75" t="s">
        <v>29</v>
      </c>
      <c r="B21" s="346">
        <v>8166</v>
      </c>
      <c r="C21" s="346">
        <v>58818.999999999993</v>
      </c>
      <c r="D21" s="347">
        <v>13.883269011713903</v>
      </c>
      <c r="E21" s="348"/>
      <c r="F21" s="346">
        <v>8585</v>
      </c>
      <c r="G21" s="346">
        <v>61881.000000000007</v>
      </c>
      <c r="H21" s="347">
        <v>13.873402175142612</v>
      </c>
      <c r="I21" s="348"/>
      <c r="J21" s="346">
        <v>12094</v>
      </c>
      <c r="K21" s="346">
        <v>61422</v>
      </c>
      <c r="L21" s="347">
        <v>19.690013350265378</v>
      </c>
      <c r="M21" s="348"/>
      <c r="N21" s="346">
        <v>9986</v>
      </c>
      <c r="O21" s="346">
        <v>62687</v>
      </c>
      <c r="P21" s="349">
        <v>15.929937626621149</v>
      </c>
    </row>
    <row r="22" spans="1:16">
      <c r="A22" s="75" t="s">
        <v>31</v>
      </c>
      <c r="B22" s="346">
        <v>3682</v>
      </c>
      <c r="C22" s="346">
        <v>29618</v>
      </c>
      <c r="D22" s="347">
        <v>12.43162941454521</v>
      </c>
      <c r="E22" s="348"/>
      <c r="F22" s="346">
        <v>3624</v>
      </c>
      <c r="G22" s="346">
        <v>26900</v>
      </c>
      <c r="H22" s="347">
        <v>13.472118959107807</v>
      </c>
      <c r="I22" s="348"/>
      <c r="J22" s="346">
        <v>2888</v>
      </c>
      <c r="K22" s="346">
        <v>26813</v>
      </c>
      <c r="L22" s="347">
        <v>10.770894715250066</v>
      </c>
      <c r="M22" s="348"/>
      <c r="N22" s="346">
        <v>3043</v>
      </c>
      <c r="O22" s="346">
        <v>27218</v>
      </c>
      <c r="P22" s="349">
        <v>11.18010140348299</v>
      </c>
    </row>
    <row r="23" spans="1:16">
      <c r="A23" s="75" t="s">
        <v>32</v>
      </c>
      <c r="B23" s="346">
        <v>3884</v>
      </c>
      <c r="C23" s="346">
        <v>28547.999999999996</v>
      </c>
      <c r="D23" s="347">
        <v>13.605156228107049</v>
      </c>
      <c r="E23" s="348"/>
      <c r="F23" s="346">
        <v>4527</v>
      </c>
      <c r="G23" s="346">
        <v>29287</v>
      </c>
      <c r="H23" s="347">
        <v>15.457370164236691</v>
      </c>
      <c r="I23" s="348"/>
      <c r="J23" s="346">
        <v>4429</v>
      </c>
      <c r="K23" s="346">
        <v>28752</v>
      </c>
      <c r="L23" s="347">
        <v>15.404145798553145</v>
      </c>
      <c r="M23" s="348"/>
      <c r="N23" s="346">
        <v>3616</v>
      </c>
      <c r="O23" s="346">
        <v>29012</v>
      </c>
      <c r="P23" s="349">
        <v>12.463808079415415</v>
      </c>
    </row>
    <row r="24" spans="1:16">
      <c r="A24" s="75" t="s">
        <v>33</v>
      </c>
      <c r="B24" s="346">
        <v>1039</v>
      </c>
      <c r="C24" s="346">
        <v>7079.0000000000009</v>
      </c>
      <c r="D24" s="347">
        <v>14.677214295804491</v>
      </c>
      <c r="E24" s="348"/>
      <c r="F24" s="346">
        <v>842</v>
      </c>
      <c r="G24" s="346">
        <v>6623.9999999999991</v>
      </c>
      <c r="H24" s="347">
        <v>12.711352657004833</v>
      </c>
      <c r="I24" s="348"/>
      <c r="J24" s="346">
        <v>709</v>
      </c>
      <c r="K24" s="346">
        <v>6280</v>
      </c>
      <c r="L24" s="347">
        <v>11.289808917197453</v>
      </c>
      <c r="M24" s="348"/>
      <c r="N24" s="346">
        <v>705</v>
      </c>
      <c r="O24" s="346">
        <v>6467</v>
      </c>
      <c r="P24" s="349">
        <v>10.901499922684398</v>
      </c>
    </row>
    <row r="25" spans="1:16">
      <c r="A25" s="75" t="s">
        <v>34</v>
      </c>
      <c r="B25" s="346">
        <v>8326</v>
      </c>
      <c r="C25" s="346">
        <v>41236</v>
      </c>
      <c r="D25" s="347">
        <v>20.191095159569308</v>
      </c>
      <c r="E25" s="348"/>
      <c r="F25" s="346">
        <v>9147</v>
      </c>
      <c r="G25" s="346">
        <v>39901</v>
      </c>
      <c r="H25" s="347">
        <v>22.924237487782261</v>
      </c>
      <c r="I25" s="348"/>
      <c r="J25" s="346">
        <v>9814</v>
      </c>
      <c r="K25" s="346">
        <v>41083</v>
      </c>
      <c r="L25" s="347">
        <v>23.888226273641166</v>
      </c>
      <c r="M25" s="348"/>
      <c r="N25" s="346">
        <v>10478</v>
      </c>
      <c r="O25" s="346">
        <v>44089</v>
      </c>
      <c r="P25" s="349">
        <v>23.765565106942773</v>
      </c>
    </row>
    <row r="26" spans="1:16">
      <c r="A26" s="75" t="s">
        <v>36</v>
      </c>
      <c r="B26" s="346" t="s">
        <v>71</v>
      </c>
      <c r="C26" s="346" t="s">
        <v>71</v>
      </c>
      <c r="D26" s="347" t="s">
        <v>71</v>
      </c>
      <c r="E26" s="348"/>
      <c r="F26" s="346" t="s">
        <v>71</v>
      </c>
      <c r="G26" s="346" t="s">
        <v>71</v>
      </c>
      <c r="H26" s="347" t="s">
        <v>71</v>
      </c>
      <c r="I26" s="348"/>
      <c r="J26" s="346">
        <v>867</v>
      </c>
      <c r="K26" s="346">
        <v>4886</v>
      </c>
      <c r="L26" s="347">
        <v>17.74457634056488</v>
      </c>
      <c r="M26" s="348"/>
      <c r="N26" s="346">
        <v>597</v>
      </c>
      <c r="O26" s="346">
        <v>5084</v>
      </c>
      <c r="P26" s="349">
        <v>11.742722265932336</v>
      </c>
    </row>
    <row r="27" spans="1:16">
      <c r="A27" s="75" t="s">
        <v>37</v>
      </c>
      <c r="B27" s="346">
        <v>5521</v>
      </c>
      <c r="C27" s="346">
        <v>45991</v>
      </c>
      <c r="D27" s="347">
        <v>12.004522623991651</v>
      </c>
      <c r="E27" s="348"/>
      <c r="F27" s="346">
        <v>5983</v>
      </c>
      <c r="G27" s="346">
        <v>44268</v>
      </c>
      <c r="H27" s="347">
        <v>13.515406162464986</v>
      </c>
      <c r="I27" s="348"/>
      <c r="J27" s="346">
        <v>4443</v>
      </c>
      <c r="K27" s="346">
        <v>43330</v>
      </c>
      <c r="L27" s="347">
        <v>10.253865681975537</v>
      </c>
      <c r="M27" s="348"/>
      <c r="N27" s="346">
        <v>7271</v>
      </c>
      <c r="O27" s="346">
        <v>43934</v>
      </c>
      <c r="P27" s="349">
        <v>16.549824737105659</v>
      </c>
    </row>
    <row r="28" spans="1:16">
      <c r="A28" s="75" t="s">
        <v>39</v>
      </c>
      <c r="B28" s="346">
        <v>5667</v>
      </c>
      <c r="C28" s="346">
        <v>34766</v>
      </c>
      <c r="D28" s="347">
        <v>16.300408445032502</v>
      </c>
      <c r="E28" s="348"/>
      <c r="F28" s="346">
        <v>4053</v>
      </c>
      <c r="G28" s="346">
        <v>32577</v>
      </c>
      <c r="H28" s="347">
        <v>12.441292936734506</v>
      </c>
      <c r="I28" s="348"/>
      <c r="J28" s="346">
        <v>7011</v>
      </c>
      <c r="K28" s="346">
        <v>31326</v>
      </c>
      <c r="L28" s="347">
        <v>22.380769967439189</v>
      </c>
      <c r="M28" s="348"/>
      <c r="N28" s="346">
        <v>5340</v>
      </c>
      <c r="O28" s="346">
        <v>34647</v>
      </c>
      <c r="P28" s="349">
        <v>15.412589834617716</v>
      </c>
    </row>
    <row r="29" spans="1:16">
      <c r="A29" s="75" t="s">
        <v>40</v>
      </c>
      <c r="B29" s="346" t="s">
        <v>71</v>
      </c>
      <c r="C29" s="346" t="s">
        <v>71</v>
      </c>
      <c r="D29" s="347" t="s">
        <v>71</v>
      </c>
      <c r="E29" s="348"/>
      <c r="F29" s="346">
        <v>574</v>
      </c>
      <c r="G29" s="346">
        <v>5867</v>
      </c>
      <c r="H29" s="347">
        <v>9.7835350264189529</v>
      </c>
      <c r="I29" s="348"/>
      <c r="J29" s="346">
        <v>1008</v>
      </c>
      <c r="K29" s="346">
        <v>5392</v>
      </c>
      <c r="L29" s="347">
        <v>18.694362017804153</v>
      </c>
      <c r="M29" s="348"/>
      <c r="N29" s="346">
        <v>1029</v>
      </c>
      <c r="O29" s="346">
        <v>6939</v>
      </c>
      <c r="P29" s="349">
        <v>14.829226113272806</v>
      </c>
    </row>
    <row r="30" spans="1:16">
      <c r="A30" s="75" t="s">
        <v>41</v>
      </c>
      <c r="B30" s="346">
        <v>6704</v>
      </c>
      <c r="C30" s="346">
        <v>34493</v>
      </c>
      <c r="D30" s="347">
        <v>19.435827559214914</v>
      </c>
      <c r="E30" s="348"/>
      <c r="F30" s="346">
        <v>6295</v>
      </c>
      <c r="G30" s="346">
        <v>31626</v>
      </c>
      <c r="H30" s="347">
        <v>19.90450894833365</v>
      </c>
      <c r="I30" s="348"/>
      <c r="J30" s="346">
        <v>7693</v>
      </c>
      <c r="K30" s="346">
        <v>33845</v>
      </c>
      <c r="L30" s="347">
        <v>22.730093071354705</v>
      </c>
      <c r="M30" s="348"/>
      <c r="N30" s="346">
        <v>8560</v>
      </c>
      <c r="O30" s="346">
        <v>32712.000000000004</v>
      </c>
      <c r="P30" s="349">
        <v>26.167767180239665</v>
      </c>
    </row>
    <row r="31" spans="1:16">
      <c r="A31" s="75" t="s">
        <v>43</v>
      </c>
      <c r="B31" s="346">
        <v>6102</v>
      </c>
      <c r="C31" s="346">
        <v>30136</v>
      </c>
      <c r="D31" s="347">
        <v>20.24820812317494</v>
      </c>
      <c r="E31" s="348"/>
      <c r="F31" s="346">
        <v>3960</v>
      </c>
      <c r="G31" s="346">
        <v>27132</v>
      </c>
      <c r="H31" s="347">
        <v>14.595311808934101</v>
      </c>
      <c r="I31" s="348"/>
      <c r="J31" s="346">
        <v>3531</v>
      </c>
      <c r="K31" s="346">
        <v>25370</v>
      </c>
      <c r="L31" s="347">
        <v>13.918013401655498</v>
      </c>
      <c r="M31" s="348"/>
      <c r="N31" s="346">
        <v>4409</v>
      </c>
      <c r="O31" s="346">
        <v>27564.999999999996</v>
      </c>
      <c r="P31" s="349">
        <v>15.994921095592238</v>
      </c>
    </row>
    <row r="32" spans="1:16">
      <c r="A32" s="75" t="s">
        <v>23</v>
      </c>
      <c r="B32" s="346">
        <v>4172</v>
      </c>
      <c r="C32" s="346">
        <v>30301</v>
      </c>
      <c r="D32" s="347">
        <v>13.768522491006898</v>
      </c>
      <c r="E32" s="348"/>
      <c r="F32" s="346">
        <v>4529</v>
      </c>
      <c r="G32" s="346">
        <v>28636</v>
      </c>
      <c r="H32" s="347">
        <v>15.81575639055734</v>
      </c>
      <c r="I32" s="348"/>
      <c r="J32" s="346">
        <v>4884</v>
      </c>
      <c r="K32" s="346">
        <v>29143</v>
      </c>
      <c r="L32" s="347">
        <v>16.758741378718732</v>
      </c>
      <c r="M32" s="348"/>
      <c r="N32" s="346">
        <v>4666</v>
      </c>
      <c r="O32" s="346">
        <v>29598.999999999996</v>
      </c>
      <c r="P32" s="349">
        <v>15.764046082637929</v>
      </c>
    </row>
    <row r="33" spans="1:17">
      <c r="A33" s="75" t="s">
        <v>25</v>
      </c>
      <c r="B33" s="346">
        <v>3849</v>
      </c>
      <c r="C33" s="346">
        <v>26980</v>
      </c>
      <c r="D33" s="347">
        <v>14.266123054114157</v>
      </c>
      <c r="E33" s="348"/>
      <c r="F33" s="346">
        <v>5112</v>
      </c>
      <c r="G33" s="346">
        <v>27792</v>
      </c>
      <c r="H33" s="347">
        <v>18.393782383419687</v>
      </c>
      <c r="I33" s="348"/>
      <c r="J33" s="346">
        <v>5294</v>
      </c>
      <c r="K33" s="346">
        <v>26598</v>
      </c>
      <c r="L33" s="347">
        <v>19.90375216181668</v>
      </c>
      <c r="M33" s="348"/>
      <c r="N33" s="346">
        <v>2598</v>
      </c>
      <c r="O33" s="346">
        <v>24940</v>
      </c>
      <c r="P33" s="349">
        <v>10.417000801924619</v>
      </c>
    </row>
    <row r="34" spans="1:17">
      <c r="A34" s="75" t="s">
        <v>28</v>
      </c>
      <c r="B34" s="346">
        <v>58885</v>
      </c>
      <c r="C34" s="346">
        <v>244347.00000000003</v>
      </c>
      <c r="D34" s="347">
        <v>24.098924889603719</v>
      </c>
      <c r="E34" s="348"/>
      <c r="F34" s="346">
        <v>56611</v>
      </c>
      <c r="G34" s="346">
        <v>251675.99999999997</v>
      </c>
      <c r="H34" s="347">
        <v>22.493602886250578</v>
      </c>
      <c r="I34" s="348"/>
      <c r="J34" s="346">
        <v>63040</v>
      </c>
      <c r="K34" s="346">
        <v>258469</v>
      </c>
      <c r="L34" s="347">
        <v>24.389772080984567</v>
      </c>
      <c r="M34" s="348"/>
      <c r="N34" s="346">
        <v>52180</v>
      </c>
      <c r="O34" s="346">
        <v>253502</v>
      </c>
      <c r="P34" s="349">
        <v>20.583664034208805</v>
      </c>
    </row>
    <row r="35" spans="1:17">
      <c r="A35" s="75" t="s">
        <v>30</v>
      </c>
      <c r="B35" s="346">
        <v>5806</v>
      </c>
      <c r="C35" s="346">
        <v>24289</v>
      </c>
      <c r="D35" s="347">
        <v>23.903824776647863</v>
      </c>
      <c r="E35" s="348"/>
      <c r="F35" s="346">
        <v>5225</v>
      </c>
      <c r="G35" s="346">
        <v>23642</v>
      </c>
      <c r="H35" s="347">
        <v>22.100499111750274</v>
      </c>
      <c r="I35" s="348"/>
      <c r="J35" s="346">
        <v>3408</v>
      </c>
      <c r="K35" s="346">
        <v>22769</v>
      </c>
      <c r="L35" s="347">
        <v>14.967719267425009</v>
      </c>
      <c r="M35" s="348"/>
      <c r="N35" s="346">
        <v>4346</v>
      </c>
      <c r="O35" s="346">
        <v>23638</v>
      </c>
      <c r="P35" s="349">
        <v>18.385650224215247</v>
      </c>
    </row>
    <row r="36" spans="1:17">
      <c r="A36" s="75" t="s">
        <v>35</v>
      </c>
      <c r="B36" s="346">
        <v>19365</v>
      </c>
      <c r="C36" s="346">
        <v>113930</v>
      </c>
      <c r="D36" s="347">
        <v>16.99727903098394</v>
      </c>
      <c r="E36" s="348"/>
      <c r="F36" s="346">
        <v>22220</v>
      </c>
      <c r="G36" s="346">
        <v>105711.99999999999</v>
      </c>
      <c r="H36" s="347">
        <v>21.019373391857123</v>
      </c>
      <c r="I36" s="348"/>
      <c r="J36" s="346">
        <v>29844</v>
      </c>
      <c r="K36" s="346">
        <v>110043</v>
      </c>
      <c r="L36" s="347">
        <v>27.120307516152774</v>
      </c>
      <c r="M36" s="348"/>
      <c r="N36" s="346">
        <v>26950</v>
      </c>
      <c r="O36" s="346">
        <v>113707</v>
      </c>
      <c r="P36" s="349">
        <v>23.701267292251138</v>
      </c>
    </row>
    <row r="37" spans="1:17">
      <c r="A37" s="75" t="s">
        <v>38</v>
      </c>
      <c r="B37" s="346">
        <v>10724</v>
      </c>
      <c r="C37" s="346">
        <v>58901</v>
      </c>
      <c r="D37" s="347">
        <v>18.206821615931819</v>
      </c>
      <c r="E37" s="348"/>
      <c r="F37" s="346">
        <v>9422</v>
      </c>
      <c r="G37" s="346">
        <v>57129</v>
      </c>
      <c r="H37" s="347">
        <v>16.492499431112044</v>
      </c>
      <c r="I37" s="348"/>
      <c r="J37" s="346">
        <v>10704</v>
      </c>
      <c r="K37" s="346">
        <v>59902</v>
      </c>
      <c r="L37" s="347">
        <v>17.869186337684887</v>
      </c>
      <c r="M37" s="348"/>
      <c r="N37" s="346">
        <v>11071</v>
      </c>
      <c r="O37" s="346">
        <v>59379</v>
      </c>
      <c r="P37" s="349">
        <v>18.64463867697334</v>
      </c>
    </row>
    <row r="38" spans="1:17">
      <c r="A38" s="75" t="s">
        <v>42</v>
      </c>
      <c r="B38" s="346">
        <v>16683</v>
      </c>
      <c r="C38" s="346">
        <v>107768</v>
      </c>
      <c r="D38" s="347">
        <v>15.480476579318536</v>
      </c>
      <c r="E38" s="348"/>
      <c r="F38" s="346">
        <v>18365</v>
      </c>
      <c r="G38" s="346">
        <v>103824</v>
      </c>
      <c r="H38" s="347">
        <v>17.688588380335954</v>
      </c>
      <c r="I38" s="348"/>
      <c r="J38" s="346">
        <v>19478</v>
      </c>
      <c r="K38" s="346">
        <v>106115</v>
      </c>
      <c r="L38" s="347">
        <v>18.355557649719646</v>
      </c>
      <c r="M38" s="348"/>
      <c r="N38" s="346">
        <v>16803</v>
      </c>
      <c r="O38" s="346">
        <v>106208</v>
      </c>
      <c r="P38" s="349">
        <v>15.820842121120821</v>
      </c>
    </row>
    <row r="39" spans="1:17">
      <c r="A39" s="75" t="s">
        <v>44</v>
      </c>
      <c r="B39" s="346">
        <v>7343</v>
      </c>
      <c r="C39" s="346">
        <v>31726</v>
      </c>
      <c r="D39" s="347">
        <v>23.145054529408057</v>
      </c>
      <c r="E39" s="348"/>
      <c r="F39" s="346">
        <v>5557</v>
      </c>
      <c r="G39" s="346">
        <v>29214</v>
      </c>
      <c r="H39" s="347">
        <v>19.021701923735197</v>
      </c>
      <c r="I39" s="348"/>
      <c r="J39" s="346">
        <v>5322</v>
      </c>
      <c r="K39" s="346">
        <v>28422</v>
      </c>
      <c r="L39" s="347">
        <v>18.724931391175851</v>
      </c>
      <c r="M39" s="348"/>
      <c r="N39" s="346">
        <v>4870</v>
      </c>
      <c r="O39" s="346">
        <v>28263</v>
      </c>
      <c r="P39" s="349">
        <v>17.231008739341188</v>
      </c>
    </row>
    <row r="40" spans="1:17">
      <c r="A40" s="75" t="s">
        <v>45</v>
      </c>
      <c r="B40" s="346">
        <v>9183</v>
      </c>
      <c r="C40" s="346">
        <v>60013</v>
      </c>
      <c r="D40" s="347">
        <v>15.301684634995752</v>
      </c>
      <c r="E40" s="348"/>
      <c r="F40" s="346">
        <v>9044</v>
      </c>
      <c r="G40" s="346">
        <v>58952</v>
      </c>
      <c r="H40" s="347">
        <v>15.341294612566156</v>
      </c>
      <c r="I40" s="348"/>
      <c r="J40" s="346">
        <v>10243</v>
      </c>
      <c r="K40" s="346">
        <v>56255</v>
      </c>
      <c r="L40" s="347">
        <v>18.208159274731134</v>
      </c>
      <c r="M40" s="348"/>
      <c r="N40" s="346">
        <v>10412</v>
      </c>
      <c r="O40" s="346">
        <v>61709.000000000007</v>
      </c>
      <c r="P40" s="349">
        <v>16.872741415352703</v>
      </c>
    </row>
    <row r="41" spans="1:17">
      <c r="A41" s="75" t="s">
        <v>48</v>
      </c>
      <c r="B41" s="346">
        <f>SUM(B32:B39)</f>
        <v>126827</v>
      </c>
      <c r="C41" s="346">
        <f>SUM(C32:C39)</f>
        <v>638242</v>
      </c>
      <c r="D41" s="347">
        <f>(B41/C41)*100</f>
        <v>19.871302734699377</v>
      </c>
      <c r="E41" s="348"/>
      <c r="F41" s="346">
        <f>SUM(F32:F39)</f>
        <v>127041</v>
      </c>
      <c r="G41" s="346">
        <f>SUM(G32:G39)</f>
        <v>627625</v>
      </c>
      <c r="H41" s="347">
        <f>(F41/G41)*100</f>
        <v>20.241545508862778</v>
      </c>
      <c r="I41" s="348"/>
      <c r="J41" s="346">
        <f>SUM(J32:J39)</f>
        <v>141974</v>
      </c>
      <c r="K41" s="346">
        <f>SUM(K32:K39)</f>
        <v>641461</v>
      </c>
      <c r="L41" s="347">
        <f>(J41/K41)*100</f>
        <v>22.132912211342546</v>
      </c>
      <c r="M41" s="348"/>
      <c r="N41" s="346">
        <f>SUM(N32:N39)</f>
        <v>123484</v>
      </c>
      <c r="O41" s="346">
        <f>SUM(O32:O39)</f>
        <v>639236</v>
      </c>
      <c r="P41" s="347">
        <f>SUM(N41/O41)*100</f>
        <v>19.317435188255981</v>
      </c>
    </row>
    <row r="42" spans="1:17" customFormat="1">
      <c r="A42" s="10" t="s">
        <v>156</v>
      </c>
      <c r="B42" s="350" cm="1">
        <f t="array" ref="B42">SUM(SUMIFS(B$9:B$41,$A$9:$A$41,{"Aberdeen City","Aberdeenshire"}))</f>
        <v>23541</v>
      </c>
      <c r="C42" s="350" cm="1">
        <f t="array" ref="C42">SUM(SUMIFS(C$9:C$41,$A$9:$A$41,{"Aberdeen City","Aberdeenshire"}))</f>
        <v>167214</v>
      </c>
      <c r="D42" s="351">
        <f>SUM(B42/C42)*100</f>
        <v>14.078366643941298</v>
      </c>
      <c r="E42" s="350"/>
      <c r="F42" s="350" cm="1">
        <f t="array" ref="F42">SUM(SUMIFS(F$9:F$41,$A$9:$A$41,{"Aberdeen City","Aberdeenshire"}))</f>
        <v>22737</v>
      </c>
      <c r="G42" s="350" cm="1">
        <f t="array" ref="G42">SUM(SUMIFS(G$9:G$41,$A$9:$A$41,{"Aberdeen City","Aberdeenshire"}))</f>
        <v>160607</v>
      </c>
      <c r="H42" s="351">
        <f>SUM(F42/G42)*100</f>
        <v>14.15691719538999</v>
      </c>
      <c r="I42" s="350"/>
      <c r="J42" s="350" cm="1">
        <f t="array" ref="J42">SUM(SUMIFS(J$9:J$41,$A$9:$A$41,{"Aberdeen City","Aberdeenshire"}))</f>
        <v>20490</v>
      </c>
      <c r="K42" s="350" cm="1">
        <f t="array" ref="K42">SUM(SUMIFS(K$9:K$41,$A$9:$A$41,{"Aberdeen City","Aberdeenshire"}))</f>
        <v>154246</v>
      </c>
      <c r="L42" s="351">
        <f>SUM(J42/K42)*100</f>
        <v>13.283974949107268</v>
      </c>
      <c r="M42" s="350"/>
      <c r="N42" s="350" cm="1">
        <f t="array" ref="N42">SUM(SUMIFS(N$9:N$41,$A$9:$A$41,{"Aberdeen City","Aberdeenshire"}))</f>
        <v>25168</v>
      </c>
      <c r="O42" s="350" cm="1">
        <f t="array" ref="O42">SUM(SUMIFS(O$9:O$41,$A$9:$A$41,{"Aberdeen City","Aberdeenshire"}))</f>
        <v>160625</v>
      </c>
      <c r="P42" s="347">
        <f t="shared" ref="P42:P50" si="0">SUM(N42/O42)*100</f>
        <v>15.668793774319067</v>
      </c>
      <c r="Q42" s="15"/>
    </row>
    <row r="43" spans="1:17" customFormat="1">
      <c r="A43" s="10" t="s">
        <v>359</v>
      </c>
      <c r="B43" s="352" cm="1">
        <f t="array" ref="B43">SUM(SUMIFS(B$9:B$41,$A$9:$A$41,{"Falkirk","Stirling","Clackmannanshire"}))</f>
        <v>20588</v>
      </c>
      <c r="C43" s="352" cm="1">
        <f t="array" ref="C43">SUM(SUMIFS(C$9:C$41,$A$9:$A$41,{"Falkirk","Stirling","Clackmannanshire"}))</f>
        <v>101248</v>
      </c>
      <c r="D43" s="353">
        <f t="shared" ref="D43" si="1">SUM(B43/C43)*100</f>
        <v>20.334228824273072</v>
      </c>
      <c r="E43" s="351"/>
      <c r="F43" s="352" cm="1">
        <f t="array" ref="F43">SUM(SUMIFS(F$9:F$41,$A$9:$A$41,{"Falkirk","Stirling","Clackmannanshire"}))</f>
        <v>15765</v>
      </c>
      <c r="G43" s="352" cm="1">
        <f t="array" ref="G43">SUM(SUMIFS(G$9:G$41,$A$9:$A$41,{"Falkirk","Stirling","Clackmannanshire"}))</f>
        <v>92257</v>
      </c>
      <c r="H43" s="353">
        <f t="shared" ref="H43" si="2">SUM(F43/G43)*100</f>
        <v>17.08813423371668</v>
      </c>
      <c r="I43" s="351"/>
      <c r="J43" s="352" cm="1">
        <f t="array" ref="J43">SUM(SUMIFS(J$9:J$41,$A$9:$A$41,{"Falkirk","Stirling","Clackmannanshire"}))</f>
        <v>13285</v>
      </c>
      <c r="K43" s="352" cm="1">
        <f t="array" ref="K43">SUM(SUMIFS(K$9:K$41,$A$9:$A$41,{"Falkirk","Stirling","Clackmannanshire"}))</f>
        <v>86989</v>
      </c>
      <c r="L43" s="353">
        <f t="shared" ref="L43" si="3">SUM(J43/K43)*100</f>
        <v>15.272045890859765</v>
      </c>
      <c r="M43" s="351"/>
      <c r="N43" s="352" cm="1">
        <f t="array" ref="N43">SUM(SUMIFS(N$9:N$41,$A$9:$A$41,{"Falkirk","Stirling","Clackmannanshire"}))</f>
        <v>16041</v>
      </c>
      <c r="O43" s="352" cm="1">
        <f t="array" ref="O43">SUM(SUMIFS(O$9:O$41,$A$9:$A$41,{"Falkirk","Stirling","Clackmannanshire"}))</f>
        <v>98541</v>
      </c>
      <c r="P43" s="347">
        <f t="shared" si="0"/>
        <v>16.278503364081956</v>
      </c>
      <c r="Q43" s="7"/>
    </row>
    <row r="44" spans="1:17" customFormat="1">
      <c r="A44" s="10" t="s">
        <v>157</v>
      </c>
      <c r="B44" s="352" cm="1">
        <f t="array" ref="B44">SUM(SUMIFS(B$9:B$41,$A$9:$A$41,{"East Lothian","Edinburgh, City of","Fife","Midlothian","Scottish Borders","West Lothian"}))</f>
        <v>72901</v>
      </c>
      <c r="C44" s="352" cm="1">
        <f t="array" ref="C44">SUM(SUMIFS(C$9:C$41,$A$9:$A$41,{"East Lothian","Edinburgh, City of","Fife","Midlothian","Scottish Borders","West Lothian"}))</f>
        <v>473989</v>
      </c>
      <c r="D44" s="351">
        <f>SUM(B44/C44)*100</f>
        <v>15.380314733042328</v>
      </c>
      <c r="E44" s="350"/>
      <c r="F44" s="352" cm="1">
        <f t="array" ref="F44">SUM(SUMIFS(F$9:F$41,$A$9:$A$41,{"East Lothian","Edinburgh, City of","Fife","Midlothian","Scottish Borders","West Lothian"}))</f>
        <v>83214</v>
      </c>
      <c r="G44" s="352" cm="1">
        <f t="array" ref="G44">SUM(SUMIFS(G$9:G$41,$A$9:$A$41,{"East Lothian","Edinburgh, City of","Fife","Midlothian","Scottish Borders","West Lothian"}))</f>
        <v>479530</v>
      </c>
      <c r="H44" s="351">
        <f>SUM(F44/G44)*100</f>
        <v>17.353241715846767</v>
      </c>
      <c r="I44" s="350"/>
      <c r="J44" s="352" cm="1">
        <f t="array" ref="J44">SUM(SUMIFS(J$9:J$41,$A$9:$A$41,{"East Lothian","Edinburgh, City of","Fife","Midlothian","Scottish Borders","West Lothian"}))</f>
        <v>76443</v>
      </c>
      <c r="K44" s="352" cm="1">
        <f t="array" ref="K44">SUM(SUMIFS(K$9:K$41,$A$9:$A$41,{"East Lothian","Edinburgh, City of","Fife","Midlothian","Scottish Borders","West Lothian"}))</f>
        <v>479803</v>
      </c>
      <c r="L44" s="351">
        <f>SUM(J44/K44)*100</f>
        <v>15.932163825570079</v>
      </c>
      <c r="M44" s="350"/>
      <c r="N44" s="352" cm="1">
        <f t="array" ref="N44">SUM(SUMIFS(N$9:N$41,$A$9:$A$41,{"East Lothian","Edinburgh, City of","Fife","Midlothian","Scottish Borders","West Lothian"}))</f>
        <v>75528</v>
      </c>
      <c r="O44" s="352" cm="1">
        <f t="array" ref="O44">SUM(SUMIFS(O$9:O$41,$A$9:$A$41,{"East Lothian","Edinburgh, City of","Fife","Midlothian","Scottish Borders","West Lothian"}))</f>
        <v>484889</v>
      </c>
      <c r="P44" s="347">
        <f t="shared" si="0"/>
        <v>15.576348401386708</v>
      </c>
      <c r="Q44" s="15"/>
    </row>
    <row r="45" spans="1:17" customFormat="1">
      <c r="A45" s="10" t="s">
        <v>158</v>
      </c>
      <c r="B45" s="352" cm="1">
        <f t="array" ref="B45">SUM(SUMIFS(B$9:B$41,$A$9:$A$41,{"Angus","Dundee City","Fife","Perth and Kinross"}))</f>
        <v>46443</v>
      </c>
      <c r="C45" s="352" cm="1">
        <f t="array" ref="C45">SUM(SUMIFS(C$9:C$41,$A$9:$A$41,{"Angus","Dundee City","Fife","Perth and Kinross"}))</f>
        <v>261900</v>
      </c>
      <c r="D45" s="351">
        <f>SUM(B45/C45)*100</f>
        <v>17.733104238258875</v>
      </c>
      <c r="E45" s="350"/>
      <c r="F45" s="352" cm="1">
        <f t="array" ref="F45">SUM(SUMIFS(F$9:F$41,$A$9:$A$41,{"Angus","Dundee City","Fife","Perth and Kinross"}))</f>
        <v>51626</v>
      </c>
      <c r="G45" s="352" cm="1">
        <f t="array" ref="G45">SUM(SUMIFS(G$9:G$41,$A$9:$A$41,{"Angus","Dundee City","Fife","Perth and Kinross"}))</f>
        <v>258427</v>
      </c>
      <c r="H45" s="351">
        <f>SUM(F45/G45)*100</f>
        <v>19.977014785606766</v>
      </c>
      <c r="I45" s="350"/>
      <c r="J45" s="352" cm="1">
        <f t="array" ref="J45">SUM(SUMIFS(J$9:J$41,$A$9:$A$41,{"Angus","Dundee City","Fife","Perth and Kinross"}))</f>
        <v>49177</v>
      </c>
      <c r="K45" s="352" cm="1">
        <f t="array" ref="K45">SUM(SUMIFS(K$9:K$41,$A$9:$A$41,{"Angus","Dundee City","Fife","Perth and Kinross"}))</f>
        <v>247305</v>
      </c>
      <c r="L45" s="351">
        <f>SUM(J45/K45)*100</f>
        <v>19.885162046865208</v>
      </c>
      <c r="M45" s="350"/>
      <c r="N45" s="352" cm="1">
        <f t="array" ref="N45">SUM(SUMIFS(N$9:N$41,$A$9:$A$41,{"Angus","Dundee City","Fife","Perth and Kinross"}))</f>
        <v>43776</v>
      </c>
      <c r="O45" s="352" cm="1">
        <f t="array" ref="O45">SUM(SUMIFS(O$9:O$41,$A$9:$A$41,{"Angus","Dundee City","Fife","Perth and Kinross"}))</f>
        <v>249710</v>
      </c>
      <c r="P45" s="347">
        <f t="shared" si="0"/>
        <v>17.530735653357894</v>
      </c>
      <c r="Q45" s="15"/>
    </row>
    <row r="46" spans="1:17">
      <c r="A46" s="75" t="s">
        <v>46</v>
      </c>
      <c r="B46" s="346">
        <v>308722</v>
      </c>
      <c r="C46" s="346">
        <v>1804224.0000000002</v>
      </c>
      <c r="D46" s="347">
        <v>17.111068248731865</v>
      </c>
      <c r="E46" s="348"/>
      <c r="F46" s="346">
        <v>319006</v>
      </c>
      <c r="G46" s="346">
        <v>1806146.9999999998</v>
      </c>
      <c r="H46" s="347">
        <v>17.662239009338666</v>
      </c>
      <c r="I46" s="348"/>
      <c r="J46" s="346">
        <v>329209</v>
      </c>
      <c r="K46" s="346">
        <v>1772240</v>
      </c>
      <c r="L46" s="347">
        <v>18.57587008531576</v>
      </c>
      <c r="M46" s="348"/>
      <c r="N46" s="346">
        <v>320089</v>
      </c>
      <c r="O46" s="346">
        <v>1800231</v>
      </c>
      <c r="P46" s="347">
        <v>17.78044039903768</v>
      </c>
    </row>
    <row r="47" spans="1:17">
      <c r="A47" s="242" t="s">
        <v>246</v>
      </c>
      <c r="B47" s="352" cm="1">
        <f t="array" ref="B47">SUM(SUMIFS(B$9:B$41,$A$9:$A$41,{"Na h-Eileanan Siar","Argyll and Bute","Shetland Islands","Highland","Orkney Islands","Scottish Borders","Dumfries and Galloway","Aberdeenshire"}))</f>
        <v>36882</v>
      </c>
      <c r="C47" s="352">
        <f>SUM(SUMIFS(C$9:C$41,$A$9:$A$41,{"Na h-Eileanan Siar","Argyll and Bute","Shetland Islands","Highland","Orkney Islands","Scottish Borders","Dumfries and Galloway","Aberdeenshire"}))</f>
        <v>248738</v>
      </c>
      <c r="D47" s="353">
        <f t="shared" ref="D47:D50" si="4">SUM(B47/C47)*100</f>
        <v>14.827649977084324</v>
      </c>
      <c r="E47" s="351"/>
      <c r="F47" s="352">
        <f>SUM(SUMIFS(F$9:F$41,$A$9:$A$41,{"Na h-Eileanan Siar","Argyll and Bute","Shetland Islands","Highland","Orkney Islands","Scottish Borders","Dumfries and Galloway","Aberdeenshire"}))</f>
        <v>37654</v>
      </c>
      <c r="G47" s="352">
        <f>SUM(SUMIFS(G$9:G$41,$A$9:$A$41,{"Na h-Eileanan Siar","Argyll and Bute","Shetland Islands","Highland","Orkney Islands","Scottish Borders","Dumfries and Galloway","Aberdeenshire"}))</f>
        <v>250281</v>
      </c>
      <c r="H47" s="353">
        <f t="shared" ref="H47:H50" si="5">SUM(F47/G47)*100</f>
        <v>15.044689768699982</v>
      </c>
      <c r="I47" s="351"/>
      <c r="J47" s="352">
        <f>SUM(SUMIFS(J$9:J$41,$A$9:$A$41,{"Na h-Eileanan Siar","Argyll and Bute","Shetland Islands","Highland","Orkney Islands","Scottish Borders","Dumfries and Galloway","Aberdeenshire"}))</f>
        <v>43922</v>
      </c>
      <c r="K47" s="352">
        <f>SUM(SUMIFS(K$9:K$41,$A$9:$A$41,{"Na h-Eileanan Siar","Argyll and Bute","Shetland Islands","Highland","Orkney Islands","Scottish Borders","Dumfries and Galloway","Aberdeenshire"}))</f>
        <v>249860</v>
      </c>
      <c r="L47" s="353">
        <f t="shared" ref="L47:L50" si="6">SUM(J47/K47)*100</f>
        <v>17.578644040662773</v>
      </c>
      <c r="M47" s="351"/>
      <c r="N47" s="352">
        <f>SUM(SUMIFS(N$9:N$41,$A$9:$A$41,{"Na h-Eileanan Siar","Argyll and Bute","Shetland Islands","Highland","Orkney Islands","Scottish Borders","Dumfries and Galloway","Aberdeenshire"}))</f>
        <v>41335</v>
      </c>
      <c r="O47" s="352">
        <f>SUM(SUMIFS(O$9:O$41,$A$9:$A$41,{"Na h-Eileanan Siar","Argyll and Bute","Shetland Islands","Highland","Orkney Islands","Scottish Borders","Dumfries and Galloway","Aberdeenshire"}))</f>
        <v>258563</v>
      </c>
      <c r="P47" s="347">
        <f t="shared" si="0"/>
        <v>15.986432706922491</v>
      </c>
    </row>
    <row r="48" spans="1:17">
      <c r="A48" s="242" t="s">
        <v>247</v>
      </c>
      <c r="B48" s="352">
        <f>SUM(SUMIFS(B$9:B$41,$A$9:$A$41,{"Perth and Kinross","Stirling","Moray","South Ayrshire","East Ayrshire","East Lothian","North Ayrshire","Fife"}))</f>
        <v>65399</v>
      </c>
      <c r="C48" s="352">
        <f>SUM(SUMIFS(C$9:C$41,$A$9:$A$41,{"Perth and Kinross","Stirling","Moray","South Ayrshire","East Ayrshire","East Lothian","North Ayrshire","Fife"}))</f>
        <v>379447</v>
      </c>
      <c r="D48" s="353">
        <f t="shared" si="4"/>
        <v>17.235345120662437</v>
      </c>
      <c r="E48" s="351"/>
      <c r="F48" s="352">
        <f>SUM(SUMIFS(F$9:F$41,$A$9:$A$41,{"Perth and Kinross","Stirling","Moray","South Ayrshire","East Ayrshire","East Lothian","North Ayrshire","Fife"}))</f>
        <v>71198</v>
      </c>
      <c r="G48" s="352">
        <f>SUM(SUMIFS(G$9:G$41,$A$9:$A$41,{"Perth and Kinross","Stirling","Moray","South Ayrshire","East Ayrshire","East Lothian","North Ayrshire","Fife"}))</f>
        <v>371565</v>
      </c>
      <c r="H48" s="353">
        <f t="shared" si="5"/>
        <v>19.161654084749642</v>
      </c>
      <c r="I48" s="351"/>
      <c r="J48" s="352">
        <f>SUM(SUMIFS(J$9:J$41,$A$9:$A$41,{"Perth and Kinross","Stirling","Moray","South Ayrshire","East Ayrshire","East Lothian","North Ayrshire","Fife"}))</f>
        <v>68889</v>
      </c>
      <c r="K48" s="352">
        <f>SUM(SUMIFS(K$9:K$41,$A$9:$A$41,{"Perth and Kinross","Stirling","Moray","South Ayrshire","East Ayrshire","East Lothian","North Ayrshire","Fife"}))</f>
        <v>364971</v>
      </c>
      <c r="L48" s="353">
        <f t="shared" si="6"/>
        <v>18.875198303426849</v>
      </c>
      <c r="M48" s="351"/>
      <c r="N48" s="352">
        <f>SUM(SUMIFS(N$9:N$41,$A$9:$A$41,{"Perth and Kinross","Stirling","Moray","South Ayrshire","East Ayrshire","East Lothian","North Ayrshire","Fife"}))</f>
        <v>67027</v>
      </c>
      <c r="O48" s="352">
        <f>SUM(SUMIFS(O$9:O$41,$A$9:$A$41,{"Perth and Kinross","Stirling","Moray","South Ayrshire","East Ayrshire","East Lothian","North Ayrshire","Fife"}))</f>
        <v>368642</v>
      </c>
      <c r="P48" s="347">
        <f t="shared" si="0"/>
        <v>18.18213876877838</v>
      </c>
    </row>
    <row r="49" spans="1:16">
      <c r="A49" s="242" t="s">
        <v>248</v>
      </c>
      <c r="B49" s="352">
        <f>SUM(SUMIFS(B$9:B$41,$A$9:$A$41,{"Angus","Clackmannanshire","Midlothian","South Lanarkshire","Inverclyde","Renfrewshire","West Lothian","East Renfrewshire"}))</f>
        <v>58917</v>
      </c>
      <c r="C49" s="352">
        <f>SUM(SUMIFS(C$9:C$41,$A$9:$A$41,{"Angus","Clackmannanshire","Midlothian","South Lanarkshire","Inverclyde","Renfrewshire","West Lothian","East Renfrewshire"}))</f>
        <v>360528</v>
      </c>
      <c r="D49" s="353">
        <f t="shared" si="4"/>
        <v>16.341865264279058</v>
      </c>
      <c r="E49" s="351"/>
      <c r="F49" s="352">
        <f>SUM(SUMIFS(F$9:F$41,$A$9:$A$41,{"Angus","Clackmannanshire","Midlothian","South Lanarkshire","Inverclyde","Renfrewshire","West Lothian","East Renfrewshire"}))</f>
        <v>59534</v>
      </c>
      <c r="G49" s="352">
        <f>SUM(SUMIFS(G$9:G$41,$A$9:$A$41,{"Angus","Clackmannanshire","Midlothian","South Lanarkshire","Inverclyde","Renfrewshire","West Lothian","East Renfrewshire"}))</f>
        <v>349553</v>
      </c>
      <c r="H49" s="353">
        <f t="shared" si="5"/>
        <v>17.031465900736084</v>
      </c>
      <c r="I49" s="351"/>
      <c r="J49" s="352">
        <f>SUM(SUMIFS(J$9:J$41,$A$9:$A$41,{"Angus","Clackmannanshire","Midlothian","South Lanarkshire","Inverclyde","Renfrewshire","West Lothian","East Renfrewshire"}))</f>
        <v>61604</v>
      </c>
      <c r="K49" s="352">
        <f>SUM(SUMIFS(K$9:K$41,$A$9:$A$41,{"Angus","Clackmannanshire","Midlothian","South Lanarkshire","Inverclyde","Renfrewshire","West Lothian","East Renfrewshire"}))</f>
        <v>347253</v>
      </c>
      <c r="L49" s="353">
        <f t="shared" si="6"/>
        <v>17.740379492761761</v>
      </c>
      <c r="M49" s="351"/>
      <c r="N49" s="352">
        <f>SUM(SUMIFS(N$9:N$41,$A$9:$A$41,{"Angus","Clackmannanshire","Midlothian","South Lanarkshire","Inverclyde","Renfrewshire","West Lothian","East Renfrewshire"}))</f>
        <v>59260</v>
      </c>
      <c r="O49" s="352">
        <f>SUM(SUMIFS(O$9:O$41,$A$9:$A$41,{"Angus","Clackmannanshire","Midlothian","South Lanarkshire","Inverclyde","Renfrewshire","West Lothian","East Renfrewshire"}))</f>
        <v>352942</v>
      </c>
      <c r="P49" s="347">
        <f t="shared" si="0"/>
        <v>16.790294155980305</v>
      </c>
    </row>
    <row r="50" spans="1:16">
      <c r="A50" s="242" t="s">
        <v>249</v>
      </c>
      <c r="B50" s="352">
        <f>SUM(SUMIFS(B$9:B$41,$A$9:$A$41,{"North Lanarkshire","Falkirk","East Dunbartonshire","Aberdeen City","Edinburgh, City of","West Dunbartonshire","Dundee City","Glasgow City"}))</f>
        <v>157016</v>
      </c>
      <c r="C50" s="352">
        <f>SUM(SUMIFS(C$9:C$41,$A$9:$A$41,{"North Lanarkshire","Falkirk","East Dunbartonshire","Aberdeen City","Edinburgh, City of","West Dunbartonshire","Dundee City","Glasgow City"}))</f>
        <v>805296</v>
      </c>
      <c r="D50" s="353">
        <f t="shared" si="4"/>
        <v>19.497923744809363</v>
      </c>
      <c r="E50" s="351"/>
      <c r="F50" s="352">
        <f>SUM(SUMIFS(F$9:F$41,$A$9:$A$41,{"North Lanarkshire","Falkirk","East Dunbartonshire","Aberdeen City","Edinburgh, City of","West Dunbartonshire","Dundee City","Glasgow City"}))</f>
        <v>151602</v>
      </c>
      <c r="G50" s="352">
        <f>SUM(SUMIFS(G$9:G$41,$A$9:$A$41,{"North Lanarkshire","Falkirk","East Dunbartonshire","Aberdeen City","Edinburgh, City of","West Dunbartonshire","Dundee City","Glasgow City"}))</f>
        <v>794456</v>
      </c>
      <c r="H50" s="353">
        <f t="shared" si="5"/>
        <v>19.082491667254072</v>
      </c>
      <c r="I50" s="351"/>
      <c r="J50" s="352">
        <f>SUM(SUMIFS(J$9:J$41,$A$9:$A$41,{"North Lanarkshire","Falkirk","East Dunbartonshire","Aberdeen City","Edinburgh, City of","West Dunbartonshire","Dundee City","Glasgow City"}))</f>
        <v>154794</v>
      </c>
      <c r="K50" s="352">
        <f>SUM(SUMIFS(K$9:K$41,$A$9:$A$41,{"North Lanarkshire","Falkirk","East Dunbartonshire","Aberdeen City","Edinburgh, City of","West Dunbartonshire","Dundee City","Glasgow City"}))</f>
        <v>810156</v>
      </c>
      <c r="L50" s="353">
        <f t="shared" si="6"/>
        <v>19.106690563298919</v>
      </c>
      <c r="M50" s="351"/>
      <c r="N50" s="352">
        <f>SUM(SUMIFS(N$9:N$41,$A$9:$A$41,{"North Lanarkshire","Falkirk","East Dunbartonshire","Aberdeen City","Edinburgh, City of","West Dunbartonshire","Dundee City","Glasgow City"}))</f>
        <v>152467</v>
      </c>
      <c r="O50" s="352">
        <f>SUM(SUMIFS(O$9:O$41,$A$9:$A$41,{"North Lanarkshire","Falkirk","East Dunbartonshire","Aberdeen City","Edinburgh, City of","West Dunbartonshire","Dundee City","Glasgow City"}))</f>
        <v>820084</v>
      </c>
      <c r="P50" s="347">
        <f t="shared" si="0"/>
        <v>18.591632076714092</v>
      </c>
    </row>
    <row r="51" spans="1:16">
      <c r="A51" s="75" t="s">
        <v>47</v>
      </c>
      <c r="B51" s="346">
        <v>3038649</v>
      </c>
      <c r="C51" s="346">
        <v>20969689</v>
      </c>
      <c r="D51" s="347">
        <v>14.49067270382503</v>
      </c>
      <c r="E51" s="348"/>
      <c r="F51" s="346">
        <v>2960031</v>
      </c>
      <c r="G51" s="346">
        <v>21122927</v>
      </c>
      <c r="H51" s="347">
        <v>14.013356198220068</v>
      </c>
      <c r="I51" s="348"/>
      <c r="J51" s="346">
        <v>2970506</v>
      </c>
      <c r="K51" s="346">
        <v>21015046</v>
      </c>
      <c r="L51" s="347">
        <v>14.135139175997995</v>
      </c>
      <c r="M51" s="348"/>
      <c r="N51" s="346">
        <v>2953765</v>
      </c>
      <c r="O51" s="352">
        <v>21213593</v>
      </c>
      <c r="P51" s="349">
        <v>13.923926041194438</v>
      </c>
    </row>
    <row r="53" spans="1:16">
      <c r="B53" s="76"/>
    </row>
  </sheetData>
  <conditionalFormatting sqref="A1:XFD1048576">
    <cfRule type="expression" dxfId="84"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autoPageBreaks="0"/>
  </sheetPr>
  <dimension ref="A1:Q518"/>
  <sheetViews>
    <sheetView showGridLines="0" zoomScale="80" zoomScaleNormal="80" workbookViewId="0">
      <selection activeCell="N33" sqref="N33"/>
    </sheetView>
  </sheetViews>
  <sheetFormatPr defaultColWidth="9.140625" defaultRowHeight="12.75"/>
  <cols>
    <col min="1" max="1" width="24.42578125" style="62" bestFit="1" customWidth="1"/>
    <col min="2" max="3" width="13.85546875" style="62" customWidth="1"/>
    <col min="4" max="4" width="23.7109375" style="62" customWidth="1"/>
    <col min="5" max="16" width="13.85546875" style="62" customWidth="1"/>
    <col min="17" max="16384" width="9.140625" style="62"/>
  </cols>
  <sheetData>
    <row r="1" spans="1:16" ht="15">
      <c r="B1" t="s">
        <v>185</v>
      </c>
      <c r="E1" s="70"/>
    </row>
    <row r="2" spans="1:16">
      <c r="B2" s="69"/>
    </row>
    <row r="3" spans="1:16" ht="15">
      <c r="B3" s="68" t="s">
        <v>184</v>
      </c>
      <c r="C3" s="66"/>
      <c r="D3" s="65"/>
      <c r="E3" s="65"/>
      <c r="F3" s="65"/>
    </row>
    <row r="4" spans="1:16" ht="15">
      <c r="B4" s="68"/>
      <c r="C4" s="66"/>
      <c r="D4" s="65"/>
      <c r="E4" s="65"/>
      <c r="F4" s="65"/>
    </row>
    <row r="5" spans="1:16" ht="15">
      <c r="B5" s="67" t="s">
        <v>124</v>
      </c>
      <c r="C5" s="66"/>
      <c r="D5" s="65"/>
      <c r="E5" s="65"/>
      <c r="F5" s="65"/>
    </row>
    <row r="6" spans="1:16" ht="15">
      <c r="B6" s="245" t="s">
        <v>183</v>
      </c>
      <c r="C6" s="66"/>
      <c r="E6" s="65"/>
      <c r="F6" s="65"/>
    </row>
    <row r="7" spans="1:16">
      <c r="E7" s="64"/>
      <c r="F7" s="63"/>
    </row>
    <row r="8" spans="1:16">
      <c r="A8" s="71"/>
      <c r="B8" s="306" t="str">
        <f>$H$60</f>
        <v>2019-20</v>
      </c>
      <c r="C8" s="306" t="str">
        <f>$H$60</f>
        <v>2019-20</v>
      </c>
      <c r="D8" s="306" t="str">
        <f>$H$60</f>
        <v>2019-20</v>
      </c>
      <c r="E8" s="72"/>
      <c r="F8" s="306" t="str">
        <f>$H$59</f>
        <v>2020-21</v>
      </c>
      <c r="G8" s="306" t="str">
        <f>$H$59</f>
        <v>2020-21</v>
      </c>
      <c r="H8" s="306" t="str">
        <f>$H$59</f>
        <v>2020-21</v>
      </c>
      <c r="I8" s="72"/>
      <c r="J8" s="306" t="str">
        <f>$H$58</f>
        <v>2021-22</v>
      </c>
      <c r="K8" s="306" t="str">
        <f>$H$58</f>
        <v>2021-22</v>
      </c>
      <c r="L8" s="306" t="str">
        <f>$H$58</f>
        <v>2021-22</v>
      </c>
      <c r="M8" s="72"/>
      <c r="N8" s="306" t="str">
        <f>$H$57</f>
        <v>2022-23</v>
      </c>
      <c r="O8" s="306" t="str">
        <f>$H$57</f>
        <v>2022-23</v>
      </c>
      <c r="P8" s="306" t="str">
        <f>$H$57</f>
        <v>2022-23</v>
      </c>
    </row>
    <row r="9" spans="1:16">
      <c r="A9" s="71" t="s">
        <v>15</v>
      </c>
      <c r="B9" s="307">
        <f t="shared" ref="B9:B27" si="0">VLOOKUP($A9&amp;B$8,$A$57:$F$485,5,0)</f>
        <v>1453</v>
      </c>
      <c r="C9" s="307">
        <f>SUM(B9/SUM(D9/100))</f>
        <v>1609.1532012195125</v>
      </c>
      <c r="D9" s="307">
        <f t="shared" ref="D9:D27" si="1">VLOOKUP($A9&amp;D$8,$A$57:$F$485,6,0)</f>
        <v>90.295939435650368</v>
      </c>
      <c r="E9" s="72"/>
      <c r="F9" s="307">
        <f t="shared" ref="F9:F27" si="2">VLOOKUP($A9&amp;F$8,$A$57:$F$485,5,0)</f>
        <v>1472</v>
      </c>
      <c r="G9" s="307">
        <f>SUM(F9/SUM(H9/100))</f>
        <v>1543.2934472934473</v>
      </c>
      <c r="H9" s="307">
        <f t="shared" ref="H9:H27" si="3">VLOOKUP($A9&amp;H$8,$A$57:$F$485,6,0)</f>
        <v>95.380434782608688</v>
      </c>
      <c r="I9" s="72"/>
      <c r="J9" s="307">
        <f t="shared" ref="J9:J27" si="4">VLOOKUP($A9&amp;J$8,$A$57:$F$485,5,0)</f>
        <v>1795</v>
      </c>
      <c r="K9" s="307">
        <f>SUM(J9/SUM(L9/100))</f>
        <v>1913.31650831354</v>
      </c>
      <c r="L9" s="307">
        <f t="shared" ref="L9:L27" si="5">VLOOKUP($A9&amp;L$8,$A$57:$F$485,6,0)</f>
        <v>93.816155988857901</v>
      </c>
      <c r="M9" s="72"/>
      <c r="N9" s="307">
        <f t="shared" ref="N9:N30" si="6">VLOOKUP($A9&amp;N$8,$A$57:$F$485,5,0)</f>
        <v>1807</v>
      </c>
      <c r="O9" s="307">
        <f>SUM(N9/SUM(P9/100))</f>
        <v>1930.9574216439976</v>
      </c>
      <c r="P9" s="307">
        <f t="shared" ref="P9:P30" si="7">VLOOKUP($A9&amp;P$8,$A$57:$F$485,6,0)</f>
        <v>93.580520199225234</v>
      </c>
    </row>
    <row r="10" spans="1:16">
      <c r="A10" s="71" t="s">
        <v>16</v>
      </c>
      <c r="B10" s="307">
        <f t="shared" si="0"/>
        <v>2532</v>
      </c>
      <c r="C10" s="307">
        <f t="shared" ref="C10:C42" si="8">SUM(B10/SUM(D10/100))</f>
        <v>2673.487906588824</v>
      </c>
      <c r="D10" s="307">
        <f t="shared" si="1"/>
        <v>94.707740916271717</v>
      </c>
      <c r="E10" s="72"/>
      <c r="F10" s="307">
        <f t="shared" si="2"/>
        <v>2635</v>
      </c>
      <c r="G10" s="307">
        <f t="shared" ref="G10:G40" si="9">SUM(F10/SUM(H10/100))</f>
        <v>2738.9447731755427</v>
      </c>
      <c r="H10" s="307">
        <f t="shared" si="3"/>
        <v>96.204933586337759</v>
      </c>
      <c r="I10" s="72"/>
      <c r="J10" s="307">
        <f t="shared" si="4"/>
        <v>2807</v>
      </c>
      <c r="K10" s="307">
        <f t="shared" ref="K10:K40" si="10">SUM(J10/SUM(L10/100))</f>
        <v>2904.2569111684484</v>
      </c>
      <c r="L10" s="307">
        <f t="shared" si="5"/>
        <v>96.651229070181685</v>
      </c>
      <c r="M10" s="72"/>
      <c r="N10" s="307">
        <f t="shared" si="6"/>
        <v>2834</v>
      </c>
      <c r="O10" s="307">
        <f t="shared" ref="O10:O40" si="11">SUM(N10/SUM(P10/100))</f>
        <v>2963.6738007380072</v>
      </c>
      <c r="P10" s="307">
        <f t="shared" si="7"/>
        <v>95.624558927311227</v>
      </c>
    </row>
    <row r="11" spans="1:16">
      <c r="A11" s="71" t="s">
        <v>17</v>
      </c>
      <c r="B11" s="307">
        <f t="shared" si="0"/>
        <v>1067</v>
      </c>
      <c r="C11" s="307">
        <f t="shared" si="8"/>
        <v>1138.489</v>
      </c>
      <c r="D11" s="307">
        <f t="shared" si="1"/>
        <v>93.720712277413313</v>
      </c>
      <c r="E11" s="72"/>
      <c r="F11" s="307">
        <f t="shared" si="2"/>
        <v>1197</v>
      </c>
      <c r="G11" s="307">
        <f t="shared" si="9"/>
        <v>1250.2696335078535</v>
      </c>
      <c r="H11" s="307">
        <f t="shared" si="3"/>
        <v>95.739348370927317</v>
      </c>
      <c r="I11" s="72"/>
      <c r="J11" s="307">
        <f t="shared" si="4"/>
        <v>1312</v>
      </c>
      <c r="K11" s="307">
        <f t="shared" si="10"/>
        <v>1408.6284779050736</v>
      </c>
      <c r="L11" s="307">
        <f t="shared" si="5"/>
        <v>93.140243902439025</v>
      </c>
      <c r="M11" s="72"/>
      <c r="N11" s="307">
        <f t="shared" si="6"/>
        <v>1191</v>
      </c>
      <c r="O11" s="307">
        <f t="shared" si="11"/>
        <v>1261.9937722419929</v>
      </c>
      <c r="P11" s="307">
        <f t="shared" si="7"/>
        <v>94.374475230898398</v>
      </c>
    </row>
    <row r="12" spans="1:16">
      <c r="A12" s="71" t="s">
        <v>18</v>
      </c>
      <c r="B12" s="307">
        <f t="shared" si="0"/>
        <v>704</v>
      </c>
      <c r="C12" s="307">
        <f t="shared" si="8"/>
        <v>762.4861538461538</v>
      </c>
      <c r="D12" s="307">
        <f t="shared" si="1"/>
        <v>92.329545454545453</v>
      </c>
      <c r="E12" s="72"/>
      <c r="F12" s="307">
        <f t="shared" si="2"/>
        <v>803</v>
      </c>
      <c r="G12" s="307">
        <f t="shared" si="9"/>
        <v>845.09698558322395</v>
      </c>
      <c r="H12" s="307">
        <f t="shared" si="3"/>
        <v>95.018679950186808</v>
      </c>
      <c r="I12" s="72"/>
      <c r="J12" s="307">
        <f t="shared" si="4"/>
        <v>840</v>
      </c>
      <c r="K12" s="307">
        <f t="shared" si="10"/>
        <v>871.11111111111109</v>
      </c>
      <c r="L12" s="307">
        <f t="shared" si="5"/>
        <v>96.428571428571431</v>
      </c>
      <c r="M12" s="72"/>
      <c r="N12" s="307">
        <f t="shared" si="6"/>
        <v>783</v>
      </c>
      <c r="O12" s="307">
        <f t="shared" si="11"/>
        <v>822.93825503355708</v>
      </c>
      <c r="P12" s="307">
        <f t="shared" si="7"/>
        <v>95.146871008939968</v>
      </c>
    </row>
    <row r="13" spans="1:16">
      <c r="A13" s="71" t="s">
        <v>126</v>
      </c>
      <c r="B13" s="307">
        <f t="shared" si="0"/>
        <v>3042</v>
      </c>
      <c r="C13" s="307">
        <f t="shared" si="8"/>
        <v>3289.6423746889436</v>
      </c>
      <c r="D13" s="307">
        <f t="shared" si="1"/>
        <v>92.472057856673246</v>
      </c>
      <c r="E13" s="72"/>
      <c r="F13" s="307">
        <f t="shared" si="2"/>
        <v>3247</v>
      </c>
      <c r="G13" s="307">
        <f t="shared" si="9"/>
        <v>3413.0815797992877</v>
      </c>
      <c r="H13" s="307">
        <f t="shared" si="3"/>
        <v>95.133969818293806</v>
      </c>
      <c r="I13" s="72"/>
      <c r="J13" s="307">
        <f t="shared" si="4"/>
        <v>3596</v>
      </c>
      <c r="K13" s="307">
        <f t="shared" si="10"/>
        <v>3740.5889499566097</v>
      </c>
      <c r="L13" s="307">
        <f t="shared" si="5"/>
        <v>96.134593993325922</v>
      </c>
      <c r="M13" s="72"/>
      <c r="N13" s="307">
        <f t="shared" si="6"/>
        <v>3699</v>
      </c>
      <c r="O13" s="307">
        <f t="shared" si="11"/>
        <v>3882.6904086265608</v>
      </c>
      <c r="P13" s="307">
        <f t="shared" si="7"/>
        <v>95.268991619356584</v>
      </c>
    </row>
    <row r="14" spans="1:16">
      <c r="A14" s="71" t="s">
        <v>19</v>
      </c>
      <c r="B14" s="307">
        <f t="shared" si="0"/>
        <v>455</v>
      </c>
      <c r="C14" s="307">
        <f t="shared" si="8"/>
        <v>471.58314350797264</v>
      </c>
      <c r="D14" s="307">
        <f t="shared" si="1"/>
        <v>96.483516483516482</v>
      </c>
      <c r="E14" s="72"/>
      <c r="F14" s="307">
        <f t="shared" si="2"/>
        <v>392</v>
      </c>
      <c r="G14" s="307">
        <f t="shared" si="9"/>
        <v>408.68085106382983</v>
      </c>
      <c r="H14" s="307">
        <f t="shared" si="3"/>
        <v>95.918367346938766</v>
      </c>
      <c r="I14" s="72"/>
      <c r="J14" s="307">
        <f t="shared" si="4"/>
        <v>542</v>
      </c>
      <c r="K14" s="307">
        <f t="shared" si="10"/>
        <v>561.69024856596559</v>
      </c>
      <c r="L14" s="307">
        <f t="shared" si="5"/>
        <v>96.494464944649451</v>
      </c>
      <c r="M14" s="72"/>
      <c r="N14" s="307">
        <f t="shared" si="6"/>
        <v>486</v>
      </c>
      <c r="O14" s="307">
        <f t="shared" si="11"/>
        <v>512.35574837310196</v>
      </c>
      <c r="P14" s="307">
        <f t="shared" si="7"/>
        <v>94.855967078189295</v>
      </c>
    </row>
    <row r="15" spans="1:16">
      <c r="A15" s="71" t="s">
        <v>20</v>
      </c>
      <c r="B15" s="307">
        <f t="shared" si="0"/>
        <v>1440</v>
      </c>
      <c r="C15" s="307">
        <f t="shared" si="8"/>
        <v>1553.2584269662918</v>
      </c>
      <c r="D15" s="307">
        <f t="shared" si="1"/>
        <v>92.708333333333343</v>
      </c>
      <c r="E15" s="72"/>
      <c r="F15" s="307">
        <f t="shared" si="2"/>
        <v>1478</v>
      </c>
      <c r="G15" s="307">
        <f t="shared" si="9"/>
        <v>1562.5779685264663</v>
      </c>
      <c r="H15" s="307">
        <f t="shared" si="3"/>
        <v>94.587280108254404</v>
      </c>
      <c r="I15" s="72"/>
      <c r="J15" s="307">
        <f t="shared" si="4"/>
        <v>1647</v>
      </c>
      <c r="K15" s="307">
        <f t="shared" si="10"/>
        <v>1717.9284357188094</v>
      </c>
      <c r="L15" s="307">
        <f t="shared" si="5"/>
        <v>95.871281117182761</v>
      </c>
      <c r="M15" s="72"/>
      <c r="N15" s="307">
        <f t="shared" si="6"/>
        <v>1479</v>
      </c>
      <c r="O15" s="307">
        <f t="shared" si="11"/>
        <v>1541.5369978858353</v>
      </c>
      <c r="P15" s="307">
        <f t="shared" si="7"/>
        <v>95.943204868154154</v>
      </c>
    </row>
    <row r="16" spans="1:16">
      <c r="A16" s="71" t="s">
        <v>21</v>
      </c>
      <c r="B16" s="307">
        <f t="shared" si="0"/>
        <v>1168</v>
      </c>
      <c r="C16" s="307">
        <f t="shared" si="8"/>
        <v>1265.5139146567719</v>
      </c>
      <c r="D16" s="307">
        <f t="shared" si="1"/>
        <v>92.294520547945197</v>
      </c>
      <c r="E16" s="72"/>
      <c r="F16" s="307">
        <f t="shared" si="2"/>
        <v>1224</v>
      </c>
      <c r="G16" s="307">
        <f t="shared" si="9"/>
        <v>1307.3089005235602</v>
      </c>
      <c r="H16" s="307">
        <f t="shared" si="3"/>
        <v>93.627450980392155</v>
      </c>
      <c r="I16" s="72"/>
      <c r="J16" s="307">
        <f t="shared" si="4"/>
        <v>1394</v>
      </c>
      <c r="K16" s="307">
        <f t="shared" si="10"/>
        <v>1484.5194805194806</v>
      </c>
      <c r="L16" s="307">
        <f t="shared" si="5"/>
        <v>93.902439024390233</v>
      </c>
      <c r="M16" s="72"/>
      <c r="N16" s="307">
        <f t="shared" si="6"/>
        <v>1441</v>
      </c>
      <c r="O16" s="307">
        <f t="shared" si="11"/>
        <v>1507.9745824255629</v>
      </c>
      <c r="P16" s="307">
        <f t="shared" si="7"/>
        <v>95.558639833448993</v>
      </c>
    </row>
    <row r="17" spans="1:16">
      <c r="A17" s="71" t="s">
        <v>22</v>
      </c>
      <c r="B17" s="307">
        <f t="shared" si="0"/>
        <v>1132</v>
      </c>
      <c r="C17" s="307">
        <f t="shared" si="8"/>
        <v>1194.2441752096925</v>
      </c>
      <c r="D17" s="307">
        <f t="shared" si="1"/>
        <v>94.78798586572438</v>
      </c>
      <c r="E17" s="72"/>
      <c r="F17" s="307">
        <f t="shared" si="2"/>
        <v>1208</v>
      </c>
      <c r="G17" s="307">
        <f t="shared" si="9"/>
        <v>1262.3391003460208</v>
      </c>
      <c r="H17" s="307">
        <f t="shared" si="3"/>
        <v>95.69536423841059</v>
      </c>
      <c r="I17" s="72"/>
      <c r="J17" s="307">
        <f t="shared" si="4"/>
        <v>1302</v>
      </c>
      <c r="K17" s="307">
        <f t="shared" si="10"/>
        <v>1344.3330689928628</v>
      </c>
      <c r="L17" s="307">
        <f t="shared" si="5"/>
        <v>96.850998463901689</v>
      </c>
      <c r="M17" s="72"/>
      <c r="N17" s="307">
        <f t="shared" si="6"/>
        <v>1306</v>
      </c>
      <c r="O17" s="307">
        <f t="shared" si="11"/>
        <v>1373.2979066022542</v>
      </c>
      <c r="P17" s="307">
        <f t="shared" si="7"/>
        <v>95.09954058192956</v>
      </c>
    </row>
    <row r="18" spans="1:16">
      <c r="A18" s="71" t="s">
        <v>23</v>
      </c>
      <c r="B18" s="307">
        <f t="shared" si="0"/>
        <v>1285</v>
      </c>
      <c r="C18" s="307">
        <f t="shared" si="8"/>
        <v>1317.8172386272945</v>
      </c>
      <c r="D18" s="307">
        <f t="shared" si="1"/>
        <v>97.509727626459139</v>
      </c>
      <c r="E18" s="72"/>
      <c r="F18" s="307">
        <f t="shared" si="2"/>
        <v>1324</v>
      </c>
      <c r="G18" s="307">
        <f t="shared" si="9"/>
        <v>1342.2480857580399</v>
      </c>
      <c r="H18" s="307">
        <f t="shared" si="3"/>
        <v>98.64048338368579</v>
      </c>
      <c r="I18" s="72"/>
      <c r="J18" s="307">
        <f t="shared" si="4"/>
        <v>1427</v>
      </c>
      <c r="K18" s="307">
        <f t="shared" si="10"/>
        <v>1442.1593484419263</v>
      </c>
      <c r="L18" s="307">
        <f t="shared" si="5"/>
        <v>98.948843728100911</v>
      </c>
      <c r="M18" s="72"/>
      <c r="N18" s="307">
        <f t="shared" si="6"/>
        <v>1309</v>
      </c>
      <c r="O18" s="307">
        <f t="shared" si="11"/>
        <v>1327.250968241673</v>
      </c>
      <c r="P18" s="307">
        <f t="shared" si="7"/>
        <v>98.624904507257455</v>
      </c>
    </row>
    <row r="19" spans="1:16">
      <c r="A19" s="71" t="s">
        <v>24</v>
      </c>
      <c r="B19" s="307">
        <f t="shared" si="0"/>
        <v>919</v>
      </c>
      <c r="C19" s="307">
        <f t="shared" si="8"/>
        <v>993.60117647058826</v>
      </c>
      <c r="D19" s="307">
        <f t="shared" si="1"/>
        <v>92.491838955386285</v>
      </c>
      <c r="E19" s="72"/>
      <c r="F19" s="307">
        <f t="shared" si="2"/>
        <v>1089</v>
      </c>
      <c r="G19" s="307">
        <f t="shared" si="9"/>
        <v>1132.6848137535817</v>
      </c>
      <c r="H19" s="307">
        <f t="shared" si="3"/>
        <v>96.143250688705237</v>
      </c>
      <c r="I19" s="72"/>
      <c r="J19" s="307">
        <f t="shared" si="4"/>
        <v>1102</v>
      </c>
      <c r="K19" s="307">
        <f t="shared" si="10"/>
        <v>1152.1859582542695</v>
      </c>
      <c r="L19" s="307">
        <f t="shared" si="5"/>
        <v>95.644283121597098</v>
      </c>
      <c r="M19" s="72"/>
      <c r="N19" s="307">
        <f t="shared" si="6"/>
        <v>1176</v>
      </c>
      <c r="O19" s="307">
        <f t="shared" si="11"/>
        <v>1221.7102473498235</v>
      </c>
      <c r="P19" s="307">
        <f t="shared" si="7"/>
        <v>96.258503401360542</v>
      </c>
    </row>
    <row r="20" spans="1:16">
      <c r="A20" s="71" t="s">
        <v>25</v>
      </c>
      <c r="B20" s="307">
        <f t="shared" si="0"/>
        <v>1301</v>
      </c>
      <c r="C20" s="307">
        <f t="shared" si="8"/>
        <v>1351.9177316293928</v>
      </c>
      <c r="D20" s="307">
        <f t="shared" si="1"/>
        <v>96.233666410453495</v>
      </c>
      <c r="E20" s="72"/>
      <c r="F20" s="307">
        <f t="shared" si="2"/>
        <v>1383</v>
      </c>
      <c r="G20" s="307">
        <f t="shared" si="9"/>
        <v>1419.9621380846324</v>
      </c>
      <c r="H20" s="307">
        <f t="shared" si="3"/>
        <v>97.396963123644255</v>
      </c>
      <c r="I20" s="72"/>
      <c r="J20" s="307">
        <f t="shared" si="4"/>
        <v>1430</v>
      </c>
      <c r="K20" s="307">
        <f t="shared" si="10"/>
        <v>1452.34375</v>
      </c>
      <c r="L20" s="307">
        <f t="shared" si="5"/>
        <v>98.461538461538467</v>
      </c>
      <c r="M20" s="72"/>
      <c r="N20" s="307">
        <f t="shared" si="6"/>
        <v>1353</v>
      </c>
      <c r="O20" s="307">
        <f t="shared" si="11"/>
        <v>1370.2163173652693</v>
      </c>
      <c r="P20" s="307">
        <f t="shared" si="7"/>
        <v>98.743532889874359</v>
      </c>
    </row>
    <row r="21" spans="1:16">
      <c r="A21" s="71" t="s">
        <v>26</v>
      </c>
      <c r="B21" s="307">
        <f t="shared" si="0"/>
        <v>1483</v>
      </c>
      <c r="C21" s="307">
        <f t="shared" si="8"/>
        <v>1605.3204379562044</v>
      </c>
      <c r="D21" s="307">
        <f t="shared" si="1"/>
        <v>92.380310182063383</v>
      </c>
      <c r="E21" s="72"/>
      <c r="F21" s="307">
        <f t="shared" si="2"/>
        <v>1554</v>
      </c>
      <c r="G21" s="307">
        <f t="shared" si="9"/>
        <v>1628.3991908293997</v>
      </c>
      <c r="H21" s="307">
        <f t="shared" si="3"/>
        <v>95.431145431145438</v>
      </c>
      <c r="I21" s="72"/>
      <c r="J21" s="307">
        <f t="shared" si="4"/>
        <v>1704</v>
      </c>
      <c r="K21" s="307">
        <f t="shared" si="10"/>
        <v>1807.9800747198008</v>
      </c>
      <c r="L21" s="307">
        <f t="shared" si="5"/>
        <v>94.248826291079808</v>
      </c>
      <c r="M21" s="72"/>
      <c r="N21" s="307">
        <f t="shared" si="6"/>
        <v>1766</v>
      </c>
      <c r="O21" s="307">
        <f t="shared" si="11"/>
        <v>1850.8937685459939</v>
      </c>
      <c r="P21" s="307">
        <f t="shared" si="7"/>
        <v>95.413363533408841</v>
      </c>
    </row>
    <row r="22" spans="1:16">
      <c r="A22" s="71" t="s">
        <v>27</v>
      </c>
      <c r="B22" s="307">
        <f t="shared" si="0"/>
        <v>3406</v>
      </c>
      <c r="C22" s="307">
        <f t="shared" si="8"/>
        <v>3706.3373801916928</v>
      </c>
      <c r="D22" s="307">
        <f t="shared" si="1"/>
        <v>91.896652965355258</v>
      </c>
      <c r="E22" s="72"/>
      <c r="F22" s="307">
        <f t="shared" si="2"/>
        <v>3752</v>
      </c>
      <c r="G22" s="307">
        <f t="shared" si="9"/>
        <v>3997.0198750709824</v>
      </c>
      <c r="H22" s="307">
        <f t="shared" si="3"/>
        <v>93.869936034115142</v>
      </c>
      <c r="I22" s="72"/>
      <c r="J22" s="307">
        <f t="shared" si="4"/>
        <v>4088</v>
      </c>
      <c r="K22" s="307">
        <f t="shared" si="10"/>
        <v>4310.4833634253291</v>
      </c>
      <c r="L22" s="307">
        <f t="shared" si="5"/>
        <v>94.838551859099809</v>
      </c>
      <c r="M22" s="72"/>
      <c r="N22" s="307">
        <f t="shared" si="6"/>
        <v>3920</v>
      </c>
      <c r="O22" s="307">
        <f t="shared" si="11"/>
        <v>4115.2651312265662</v>
      </c>
      <c r="P22" s="307">
        <f t="shared" si="7"/>
        <v>95.255102040816325</v>
      </c>
    </row>
    <row r="23" spans="1:16">
      <c r="A23" s="71" t="s">
        <v>28</v>
      </c>
      <c r="B23" s="307">
        <f t="shared" si="0"/>
        <v>4311</v>
      </c>
      <c r="C23" s="307">
        <f t="shared" si="8"/>
        <v>4646.1802500000003</v>
      </c>
      <c r="D23" s="307">
        <f t="shared" si="1"/>
        <v>92.785896543725357</v>
      </c>
      <c r="E23" s="72"/>
      <c r="F23" s="307">
        <f t="shared" si="2"/>
        <v>4578</v>
      </c>
      <c r="G23" s="307">
        <f t="shared" si="9"/>
        <v>4757.7943246311015</v>
      </c>
      <c r="H23" s="307">
        <f t="shared" si="3"/>
        <v>96.221057230231537</v>
      </c>
      <c r="I23" s="72"/>
      <c r="J23" s="307">
        <f t="shared" si="4"/>
        <v>4985</v>
      </c>
      <c r="K23" s="307">
        <f t="shared" si="10"/>
        <v>5136.4665150888795</v>
      </c>
      <c r="L23" s="307">
        <f t="shared" si="5"/>
        <v>97.051153460381144</v>
      </c>
      <c r="M23" s="72"/>
      <c r="N23" s="307">
        <f t="shared" si="6"/>
        <v>5007</v>
      </c>
      <c r="O23" s="307">
        <f t="shared" si="11"/>
        <v>5123.6560392397305</v>
      </c>
      <c r="P23" s="307">
        <f t="shared" si="7"/>
        <v>97.723187537447572</v>
      </c>
    </row>
    <row r="24" spans="1:16">
      <c r="A24" s="71" t="s">
        <v>29</v>
      </c>
      <c r="B24" s="307">
        <f t="shared" si="0"/>
        <v>2220</v>
      </c>
      <c r="C24" s="307">
        <f t="shared" si="8"/>
        <v>2400.5845104724795</v>
      </c>
      <c r="D24" s="307">
        <f t="shared" si="1"/>
        <v>92.477477477477478</v>
      </c>
      <c r="E24" s="72"/>
      <c r="F24" s="307">
        <f t="shared" si="2"/>
        <v>2333</v>
      </c>
      <c r="G24" s="307">
        <f t="shared" si="9"/>
        <v>2475.1655297862667</v>
      </c>
      <c r="H24" s="307">
        <f t="shared" si="3"/>
        <v>94.25632233176168</v>
      </c>
      <c r="I24" s="72"/>
      <c r="J24" s="307">
        <f t="shared" si="4"/>
        <v>2562</v>
      </c>
      <c r="K24" s="307">
        <f t="shared" si="10"/>
        <v>2712.3322314049587</v>
      </c>
      <c r="L24" s="307">
        <f t="shared" si="5"/>
        <v>94.457455113192822</v>
      </c>
      <c r="M24" s="72"/>
      <c r="N24" s="307">
        <f t="shared" si="6"/>
        <v>2475</v>
      </c>
      <c r="O24" s="307">
        <f t="shared" si="11"/>
        <v>2597.8053435114502</v>
      </c>
      <c r="P24" s="307">
        <f t="shared" si="7"/>
        <v>95.27272727272728</v>
      </c>
    </row>
    <row r="25" spans="1:16">
      <c r="A25" s="71" t="s">
        <v>30</v>
      </c>
      <c r="B25" s="307">
        <f t="shared" si="0"/>
        <v>747</v>
      </c>
      <c r="C25" s="307">
        <f t="shared" si="8"/>
        <v>802.8906474820144</v>
      </c>
      <c r="D25" s="307">
        <f t="shared" si="1"/>
        <v>93.038821954484604</v>
      </c>
      <c r="E25" s="72"/>
      <c r="F25" s="307">
        <f t="shared" si="2"/>
        <v>739</v>
      </c>
      <c r="G25" s="307">
        <f t="shared" si="9"/>
        <v>774.63971631205675</v>
      </c>
      <c r="H25" s="307">
        <f t="shared" si="3"/>
        <v>95.399188092016246</v>
      </c>
      <c r="I25" s="72"/>
      <c r="J25" s="307">
        <f t="shared" si="4"/>
        <v>835</v>
      </c>
      <c r="K25" s="307">
        <f t="shared" si="10"/>
        <v>888.18471337579615</v>
      </c>
      <c r="L25" s="307">
        <f t="shared" si="5"/>
        <v>94.011976047904184</v>
      </c>
      <c r="M25" s="72"/>
      <c r="N25" s="307">
        <f t="shared" si="6"/>
        <v>806</v>
      </c>
      <c r="O25" s="307">
        <f t="shared" si="11"/>
        <v>836.08236808236802</v>
      </c>
      <c r="P25" s="307">
        <f t="shared" si="7"/>
        <v>96.40198511166254</v>
      </c>
    </row>
    <row r="26" spans="1:16">
      <c r="A26" s="71" t="s">
        <v>31</v>
      </c>
      <c r="B26" s="307">
        <f t="shared" si="0"/>
        <v>777</v>
      </c>
      <c r="C26" s="307">
        <f t="shared" si="8"/>
        <v>822.51907356948232</v>
      </c>
      <c r="D26" s="307">
        <f t="shared" si="1"/>
        <v>94.465894465894465</v>
      </c>
      <c r="E26" s="72"/>
      <c r="F26" s="307">
        <f t="shared" si="2"/>
        <v>877</v>
      </c>
      <c r="G26" s="307">
        <f t="shared" si="9"/>
        <v>918.91158900836331</v>
      </c>
      <c r="H26" s="307">
        <f t="shared" si="3"/>
        <v>95.43899657924743</v>
      </c>
      <c r="I26" s="72"/>
      <c r="J26" s="307">
        <f t="shared" si="4"/>
        <v>1087</v>
      </c>
      <c r="K26" s="307">
        <f t="shared" si="10"/>
        <v>1138.3131021194606</v>
      </c>
      <c r="L26" s="307">
        <f t="shared" si="5"/>
        <v>95.492180312787482</v>
      </c>
      <c r="M26" s="72"/>
      <c r="N26" s="307">
        <f t="shared" si="6"/>
        <v>978</v>
      </c>
      <c r="O26" s="307">
        <f t="shared" si="11"/>
        <v>1026.2703862660944</v>
      </c>
      <c r="P26" s="307">
        <f t="shared" si="7"/>
        <v>95.296523517382411</v>
      </c>
    </row>
    <row r="27" spans="1:16">
      <c r="A27" s="71" t="s">
        <v>32</v>
      </c>
      <c r="B27" s="307">
        <f t="shared" si="0"/>
        <v>837</v>
      </c>
      <c r="C27" s="307">
        <f t="shared" si="8"/>
        <v>899.31835686777924</v>
      </c>
      <c r="D27" s="307">
        <f t="shared" si="1"/>
        <v>93.070489844683394</v>
      </c>
      <c r="E27" s="72"/>
      <c r="F27" s="307">
        <f t="shared" si="2"/>
        <v>879</v>
      </c>
      <c r="G27" s="307">
        <f t="shared" si="9"/>
        <v>934.26964933494571</v>
      </c>
      <c r="H27" s="307">
        <f t="shared" si="3"/>
        <v>94.084186575654144</v>
      </c>
      <c r="I27" s="72"/>
      <c r="J27" s="307">
        <f t="shared" si="4"/>
        <v>963</v>
      </c>
      <c r="K27" s="307">
        <f t="shared" si="10"/>
        <v>1001.4784017278618</v>
      </c>
      <c r="L27" s="307">
        <f t="shared" si="5"/>
        <v>96.157840083073737</v>
      </c>
      <c r="M27" s="72"/>
      <c r="N27" s="307">
        <f t="shared" si="6"/>
        <v>973</v>
      </c>
      <c r="O27" s="307">
        <f t="shared" si="11"/>
        <v>1023.4908108108107</v>
      </c>
      <c r="P27" s="307">
        <f t="shared" si="7"/>
        <v>95.066803699897235</v>
      </c>
    </row>
    <row r="28" spans="1:16">
      <c r="A28" s="71" t="s">
        <v>33</v>
      </c>
      <c r="B28" s="307" t="s">
        <v>71</v>
      </c>
      <c r="C28" s="307" t="s">
        <v>71</v>
      </c>
      <c r="D28" s="307" t="s">
        <v>71</v>
      </c>
      <c r="E28" s="72"/>
      <c r="F28" s="307" t="s">
        <v>71</v>
      </c>
      <c r="G28" s="307" t="s">
        <v>71</v>
      </c>
      <c r="H28" s="307" t="s">
        <v>71</v>
      </c>
      <c r="I28" s="72"/>
      <c r="J28" s="307" t="s">
        <v>71</v>
      </c>
      <c r="K28" s="307" t="s">
        <v>71</v>
      </c>
      <c r="L28" s="307" t="s">
        <v>71</v>
      </c>
      <c r="M28" s="72"/>
      <c r="N28" s="307">
        <f t="shared" si="6"/>
        <v>298</v>
      </c>
      <c r="O28" s="307">
        <f t="shared" si="11"/>
        <v>303.08532423208197</v>
      </c>
      <c r="P28" s="307">
        <f t="shared" si="7"/>
        <v>98.322147651006702</v>
      </c>
    </row>
    <row r="29" spans="1:16">
      <c r="A29" s="71" t="s">
        <v>34</v>
      </c>
      <c r="B29" s="307">
        <f t="shared" ref="B29:B40" si="12">VLOOKUP($A29&amp;B$8,$A$57:$F$485,5,0)</f>
        <v>1258</v>
      </c>
      <c r="C29" s="307">
        <f t="shared" si="8"/>
        <v>1360.7601031814274</v>
      </c>
      <c r="D29" s="307">
        <f t="shared" ref="D29:D40" si="13">VLOOKUP($A29&amp;D$8,$A$57:$F$485,6,0)</f>
        <v>92.448330683624803</v>
      </c>
      <c r="E29" s="72"/>
      <c r="F29" s="307">
        <f t="shared" ref="F29:F40" si="14">VLOOKUP($A29&amp;F$8,$A$57:$F$485,5,0)</f>
        <v>1375</v>
      </c>
      <c r="G29" s="307">
        <f t="shared" si="9"/>
        <v>1444.3277310924373</v>
      </c>
      <c r="H29" s="307">
        <f t="shared" ref="H29:H40" si="15">VLOOKUP($A29&amp;H$8,$A$57:$F$485,6,0)</f>
        <v>95.199999999999989</v>
      </c>
      <c r="I29" s="72"/>
      <c r="J29" s="307">
        <f t="shared" ref="J29:J40" si="16">VLOOKUP($A29&amp;J$8,$A$57:$F$485,5,0)</f>
        <v>1520</v>
      </c>
      <c r="K29" s="307">
        <f t="shared" si="10"/>
        <v>1583.5503769705276</v>
      </c>
      <c r="L29" s="307">
        <f t="shared" ref="L29:L40" si="17">VLOOKUP($A29&amp;L$8,$A$57:$F$485,6,0)</f>
        <v>95.986842105263165</v>
      </c>
      <c r="M29" s="72"/>
      <c r="N29" s="307">
        <f t="shared" si="6"/>
        <v>1468</v>
      </c>
      <c r="O29" s="307">
        <f t="shared" si="11"/>
        <v>1520.8355681016233</v>
      </c>
      <c r="P29" s="307">
        <f t="shared" si="7"/>
        <v>96.525885558583099</v>
      </c>
    </row>
    <row r="30" spans="1:16">
      <c r="A30" s="71" t="s">
        <v>35</v>
      </c>
      <c r="B30" s="307">
        <f t="shared" si="12"/>
        <v>3390</v>
      </c>
      <c r="C30" s="307">
        <f t="shared" si="8"/>
        <v>3676.2955854126681</v>
      </c>
      <c r="D30" s="307">
        <f t="shared" si="13"/>
        <v>92.212389380530965</v>
      </c>
      <c r="E30" s="72"/>
      <c r="F30" s="307">
        <f t="shared" si="14"/>
        <v>3696</v>
      </c>
      <c r="G30" s="307">
        <f t="shared" si="9"/>
        <v>3911.9175257731958</v>
      </c>
      <c r="H30" s="307">
        <f t="shared" si="15"/>
        <v>94.480519480519476</v>
      </c>
      <c r="I30" s="72"/>
      <c r="J30" s="307">
        <f t="shared" si="16"/>
        <v>3904</v>
      </c>
      <c r="K30" s="307">
        <f t="shared" si="10"/>
        <v>4146.1414581066383</v>
      </c>
      <c r="L30" s="307">
        <f t="shared" si="17"/>
        <v>94.159836065573771</v>
      </c>
      <c r="M30" s="72"/>
      <c r="N30" s="307">
        <f t="shared" si="6"/>
        <v>4007</v>
      </c>
      <c r="O30" s="307">
        <f t="shared" si="11"/>
        <v>4229.7283983140151</v>
      </c>
      <c r="P30" s="307">
        <f t="shared" si="7"/>
        <v>94.734215123533815</v>
      </c>
    </row>
    <row r="31" spans="1:16">
      <c r="A31" s="71" t="s">
        <v>36</v>
      </c>
      <c r="B31" s="307">
        <f t="shared" si="12"/>
        <v>185</v>
      </c>
      <c r="C31" s="307">
        <f t="shared" si="8"/>
        <v>201.3235294117647</v>
      </c>
      <c r="D31" s="307">
        <f t="shared" si="13"/>
        <v>91.891891891891902</v>
      </c>
      <c r="E31" s="72"/>
      <c r="F31" s="307">
        <f t="shared" si="14"/>
        <v>202</v>
      </c>
      <c r="G31" s="307">
        <f t="shared" si="9"/>
        <v>209.25128205128206</v>
      </c>
      <c r="H31" s="307">
        <f t="shared" si="15"/>
        <v>96.534653465346537</v>
      </c>
      <c r="I31" s="72"/>
      <c r="J31" s="307">
        <f t="shared" si="16"/>
        <v>213</v>
      </c>
      <c r="K31" s="307">
        <f t="shared" si="10"/>
        <v>224.5990099009901</v>
      </c>
      <c r="L31" s="307">
        <f t="shared" si="17"/>
        <v>94.835680751173712</v>
      </c>
      <c r="M31" s="72"/>
      <c r="N31" s="307" t="s">
        <v>71</v>
      </c>
      <c r="O31" s="307" t="s">
        <v>71</v>
      </c>
      <c r="P31" s="307" t="s">
        <v>71</v>
      </c>
    </row>
    <row r="32" spans="1:16">
      <c r="A32" s="71" t="s">
        <v>37</v>
      </c>
      <c r="B32" s="307">
        <f t="shared" si="12"/>
        <v>1172</v>
      </c>
      <c r="C32" s="307">
        <f t="shared" si="8"/>
        <v>1244.1884057971015</v>
      </c>
      <c r="D32" s="307">
        <f t="shared" si="13"/>
        <v>94.197952218430032</v>
      </c>
      <c r="E32" s="72"/>
      <c r="F32" s="307">
        <f t="shared" si="14"/>
        <v>1417</v>
      </c>
      <c r="G32" s="307">
        <f t="shared" si="9"/>
        <v>1467.7551169590643</v>
      </c>
      <c r="H32" s="307">
        <f t="shared" si="15"/>
        <v>96.541990119971771</v>
      </c>
      <c r="I32" s="72"/>
      <c r="J32" s="307">
        <f t="shared" si="16"/>
        <v>1464</v>
      </c>
      <c r="K32" s="307">
        <f t="shared" si="10"/>
        <v>1544.1613832853025</v>
      </c>
      <c r="L32" s="307">
        <f t="shared" si="17"/>
        <v>94.808743169398909</v>
      </c>
      <c r="M32" s="72"/>
      <c r="N32" s="307">
        <f t="shared" ref="N32:N40" si="18">VLOOKUP($A32&amp;N$8,$A$57:$F$485,5,0)</f>
        <v>1342</v>
      </c>
      <c r="O32" s="307">
        <f t="shared" si="11"/>
        <v>1398.2639751552795</v>
      </c>
      <c r="P32" s="307">
        <f t="shared" ref="P32:P40" si="19">VLOOKUP($A32&amp;P$8,$A$57:$F$485,6,0)</f>
        <v>95.97615499254843</v>
      </c>
    </row>
    <row r="33" spans="1:17">
      <c r="A33" s="71" t="s">
        <v>38</v>
      </c>
      <c r="B33" s="307">
        <f t="shared" si="12"/>
        <v>1638</v>
      </c>
      <c r="C33" s="307">
        <f t="shared" si="8"/>
        <v>1743.3684210526317</v>
      </c>
      <c r="D33" s="307">
        <f t="shared" si="13"/>
        <v>93.956043956043956</v>
      </c>
      <c r="E33" s="72"/>
      <c r="F33" s="307">
        <f t="shared" si="14"/>
        <v>1666</v>
      </c>
      <c r="G33" s="307">
        <f t="shared" si="9"/>
        <v>1726.0920398009951</v>
      </c>
      <c r="H33" s="307">
        <f t="shared" si="15"/>
        <v>96.518607442977185</v>
      </c>
      <c r="I33" s="72"/>
      <c r="J33" s="307">
        <f t="shared" si="16"/>
        <v>1908</v>
      </c>
      <c r="K33" s="307">
        <f t="shared" si="10"/>
        <v>1974.2212581344904</v>
      </c>
      <c r="L33" s="307">
        <f t="shared" si="17"/>
        <v>96.645702306079656</v>
      </c>
      <c r="M33" s="72"/>
      <c r="N33" s="307">
        <f t="shared" si="18"/>
        <v>1937</v>
      </c>
      <c r="O33" s="307">
        <f t="shared" si="11"/>
        <v>2009.6245313336904</v>
      </c>
      <c r="P33" s="307">
        <f t="shared" si="19"/>
        <v>96.386164171399074</v>
      </c>
    </row>
    <row r="34" spans="1:17">
      <c r="A34" s="71" t="s">
        <v>39</v>
      </c>
      <c r="B34" s="307">
        <f t="shared" si="12"/>
        <v>1083</v>
      </c>
      <c r="C34" s="307">
        <f t="shared" si="8"/>
        <v>1144.2819512195122</v>
      </c>
      <c r="D34" s="307">
        <f t="shared" si="13"/>
        <v>94.644506001846722</v>
      </c>
      <c r="E34" s="72"/>
      <c r="F34" s="307">
        <f t="shared" si="14"/>
        <v>1109</v>
      </c>
      <c r="G34" s="307">
        <f t="shared" si="9"/>
        <v>1161.3607176581681</v>
      </c>
      <c r="H34" s="307">
        <f t="shared" si="15"/>
        <v>95.491433724075748</v>
      </c>
      <c r="I34" s="72"/>
      <c r="J34" s="307">
        <f t="shared" si="16"/>
        <v>1253</v>
      </c>
      <c r="K34" s="307">
        <f t="shared" si="10"/>
        <v>1297.5280991735538</v>
      </c>
      <c r="L34" s="307">
        <f t="shared" si="17"/>
        <v>96.568236233040707</v>
      </c>
      <c r="M34" s="72"/>
      <c r="N34" s="307">
        <f t="shared" si="18"/>
        <v>1203</v>
      </c>
      <c r="O34" s="307">
        <f t="shared" si="11"/>
        <v>1242.2394849785408</v>
      </c>
      <c r="P34" s="307">
        <f t="shared" si="19"/>
        <v>96.841230257689119</v>
      </c>
    </row>
    <row r="35" spans="1:17">
      <c r="A35" s="71" t="s">
        <v>40</v>
      </c>
      <c r="B35" s="307">
        <f t="shared" si="12"/>
        <v>244</v>
      </c>
      <c r="C35" s="307">
        <f t="shared" si="8"/>
        <v>266.97757847533632</v>
      </c>
      <c r="D35" s="307">
        <f t="shared" si="13"/>
        <v>91.393442622950815</v>
      </c>
      <c r="E35" s="72"/>
      <c r="F35" s="307">
        <f t="shared" si="14"/>
        <v>257</v>
      </c>
      <c r="G35" s="307">
        <f t="shared" si="9"/>
        <v>266.32661290322579</v>
      </c>
      <c r="H35" s="307">
        <f t="shared" si="15"/>
        <v>96.498054474708169</v>
      </c>
      <c r="I35" s="72"/>
      <c r="J35" s="307">
        <f t="shared" si="16"/>
        <v>260</v>
      </c>
      <c r="K35" s="307">
        <f t="shared" si="10"/>
        <v>273.68421052631578</v>
      </c>
      <c r="L35" s="307">
        <f t="shared" si="17"/>
        <v>95</v>
      </c>
      <c r="M35" s="72"/>
      <c r="N35" s="307">
        <f t="shared" si="18"/>
        <v>285</v>
      </c>
      <c r="O35" s="307">
        <f t="shared" si="11"/>
        <v>299.72324723247232</v>
      </c>
      <c r="P35" s="307">
        <f t="shared" si="19"/>
        <v>95.087719298245617</v>
      </c>
    </row>
    <row r="36" spans="1:17">
      <c r="A36" s="71" t="s">
        <v>41</v>
      </c>
      <c r="B36" s="307">
        <f t="shared" si="12"/>
        <v>1000</v>
      </c>
      <c r="C36" s="307">
        <f t="shared" si="8"/>
        <v>1016.2601626016259</v>
      </c>
      <c r="D36" s="307">
        <f t="shared" si="13"/>
        <v>98.4</v>
      </c>
      <c r="E36" s="72"/>
      <c r="F36" s="307">
        <f t="shared" si="14"/>
        <v>1124</v>
      </c>
      <c r="G36" s="307">
        <f t="shared" si="9"/>
        <v>1143.3266968325793</v>
      </c>
      <c r="H36" s="307">
        <f t="shared" si="15"/>
        <v>98.309608540925268</v>
      </c>
      <c r="I36" s="72"/>
      <c r="J36" s="307">
        <f t="shared" si="16"/>
        <v>1180</v>
      </c>
      <c r="K36" s="307">
        <f t="shared" si="10"/>
        <v>1197.2484952708512</v>
      </c>
      <c r="L36" s="307">
        <f t="shared" si="17"/>
        <v>98.559322033898297</v>
      </c>
      <c r="M36" s="72"/>
      <c r="N36" s="307">
        <f t="shared" si="18"/>
        <v>1200</v>
      </c>
      <c r="O36" s="307">
        <f t="shared" si="11"/>
        <v>1223.4494477485132</v>
      </c>
      <c r="P36" s="307">
        <f t="shared" si="19"/>
        <v>98.083333333333329</v>
      </c>
    </row>
    <row r="37" spans="1:17">
      <c r="A37" s="71" t="s">
        <v>42</v>
      </c>
      <c r="B37" s="307">
        <f t="shared" si="12"/>
        <v>3174</v>
      </c>
      <c r="C37" s="307">
        <f t="shared" si="8"/>
        <v>3348.0478564307082</v>
      </c>
      <c r="D37" s="307">
        <f t="shared" si="13"/>
        <v>94.801512287334589</v>
      </c>
      <c r="E37" s="72"/>
      <c r="F37" s="307">
        <f t="shared" si="14"/>
        <v>3312</v>
      </c>
      <c r="G37" s="307">
        <f t="shared" si="9"/>
        <v>3444.064050235479</v>
      </c>
      <c r="H37" s="307">
        <f t="shared" si="15"/>
        <v>96.165458937198068</v>
      </c>
      <c r="I37" s="72"/>
      <c r="J37" s="307">
        <f t="shared" si="16"/>
        <v>3443</v>
      </c>
      <c r="K37" s="307">
        <f t="shared" si="10"/>
        <v>3578.1011168125565</v>
      </c>
      <c r="L37" s="307">
        <f t="shared" si="17"/>
        <v>96.224223061283766</v>
      </c>
      <c r="M37" s="72"/>
      <c r="N37" s="307">
        <f t="shared" si="18"/>
        <v>3650</v>
      </c>
      <c r="O37" s="307">
        <f t="shared" si="11"/>
        <v>3767.6753393665158</v>
      </c>
      <c r="P37" s="307">
        <f t="shared" si="19"/>
        <v>96.876712328767127</v>
      </c>
    </row>
    <row r="38" spans="1:17">
      <c r="A38" s="71" t="s">
        <v>43</v>
      </c>
      <c r="B38" s="307">
        <f t="shared" si="12"/>
        <v>962</v>
      </c>
      <c r="C38" s="307">
        <f t="shared" si="8"/>
        <v>1031.7101449275362</v>
      </c>
      <c r="D38" s="307">
        <f t="shared" si="13"/>
        <v>93.243243243243242</v>
      </c>
      <c r="E38" s="72"/>
      <c r="F38" s="307">
        <f t="shared" si="14"/>
        <v>1082</v>
      </c>
      <c r="G38" s="307">
        <f t="shared" si="9"/>
        <v>1130.0424710424711</v>
      </c>
      <c r="H38" s="307">
        <f t="shared" si="15"/>
        <v>95.748613678373388</v>
      </c>
      <c r="I38" s="72"/>
      <c r="J38" s="307">
        <f t="shared" si="16"/>
        <v>1142</v>
      </c>
      <c r="K38" s="307">
        <f t="shared" si="10"/>
        <v>1187.7632058287795</v>
      </c>
      <c r="L38" s="307">
        <f t="shared" si="17"/>
        <v>96.147110332749563</v>
      </c>
      <c r="M38" s="72"/>
      <c r="N38" s="307">
        <f t="shared" si="18"/>
        <v>1091</v>
      </c>
      <c r="O38" s="307">
        <f t="shared" si="11"/>
        <v>1156.7356656948493</v>
      </c>
      <c r="P38" s="307">
        <f t="shared" si="19"/>
        <v>94.317140238313485</v>
      </c>
    </row>
    <row r="39" spans="1:17">
      <c r="A39" s="71" t="s">
        <v>44</v>
      </c>
      <c r="B39" s="307">
        <f t="shared" si="12"/>
        <v>870</v>
      </c>
      <c r="C39" s="307">
        <f t="shared" si="8"/>
        <v>970.38461538461536</v>
      </c>
      <c r="D39" s="307">
        <f t="shared" si="13"/>
        <v>89.65517241379311</v>
      </c>
      <c r="E39" s="72"/>
      <c r="F39" s="307">
        <f t="shared" si="14"/>
        <v>910</v>
      </c>
      <c r="G39" s="307">
        <f t="shared" si="9"/>
        <v>1000.1207729468599</v>
      </c>
      <c r="H39" s="307">
        <f t="shared" si="15"/>
        <v>90.989010989010993</v>
      </c>
      <c r="I39" s="72"/>
      <c r="J39" s="307">
        <f t="shared" si="16"/>
        <v>981</v>
      </c>
      <c r="K39" s="307">
        <f t="shared" si="10"/>
        <v>1031.4694533762058</v>
      </c>
      <c r="L39" s="307">
        <f t="shared" si="17"/>
        <v>95.107033639143737</v>
      </c>
      <c r="M39" s="72"/>
      <c r="N39" s="307">
        <f t="shared" si="18"/>
        <v>1010</v>
      </c>
      <c r="O39" s="307">
        <f t="shared" si="11"/>
        <v>1059.293873312565</v>
      </c>
      <c r="P39" s="307">
        <f t="shared" si="19"/>
        <v>95.346534653465341</v>
      </c>
    </row>
    <row r="40" spans="1:17">
      <c r="A40" s="71" t="s">
        <v>45</v>
      </c>
      <c r="B40" s="307">
        <f t="shared" si="12"/>
        <v>1856</v>
      </c>
      <c r="C40" s="307">
        <f t="shared" si="8"/>
        <v>1998.1067285382831</v>
      </c>
      <c r="D40" s="307">
        <f t="shared" si="13"/>
        <v>92.887931034482762</v>
      </c>
      <c r="E40" s="72"/>
      <c r="F40" s="307">
        <f t="shared" si="14"/>
        <v>2050</v>
      </c>
      <c r="G40" s="307">
        <f t="shared" si="9"/>
        <v>2151.8177163338455</v>
      </c>
      <c r="H40" s="307">
        <f t="shared" si="15"/>
        <v>95.268292682926827</v>
      </c>
      <c r="I40" s="72"/>
      <c r="J40" s="307">
        <f t="shared" si="16"/>
        <v>2185</v>
      </c>
      <c r="K40" s="307">
        <f t="shared" si="10"/>
        <v>2309.7363328495403</v>
      </c>
      <c r="L40" s="307">
        <f t="shared" si="17"/>
        <v>94.599542334096114</v>
      </c>
      <c r="M40" s="72"/>
      <c r="N40" s="307">
        <f t="shared" si="18"/>
        <v>2132</v>
      </c>
      <c r="O40" s="307">
        <f t="shared" si="11"/>
        <v>2264.7852516193325</v>
      </c>
      <c r="P40" s="307">
        <f t="shared" si="19"/>
        <v>94.136960600375232</v>
      </c>
    </row>
    <row r="41" spans="1:17">
      <c r="A41" s="71" t="s">
        <v>48</v>
      </c>
      <c r="B41" s="307" cm="1">
        <f t="array" ref="B41">SUM(SUMIFS(B9:B40,$A$9:$A$40,{"Glasgow City","Inverclyde","South Lanarkshire","North Lanarkshire","East Renfrewshire","Renfrewshire","West Dunbartonshire","East Dunbatonshire"}))</f>
        <v>15431</v>
      </c>
      <c r="C41" s="307" cm="1">
        <f t="array" ref="C41">SUM(SUMIFS(C9:C40,$A$9:$A$40,{"Glasgow City","Inverclyde","South Lanarkshire","North Lanarkshire","East Renfrewshire","Renfrewshire","West Dunbartonshire","East Dunbatonshire"}))</f>
        <v>16539.085107392031</v>
      </c>
      <c r="D41" s="308">
        <f t="shared" ref="D41" si="20">(B41/C41)*100</f>
        <v>93.300203123709792</v>
      </c>
      <c r="E41" s="72"/>
      <c r="F41" s="307" cm="1">
        <f t="array" ref="F41">SUM(SUMIFS(F9:F40,$A$9:$A$40,{"Glasgow City","Inverclyde","South Lanarkshire","North Lanarkshire","East Renfrewshire","Renfrewshire","West Dunbartonshire","East Dunbatonshire"}))</f>
        <v>16284</v>
      </c>
      <c r="G41" s="307" cm="1">
        <f t="array" ref="G41">SUM(SUMIFS(G9:G40,$A$9:$A$40,{"Glasgow City","Inverclyde","South Lanarkshire","North Lanarkshire","East Renfrewshire","Renfrewshire","West Dunbartonshire","East Dunbatonshire"}))</f>
        <v>17034.590567784318</v>
      </c>
      <c r="H41" s="308">
        <f t="shared" ref="H41" si="21">(F41/G41)*100</f>
        <v>95.593726982767464</v>
      </c>
      <c r="I41" s="72"/>
      <c r="J41" s="307" cm="1">
        <f t="array" ref="J41">SUM(SUMIFS(J9:J40,$A$9:$A$40,{"Glasgow City","Inverclyde","South Lanarkshire","North Lanarkshire","East Renfrewshire","Renfrewshire","West Dunbartonshire","East Dunbatonshire"}))</f>
        <v>17486</v>
      </c>
      <c r="K41" s="307" cm="1">
        <f t="array" ref="K41">SUM(SUMIFS(K9:K40,$A$9:$A$40,{"Glasgow City","Inverclyde","South Lanarkshire","North Lanarkshire","East Renfrewshire","Renfrewshire","West Dunbartonshire","East Dunbatonshire"}))</f>
        <v>18206.928264894566</v>
      </c>
      <c r="L41" s="308">
        <f t="shared" ref="L41" si="22">(J41/K41)*100</f>
        <v>96.040363017826493</v>
      </c>
      <c r="M41" s="72"/>
      <c r="N41" s="307" cm="1">
        <f t="array" ref="N41">SUM(SUMIFS(N9:N40,$A$9:$A$40,{"Glasgow City","Inverclyde","South Lanarkshire","North Lanarkshire","East Renfrewshire","Renfrewshire","West Dunbartonshire","East Dunbatonshire"}))</f>
        <v>17770</v>
      </c>
      <c r="O41" s="307" cm="1">
        <f t="array" ref="O41">SUM(SUMIFS(O9:O40,$A$9:$A$40,{"Glasgow City","Inverclyde","South Lanarkshire","North Lanarkshire","East Renfrewshire","Renfrewshire","West Dunbartonshire","East Dunbatonshire"}))</f>
        <v>18396.276867014156</v>
      </c>
      <c r="P41" s="308">
        <f t="shared" ref="P41" si="23">(N41/O41)*100</f>
        <v>96.595632520963434</v>
      </c>
    </row>
    <row r="42" spans="1:17">
      <c r="A42" s="71" t="s">
        <v>46</v>
      </c>
      <c r="B42" s="307">
        <f>VLOOKUP($A42&amp;B$8,$A$57:$F$485,5,0)</f>
        <v>47454</v>
      </c>
      <c r="C42" s="307">
        <f t="shared" si="8"/>
        <v>50838.291364713848</v>
      </c>
      <c r="D42" s="307">
        <f>VLOOKUP($A42&amp;D$8,$A$57:$F$485,6,0)</f>
        <v>93.343026931344042</v>
      </c>
      <c r="E42" s="72"/>
      <c r="F42" s="307">
        <f>VLOOKUP($A42&amp;F$8,$A$57:$F$485,5,0)</f>
        <v>50746</v>
      </c>
      <c r="G42" s="307">
        <f t="shared" ref="G42" si="24">SUM(F42/SUM(H42/100))</f>
        <v>53149.708282594787</v>
      </c>
      <c r="H42" s="307">
        <f>VLOOKUP($A42&amp;H$8,$A$57:$F$485,6,0)</f>
        <v>95.477476057226184</v>
      </c>
      <c r="I42" s="72"/>
      <c r="J42" s="307">
        <f>VLOOKUP($A42&amp;J$8,$A$57:$F$485,5,0)</f>
        <v>55237</v>
      </c>
      <c r="K42" s="307">
        <f t="shared" ref="K42" si="25">SUM(J42/SUM(L42/100))</f>
        <v>57700.148811437444</v>
      </c>
      <c r="L42" s="307">
        <f>VLOOKUP($A42&amp;L$8,$A$57:$F$485,6,0)</f>
        <v>95.73112225501022</v>
      </c>
      <c r="M42" s="72"/>
      <c r="N42" s="307">
        <f>VLOOKUP($A42&amp;N$8,$A$57:$F$485,5,0)</f>
        <v>54743</v>
      </c>
      <c r="O42" s="307">
        <f t="shared" ref="O42" si="26">SUM(N42/SUM(P42/100))</f>
        <v>57103.583250762189</v>
      </c>
      <c r="P42" s="307">
        <f>VLOOKUP($A42&amp;P$8,$A$57:$F$485,6,0)</f>
        <v>95.866138136382745</v>
      </c>
    </row>
    <row r="43" spans="1:17">
      <c r="A43" s="71"/>
      <c r="B43" s="73"/>
      <c r="C43" s="73"/>
      <c r="D43" s="74"/>
      <c r="E43" s="72"/>
      <c r="F43" s="73"/>
      <c r="G43" s="73"/>
      <c r="H43" s="74"/>
      <c r="I43" s="72"/>
      <c r="J43" s="73"/>
      <c r="K43" s="73"/>
      <c r="L43" s="74"/>
      <c r="M43" s="72"/>
      <c r="N43" s="73"/>
      <c r="O43" s="73"/>
      <c r="P43" s="74"/>
    </row>
    <row r="44" spans="1:17" customFormat="1" ht="15">
      <c r="A44" s="10" t="s">
        <v>246</v>
      </c>
      <c r="B44" s="285" cm="1">
        <f t="array" ref="B44">SUM(SUMIFS(B$9:B$40,$A$9:$A$40,{"Na h-Eileanan Siar","Argyll and Bute","Shetland Islands","Highland","Orkney Islands","Scottish Borders","Dumfries and Galloway","Aberdeenshire"}))</f>
        <v>8408</v>
      </c>
      <c r="C44" s="285">
        <f>SUM(SUMIFS(C$9:C$40,$A$9:$A$40,{"Na h-Eileanan Siar","Argyll and Bute","Shetland Islands","Highland","Orkney Islands","Scottish Borders","Dumfries and Galloway","Aberdeenshire"}))</f>
        <v>9002.4000569803629</v>
      </c>
      <c r="D44" s="288">
        <f t="shared" ref="D44:D47" si="27">SUM(B44/C44)*100</f>
        <v>93.397315680061652</v>
      </c>
      <c r="E44" s="7"/>
      <c r="F44" s="285">
        <f>SUM(SUMIFS(F$9:F$40,$A$9:$A$40,{"Na h-Eileanan Siar","Argyll and Bute","Shetland Islands","Highland","Orkney Islands","Scottish Borders","Dumfries and Galloway","Aberdeenshire"}))</f>
        <v>8817</v>
      </c>
      <c r="G44" s="285">
        <f>SUM(SUMIFS(G$9:G$40,$A$9:$A$40,{"Na h-Eileanan Siar","Argyll and Bute","Shetland Islands","Highland","Orkney Islands","Scottish Borders","Dumfries and Galloway","Aberdeenshire"}))</f>
        <v>9258.7238696841741</v>
      </c>
      <c r="H44" s="288">
        <f t="shared" ref="H44:H47" si="28">SUM(F44/G44)*100</f>
        <v>95.229106344444403</v>
      </c>
      <c r="I44" s="7"/>
      <c r="J44" s="285">
        <f>SUM(SUMIFS(J$9:J$40,$A$9:$A$40,{"Na h-Eileanan Siar","Argyll and Bute","Shetland Islands","Highland","Orkney Islands","Scottish Borders","Dumfries and Galloway","Aberdeenshire"}))</f>
        <v>9582</v>
      </c>
      <c r="K44" s="285">
        <f>SUM(SUMIFS(K$9:K$40,$A$9:$A$40,{"Na h-Eileanan Siar","Argyll and Bute","Shetland Islands","Highland","Orkney Islands","Scottish Borders","Dumfries and Galloway","Aberdeenshire"}))</f>
        <v>10001.440009004187</v>
      </c>
      <c r="L44" s="288">
        <f t="shared" ref="L44:L47" si="29">SUM(J44/K44)*100</f>
        <v>95.806203820384155</v>
      </c>
      <c r="M44" s="7"/>
      <c r="N44" s="285">
        <f>SUM(SUMIFS(N$9:N$40,$A$9:$A$40,{"Na h-Eileanan Siar","Argyll and Bute","Shetland Islands","Highland","Orkney Islands","Scottish Borders","Dumfries and Galloway","Aberdeenshire"}))</f>
        <v>9357</v>
      </c>
      <c r="O44" s="285">
        <f>SUM(SUMIFS(O$9:O$40,$A$9:$A$40,{"Na h-Eileanan Siar","Argyll and Bute","Shetland Islands","Highland","Orkney Islands","Scottish Borders","Dumfries and Galloway","Aberdeenshire"}))</f>
        <v>9771.0024536119454</v>
      </c>
      <c r="P44" s="288">
        <f t="shared" ref="P44:P47" si="30">SUM(N44/O44)*100</f>
        <v>95.762948012986058</v>
      </c>
      <c r="Q44" s="14"/>
    </row>
    <row r="45" spans="1:17" customFormat="1" ht="15">
      <c r="A45" s="10" t="s">
        <v>247</v>
      </c>
      <c r="B45" s="285">
        <f>SUM(SUMIFS(B$9:B$40,$A$9:$A$40,{"Perth and Kinross","Stirling","Moray","South Ayrshire","East Ayrshire","East Lothian","North Ayrshire","Fife"}))</f>
        <v>10686</v>
      </c>
      <c r="C45" s="285">
        <f>SUM(SUMIFS(C$9:C$40,$A$9:$A$40,{"Perth and Kinross","Stirling","Moray","South Ayrshire","East Ayrshire","East Lothian","North Ayrshire","Fife"}))</f>
        <v>11446.419905247445</v>
      </c>
      <c r="D45" s="288">
        <f t="shared" si="27"/>
        <v>93.356700946303377</v>
      </c>
      <c r="E45" s="7"/>
      <c r="F45" s="285">
        <f>SUM(SUMIFS(F$9:F$40,$A$9:$A$40,{"Perth and Kinross","Stirling","Moray","South Ayrshire","East Ayrshire","East Lothian","North Ayrshire","Fife"}))</f>
        <v>11926</v>
      </c>
      <c r="G45" s="285">
        <f>SUM(SUMIFS(G$9:G$40,$A$9:$A$40,{"Perth and Kinross","Stirling","Moray","South Ayrshire","East Ayrshire","East Lothian","North Ayrshire","Fife"}))</f>
        <v>12511.765454432083</v>
      </c>
      <c r="H45" s="288">
        <f t="shared" si="28"/>
        <v>95.318282966816753</v>
      </c>
      <c r="I45" s="7"/>
      <c r="J45" s="285">
        <f>SUM(SUMIFS(J$9:J$40,$A$9:$A$40,{"Perth and Kinross","Stirling","Moray","South Ayrshire","East Ayrshire","East Lothian","North Ayrshire","Fife"}))</f>
        <v>12761</v>
      </c>
      <c r="K45" s="285">
        <f>SUM(SUMIFS(K$9:K$40,$A$9:$A$40,{"Perth and Kinross","Stirling","Moray","South Ayrshire","East Ayrshire","East Lothian","North Ayrshire","Fife"}))</f>
        <v>13321.204253755783</v>
      </c>
      <c r="L45" s="288">
        <f t="shared" si="29"/>
        <v>95.794642563206409</v>
      </c>
      <c r="M45" s="7"/>
      <c r="N45" s="285">
        <f>SUM(SUMIFS(N$9:N$40,$A$9:$A$40,{"Perth and Kinross","Stirling","Moray","South Ayrshire","East Ayrshire","East Lothian","North Ayrshire","Fife"}))</f>
        <v>12476</v>
      </c>
      <c r="O45" s="285">
        <f>SUM(SUMIFS(O$9:O$40,$A$9:$A$40,{"Perth and Kinross","Stirling","Moray","South Ayrshire","East Ayrshire","East Lothian","North Ayrshire","Fife"}))</f>
        <v>13033.04875268972</v>
      </c>
      <c r="P45" s="288">
        <f t="shared" si="30"/>
        <v>95.725875324645287</v>
      </c>
      <c r="Q45" s="14"/>
    </row>
    <row r="46" spans="1:17" customFormat="1" ht="15">
      <c r="A46" s="10" t="s">
        <v>248</v>
      </c>
      <c r="B46" s="285">
        <f>SUM(SUMIFS(B$9:B$40,$A$9:$A$40,{"Angus","Clackmannanshire","Midlothian","South Lanarkshire","Inverclyde","Renfrewshire","West Lothian","East Renfrewshire"}))</f>
        <v>11015</v>
      </c>
      <c r="C46" s="285">
        <f>SUM(SUMIFS(C$9:C$40,$A$9:$A$40,{"Angus","Clackmannanshire","Midlothian","South Lanarkshire","Inverclyde","Renfrewshire","West Lothian","East Renfrewshire"}))</f>
        <v>11676.922602210487</v>
      </c>
      <c r="D46" s="288">
        <f t="shared" si="27"/>
        <v>94.331360883687083</v>
      </c>
      <c r="E46" s="7"/>
      <c r="F46" s="285">
        <f>SUM(SUMIFS(F$9:F$40,$A$9:$A$40,{"Angus","Clackmannanshire","Midlothian","South Lanarkshire","Inverclyde","Renfrewshire","West Lothian","East Renfrewshire"}))</f>
        <v>11616</v>
      </c>
      <c r="G46" s="285">
        <f>SUM(SUMIFS(G$9:G$40,$A$9:$A$40,{"Angus","Clackmannanshire","Midlothian","South Lanarkshire","Inverclyde","Renfrewshire","West Lothian","East Renfrewshire"}))</f>
        <v>12094.437734347057</v>
      </c>
      <c r="H46" s="288">
        <f t="shared" si="28"/>
        <v>96.044150667803777</v>
      </c>
      <c r="I46" s="7"/>
      <c r="J46" s="285">
        <f>SUM(SUMIFS(J$9:J$40,$A$9:$A$40,{"Angus","Clackmannanshire","Midlothian","South Lanarkshire","Inverclyde","Renfrewshire","West Lothian","East Renfrewshire"}))</f>
        <v>12742</v>
      </c>
      <c r="K46" s="285">
        <f>SUM(SUMIFS(K$9:K$40,$A$9:$A$40,{"Angus","Clackmannanshire","Midlothian","South Lanarkshire","Inverclyde","Renfrewshire","West Lothian","East Renfrewshire"}))</f>
        <v>13311.218999762885</v>
      </c>
      <c r="L46" s="288">
        <f t="shared" si="29"/>
        <v>95.723765045312348</v>
      </c>
      <c r="M46" s="7"/>
      <c r="N46" s="285">
        <f>SUM(SUMIFS(N$9:N$40,$A$9:$A$40,{"Angus","Clackmannanshire","Midlothian","South Lanarkshire","Inverclyde","Renfrewshire","West Lothian","East Renfrewshire"}))</f>
        <v>12533</v>
      </c>
      <c r="O46" s="285">
        <f>SUM(SUMIFS(O$9:O$40,$A$9:$A$40,{"Angus","Clackmannanshire","Midlothian","South Lanarkshire","Inverclyde","Renfrewshire","West Lothian","East Renfrewshire"}))</f>
        <v>13049.003714648365</v>
      </c>
      <c r="P46" s="288">
        <f t="shared" si="30"/>
        <v>96.045646656770302</v>
      </c>
      <c r="Q46" s="14"/>
    </row>
    <row r="47" spans="1:17" customFormat="1" ht="15">
      <c r="A47" s="10" t="s">
        <v>249</v>
      </c>
      <c r="B47" s="285">
        <f>SUM(SUMIFS(B$9:B$40,$A$9:$A$40,{"North Lanarkshire","Falkirk","East Dunbartonshire","Aberdeen City","Edinburgh, City of","West Dunbartonshire","Dundee City","Glasgow City"}))</f>
        <v>17002</v>
      </c>
      <c r="C47" s="285">
        <f>SUM(SUMIFS(C$9:C$40,$A$9:$A$40,{"North Lanarkshire","Falkirk","East Dunbartonshire","Aberdeen City","Edinburgh, City of","West Dunbartonshire","Dundee City","Glasgow City"}))</f>
        <v>18380.307617946011</v>
      </c>
      <c r="D47" s="288">
        <f t="shared" si="27"/>
        <v>92.501172196920848</v>
      </c>
      <c r="E47" s="7"/>
      <c r="F47" s="285">
        <f>SUM(SUMIFS(F$9:F$40,$A$9:$A$40,{"North Lanarkshire","Falkirk","East Dunbartonshire","Aberdeen City","Edinburgh, City of","West Dunbartonshire","Dundee City","Glasgow City"}))</f>
        <v>18005</v>
      </c>
      <c r="G47" s="285">
        <f>SUM(SUMIFS(G$9:G$40,$A$9:$A$40,{"North Lanarkshire","Falkirk","East Dunbartonshire","Aberdeen City","Edinburgh, City of","West Dunbartonshire","Dundee City","Glasgow City"}))</f>
        <v>18904.16382755489</v>
      </c>
      <c r="H47" s="288">
        <f t="shared" si="28"/>
        <v>95.243567312698275</v>
      </c>
      <c r="I47" s="7"/>
      <c r="J47" s="285">
        <f>SUM(SUMIFS(J$9:J$40,$A$9:$A$40,{"North Lanarkshire","Falkirk","East Dunbartonshire","Aberdeen City","Edinburgh, City of","West Dunbartonshire","Dundee City","Glasgow City"}))</f>
        <v>19786</v>
      </c>
      <c r="K47" s="285">
        <f>SUM(SUMIFS(K$9:K$40,$A$9:$A$40,{"North Lanarkshire","Falkirk","East Dunbartonshire","Aberdeen City","Edinburgh, City of","West Dunbartonshire","Dundee City","Glasgow City"}))</f>
        <v>20702.64178852308</v>
      </c>
      <c r="L47" s="288">
        <f t="shared" si="29"/>
        <v>95.5723438685432</v>
      </c>
      <c r="M47" s="7"/>
      <c r="N47" s="285">
        <f>SUM(SUMIFS(N$9:N$40,$A$9:$A$40,{"North Lanarkshire","Falkirk","East Dunbartonshire","Aberdeen City","Edinburgh, City of","West Dunbartonshire","Dundee City","Glasgow City"}))</f>
        <v>20046</v>
      </c>
      <c r="O47" s="285">
        <f>SUM(SUMIFS(O$9:O$40,$A$9:$A$40,{"North Lanarkshire","Falkirk","East Dunbartonshire","Aberdeen City","Edinburgh, City of","West Dunbartonshire","Dundee City","Glasgow City"}))</f>
        <v>20912.445460350096</v>
      </c>
      <c r="P47" s="288">
        <f t="shared" si="30"/>
        <v>95.856795122345346</v>
      </c>
      <c r="Q47" s="14"/>
    </row>
    <row r="48" spans="1:17">
      <c r="A48" s="71"/>
      <c r="B48" s="72"/>
      <c r="C48" s="72"/>
      <c r="D48" s="72"/>
      <c r="E48" s="72"/>
      <c r="F48" s="72"/>
      <c r="G48" s="72"/>
      <c r="H48" s="72"/>
      <c r="I48" s="72"/>
      <c r="J48" s="72"/>
      <c r="K48" s="72"/>
      <c r="L48" s="72"/>
      <c r="M48" s="72"/>
      <c r="N48" s="72"/>
      <c r="O48" s="72"/>
      <c r="P48" s="72"/>
    </row>
    <row r="49" spans="1:17">
      <c r="A49" s="71"/>
      <c r="B49" s="72"/>
      <c r="C49" s="72"/>
      <c r="D49" s="72"/>
      <c r="E49" s="72"/>
      <c r="F49" s="72"/>
      <c r="G49" s="72"/>
      <c r="H49" s="72"/>
      <c r="I49" s="72"/>
      <c r="J49" s="72"/>
      <c r="K49" s="72"/>
      <c r="L49" s="72"/>
      <c r="M49" s="72"/>
      <c r="N49" s="72"/>
      <c r="O49" s="72"/>
      <c r="P49" s="72"/>
    </row>
    <row r="50" spans="1:17" customFormat="1" ht="15">
      <c r="A50" s="10" t="s">
        <v>156</v>
      </c>
      <c r="B50" s="287" cm="1">
        <f t="array" ref="B50">SUM(SUMIFS(B$9:B$40,$A$9:$A$40,{"Aberdeen City","Aberdeenshire"}))</f>
        <v>3985</v>
      </c>
      <c r="C50" s="287" cm="1">
        <f t="array" ref="C50">SUM(SUMIFS(C$9:C$40,$A$9:$A$40,{"Aberdeen City","Aberdeenshire"}))</f>
        <v>4282.6411078083365</v>
      </c>
      <c r="D50" s="286">
        <f>SUM(B50/C50)*100</f>
        <v>93.050057188643208</v>
      </c>
      <c r="E50" s="15"/>
      <c r="F50" s="287" cm="1">
        <f t="array" ref="F50">SUM(SUMIFS(F$9:F$40,$A$9:$A$40,{"Aberdeen City","Aberdeenshire"}))</f>
        <v>4107</v>
      </c>
      <c r="G50" s="287" cm="1">
        <f t="array" ref="G50">SUM(SUMIFS(G$9:G$40,$A$9:$A$40,{"Aberdeen City","Aberdeenshire"}))</f>
        <v>4282.2382204689902</v>
      </c>
      <c r="H50" s="286">
        <f>SUM(F50/G50)*100</f>
        <v>95.9077890708799</v>
      </c>
      <c r="I50" s="15"/>
      <c r="J50" s="287" cm="1">
        <f t="array" ref="J50">SUM(SUMIFS(J$9:J$40,$A$9:$A$40,{"Aberdeen City","Aberdeenshire"}))</f>
        <v>4602</v>
      </c>
      <c r="K50" s="287" cm="1">
        <f t="array" ref="K50">SUM(SUMIFS(K$9:K$40,$A$9:$A$40,{"Aberdeen City","Aberdeenshire"}))</f>
        <v>4817.5734194819888</v>
      </c>
      <c r="L50" s="286">
        <f>SUM(J50/K50)*100</f>
        <v>95.52526965940524</v>
      </c>
      <c r="M50" s="15"/>
      <c r="N50" s="287" cm="1">
        <f t="array" ref="N50">SUM(SUMIFS(N$9:N$40,$A$9:$A$40,{"Aberdeen City","Aberdeenshire"}))</f>
        <v>4641</v>
      </c>
      <c r="O50" s="287" cm="1">
        <f t="array" ref="O50">SUM(SUMIFS(O$9:O$40,$A$9:$A$40,{"Aberdeen City","Aberdeenshire"}))</f>
        <v>4894.631222382005</v>
      </c>
      <c r="P50" s="286">
        <f>SUM(N50/O50)*100</f>
        <v>94.8181750399865</v>
      </c>
      <c r="Q50" s="15"/>
    </row>
    <row r="51" spans="1:17" customFormat="1" ht="15">
      <c r="A51" s="10" t="s">
        <v>359</v>
      </c>
      <c r="B51" s="285" cm="1">
        <f t="array" ref="B51">SUM(SUMIFS(B$9:B$40,$A$9:$A$40,{"Falkirk","Stirling","Clackmannanshire"}))</f>
        <v>2900</v>
      </c>
      <c r="C51" s="285" cm="1">
        <f t="array" ref="C51">SUM(SUMIFS(C$9:C$40,$A$9:$A$40,{"Falkirk","Stirling","Clackmannanshire"}))</f>
        <v>3108.6137263917135</v>
      </c>
      <c r="D51" s="288">
        <f t="shared" ref="D51" si="31">SUM(B51/C51)*100</f>
        <v>93.289171806049396</v>
      </c>
      <c r="E51" s="7"/>
      <c r="F51" s="285" cm="1">
        <f t="array" ref="F51">SUM(SUMIFS(F$9:F$40,$A$9:$A$40,{"Falkirk","Stirling","Clackmannanshire"}))</f>
        <v>3028</v>
      </c>
      <c r="G51" s="285" cm="1">
        <f t="array" ref="G51">SUM(SUMIFS(G$9:G$40,$A$9:$A$40,{"Falkirk","Stirling","Clackmannanshire"}))</f>
        <v>3167.1225129357003</v>
      </c>
      <c r="H51" s="288">
        <f t="shared" ref="H51" si="32">SUM(F51/G51)*100</f>
        <v>95.607289823255257</v>
      </c>
      <c r="I51" s="7"/>
      <c r="J51" s="285" cm="1">
        <f t="array" ref="J51">SUM(SUMIFS(J$9:J$40,$A$9:$A$40,{"Falkirk","Stirling","Clackmannanshire"}))</f>
        <v>3388</v>
      </c>
      <c r="K51" s="285" cm="1">
        <f t="array" ref="K51">SUM(SUMIFS(K$9:K$40,$A$9:$A$40,{"Falkirk","Stirling","Clackmannanshire"}))</f>
        <v>3557.4335291145462</v>
      </c>
      <c r="L51" s="288">
        <f t="shared" ref="L51" si="33">SUM(J51/K51)*100</f>
        <v>95.237197610921527</v>
      </c>
      <c r="M51" s="7"/>
      <c r="N51" s="285" cm="1">
        <f t="array" ref="N51">SUM(SUMIFS(N$9:N$40,$A$9:$A$40,{"Falkirk","Stirling","Clackmannanshire"}))</f>
        <v>3343</v>
      </c>
      <c r="O51" s="285" cm="1">
        <f t="array" ref="O51">SUM(SUMIFS(O$9:O$40,$A$9:$A$40,{"Falkirk","Stirling","Clackmannanshire"}))</f>
        <v>3519.9851826139452</v>
      </c>
      <c r="P51" s="288">
        <f t="shared" ref="P51" si="34">SUM(N51/O51)*100</f>
        <v>94.97199069223025</v>
      </c>
      <c r="Q51" s="7"/>
    </row>
    <row r="52" spans="1:17" customFormat="1" ht="15">
      <c r="A52" s="10" t="s">
        <v>157</v>
      </c>
      <c r="B52" s="285" cm="1">
        <f t="array" ref="B52">SUM(SUMIFS(B$9:B$40,$A$9:$A$40,{"East Lothian","Edinburgh, City of","Fife","Midlothian","Scottish Borders","West Lothian"}))</f>
        <v>11083</v>
      </c>
      <c r="C52" s="285" cm="1">
        <f t="array" ref="C52">SUM(SUMIFS(C$9:C$40,$A$9:$A$40,{"East Lothian","Edinburgh, City of","Fife","Midlothian","Scottish Borders","West Lothian"}))</f>
        <v>11954.488684678503</v>
      </c>
      <c r="D52" s="286">
        <f>SUM(B52/C52)*100</f>
        <v>92.709945965355686</v>
      </c>
      <c r="E52" s="15"/>
      <c r="F52" s="285" cm="1">
        <f t="array" ref="F52">SUM(SUMIFS(F$9:F$40,$A$9:$A$40,{"East Lothian","Edinburgh, City of","Fife","Midlothian","Scottish Borders","West Lothian"}))</f>
        <v>12124</v>
      </c>
      <c r="G52" s="285" cm="1">
        <f t="array" ref="G52">SUM(SUMIFS(G$9:G$40,$A$9:$A$40,{"East Lothian","Edinburgh, City of","Fife","Midlothian","Scottish Borders","West Lothian"}))</f>
        <v>12774.876291624229</v>
      </c>
      <c r="H52" s="286">
        <f>SUM(F52/G52)*100</f>
        <v>94.90502861424207</v>
      </c>
      <c r="I52" s="15"/>
      <c r="J52" s="285" cm="1">
        <f t="array" ref="J52">SUM(SUMIFS(J$9:J$40,$A$9:$A$40,{"East Lothian","Edinburgh, City of","Fife","Midlothian","Scottish Borders","West Lothian"}))</f>
        <v>13311</v>
      </c>
      <c r="K52" s="285" cm="1">
        <f t="array" ref="K52">SUM(SUMIFS(K$9:K$40,$A$9:$A$40,{"East Lothian","Edinburgh, City of","Fife","Midlothian","Scottish Borders","West Lothian"}))</f>
        <v>13948.835805778763</v>
      </c>
      <c r="L52" s="286">
        <f>SUM(J52/K52)*100</f>
        <v>95.427318704873429</v>
      </c>
      <c r="M52" s="15"/>
      <c r="N52" s="285" cm="1">
        <f t="array" ref="N52">SUM(SUMIFS(N$9:N$40,$A$9:$A$40,{"East Lothian","Edinburgh, City of","Fife","Midlothian","Scottish Borders","West Lothian"}))</f>
        <v>13108</v>
      </c>
      <c r="O52" s="285" cm="1">
        <f t="array" ref="O52">SUM(SUMIFS(O$9:O$40,$A$9:$A$40,{"East Lothian","Edinburgh, City of","Fife","Midlothian","Scottish Borders","West Lothian"}))</f>
        <v>13752.960910066919</v>
      </c>
      <c r="P52" s="286">
        <f>SUM(N52/O52)*100</f>
        <v>95.31038505610222</v>
      </c>
      <c r="Q52" s="15"/>
    </row>
    <row r="53" spans="1:17" customFormat="1" ht="15">
      <c r="A53" s="10" t="s">
        <v>158</v>
      </c>
      <c r="B53" s="285" cm="1">
        <f t="array" ref="B53">SUM(SUMIFS(B$9:B$40,$A$9:$A$40,{"Angus","Dundee City","Fife","Perth and Kinross"}))</f>
        <v>6813</v>
      </c>
      <c r="C53" s="285" cm="1">
        <f t="array" ref="C53">SUM(SUMIFS(C$9:C$40,$A$9:$A$40,{"Angus","Dundee City","Fife","Perth and Kinross"}))</f>
        <v>7354.5287006455674</v>
      </c>
      <c r="D53" s="286">
        <f>SUM(B53/C53)*100</f>
        <v>92.636799410436282</v>
      </c>
      <c r="E53" s="15"/>
      <c r="F53" s="285" cm="1">
        <f t="array" ref="F53">SUM(SUMIFS(F$9:F$40,$A$9:$A$40,{"Angus","Dundee City","Fife","Perth and Kinross"}))</f>
        <v>7590</v>
      </c>
      <c r="G53" s="285" cm="1">
        <f t="array" ref="G53">SUM(SUMIFS(G$9:G$40,$A$9:$A$40,{"Angus","Dundee City","Fife","Perth and Kinross"}))</f>
        <v>8022.3535260614608</v>
      </c>
      <c r="H53" s="286">
        <f>SUM(F53/G53)*100</f>
        <v>94.610639824623604</v>
      </c>
      <c r="I53" s="15"/>
      <c r="J53" s="285" cm="1">
        <f t="array" ref="J53">SUM(SUMIFS(J$9:J$40,$A$9:$A$40,{"Angus","Dundee City","Fife","Perth and Kinross"}))</f>
        <v>8258</v>
      </c>
      <c r="K53" s="285" cm="1">
        <f t="array" ref="K53">SUM(SUMIFS(K$9:K$40,$A$9:$A$40,{"Angus","Dundee City","Fife","Perth and Kinross"}))</f>
        <v>8747.7927051351853</v>
      </c>
      <c r="L53" s="286">
        <f>SUM(J53/K53)*100</f>
        <v>94.400956656784246</v>
      </c>
      <c r="M53" s="15"/>
      <c r="N53" s="285" cm="1">
        <f t="array" ref="N53">SUM(SUMIFS(N$9:N$40,$A$9:$A$40,{"Angus","Dundee City","Fife","Perth and Kinross"}))</f>
        <v>7894</v>
      </c>
      <c r="O53" s="285" cm="1">
        <f t="array" ref="O53">SUM(SUMIFS(O$9:O$40,$A$9:$A$40,{"Angus","Dundee City","Fife","Perth and Kinross"}))</f>
        <v>8283.497461049401</v>
      </c>
      <c r="P53" s="286">
        <f>SUM(N53/O53)*100</f>
        <v>95.297910539830639</v>
      </c>
      <c r="Q53" s="15"/>
    </row>
    <row r="54" spans="1:17">
      <c r="A54" s="71"/>
      <c r="B54" s="72"/>
      <c r="C54" s="72"/>
      <c r="D54" s="72"/>
      <c r="E54" s="72"/>
      <c r="F54" s="72"/>
      <c r="G54" s="72"/>
      <c r="H54" s="72"/>
      <c r="I54" s="72"/>
      <c r="J54" s="72"/>
      <c r="K54" s="72"/>
      <c r="L54" s="72"/>
      <c r="M54" s="72"/>
      <c r="N54" s="72"/>
      <c r="O54" s="72"/>
      <c r="P54" s="72"/>
    </row>
    <row r="56" spans="1:17">
      <c r="A56" s="62" t="s">
        <v>390</v>
      </c>
      <c r="B56" s="62" t="s">
        <v>391</v>
      </c>
      <c r="C56" s="62" t="s">
        <v>392</v>
      </c>
      <c r="D56" s="62" t="s">
        <v>386</v>
      </c>
      <c r="E56" s="62" t="s">
        <v>387</v>
      </c>
      <c r="F56" s="62" t="s">
        <v>388</v>
      </c>
      <c r="H56" s="62" t="s">
        <v>394</v>
      </c>
    </row>
    <row r="57" spans="1:17">
      <c r="A57" s="305" t="str">
        <f t="shared" ref="A57:A120" si="35">D57&amp;B57</f>
        <v>Aberdeen City2022-23</v>
      </c>
      <c r="B57" s="62" t="s">
        <v>424</v>
      </c>
      <c r="C57" s="62">
        <v>100</v>
      </c>
      <c r="D57" s="62" t="s">
        <v>15</v>
      </c>
      <c r="E57" s="62">
        <v>1807</v>
      </c>
      <c r="F57" s="62">
        <v>93.580520199225234</v>
      </c>
      <c r="H57" s="305" t="str" cm="1">
        <f t="array" ref="H57:H69">_xlfn.UNIQUE(B57:B485)</f>
        <v>2022-23</v>
      </c>
    </row>
    <row r="58" spans="1:17">
      <c r="A58" s="305" t="str">
        <f t="shared" si="35"/>
        <v>Aberdeenshire2022-23</v>
      </c>
      <c r="B58" s="62" t="s">
        <v>424</v>
      </c>
      <c r="C58" s="62">
        <v>110</v>
      </c>
      <c r="D58" s="62" t="s">
        <v>16</v>
      </c>
      <c r="E58" s="62">
        <v>2834</v>
      </c>
      <c r="F58" s="62">
        <v>95.624558927311227</v>
      </c>
      <c r="H58" s="305" t="str">
        <v>2021-22</v>
      </c>
    </row>
    <row r="59" spans="1:17">
      <c r="A59" s="305" t="str">
        <f t="shared" si="35"/>
        <v>Angus2022-23</v>
      </c>
      <c r="B59" s="62" t="s">
        <v>424</v>
      </c>
      <c r="C59" s="62">
        <v>120</v>
      </c>
      <c r="D59" s="62" t="s">
        <v>17</v>
      </c>
      <c r="E59" s="62">
        <v>1191</v>
      </c>
      <c r="F59" s="62">
        <v>94.374475230898398</v>
      </c>
      <c r="H59" s="305" t="str">
        <v>2020-21</v>
      </c>
    </row>
    <row r="60" spans="1:17">
      <c r="A60" s="305" t="str">
        <f t="shared" si="35"/>
        <v>Argyll and Bute2022-23</v>
      </c>
      <c r="B60" s="62" t="s">
        <v>424</v>
      </c>
      <c r="C60" s="62">
        <v>130</v>
      </c>
      <c r="D60" s="62" t="s">
        <v>18</v>
      </c>
      <c r="E60" s="62">
        <v>783</v>
      </c>
      <c r="F60" s="62">
        <v>95.146871008939968</v>
      </c>
      <c r="H60" s="305" t="str">
        <v>2019-20</v>
      </c>
    </row>
    <row r="61" spans="1:17">
      <c r="A61" s="305" t="str">
        <f t="shared" si="35"/>
        <v>Clackmannanshire2022-23</v>
      </c>
      <c r="B61" s="62" t="s">
        <v>424</v>
      </c>
      <c r="C61" s="62">
        <v>150</v>
      </c>
      <c r="D61" s="62" t="s">
        <v>19</v>
      </c>
      <c r="E61" s="62">
        <v>486</v>
      </c>
      <c r="F61" s="62">
        <v>94.855967078189295</v>
      </c>
      <c r="H61" s="305" t="str">
        <v>2018-19</v>
      </c>
    </row>
    <row r="62" spans="1:17">
      <c r="A62" s="305" t="str">
        <f t="shared" si="35"/>
        <v>Dumfries and Galloway2022-23</v>
      </c>
      <c r="B62" s="62" t="s">
        <v>424</v>
      </c>
      <c r="C62" s="62">
        <v>170</v>
      </c>
      <c r="D62" s="62" t="s">
        <v>20</v>
      </c>
      <c r="E62" s="62">
        <v>1479</v>
      </c>
      <c r="F62" s="62">
        <v>95.943204868154154</v>
      </c>
      <c r="H62" s="305" t="str">
        <v>2017-18</v>
      </c>
    </row>
    <row r="63" spans="1:17">
      <c r="A63" s="305" t="str">
        <f t="shared" si="35"/>
        <v>Dundee City2022-23</v>
      </c>
      <c r="B63" s="62" t="s">
        <v>424</v>
      </c>
      <c r="C63" s="62">
        <v>180</v>
      </c>
      <c r="D63" s="62" t="s">
        <v>21</v>
      </c>
      <c r="E63" s="62">
        <v>1441</v>
      </c>
      <c r="F63" s="62">
        <v>95.558639833448993</v>
      </c>
      <c r="H63" s="305" t="str">
        <v>2016-17</v>
      </c>
    </row>
    <row r="64" spans="1:17">
      <c r="A64" s="305" t="str">
        <f t="shared" si="35"/>
        <v>East Ayrshire2022-23</v>
      </c>
      <c r="B64" s="62" t="s">
        <v>424</v>
      </c>
      <c r="C64" s="62">
        <v>190</v>
      </c>
      <c r="D64" s="62" t="s">
        <v>22</v>
      </c>
      <c r="E64" s="62">
        <v>1306</v>
      </c>
      <c r="F64" s="62">
        <v>95.09954058192956</v>
      </c>
      <c r="H64" s="305" t="str">
        <v>2015-16</v>
      </c>
    </row>
    <row r="65" spans="1:8">
      <c r="A65" s="305" t="str">
        <f t="shared" si="35"/>
        <v>East Dunbartonshire2022-23</v>
      </c>
      <c r="B65" s="62" t="s">
        <v>424</v>
      </c>
      <c r="C65" s="62">
        <v>200</v>
      </c>
      <c r="D65" s="62" t="s">
        <v>23</v>
      </c>
      <c r="E65" s="62">
        <v>1309</v>
      </c>
      <c r="F65" s="62">
        <v>98.624904507257455</v>
      </c>
      <c r="H65" s="305" t="str">
        <v>2014-15</v>
      </c>
    </row>
    <row r="66" spans="1:8">
      <c r="A66" s="305" t="str">
        <f t="shared" si="35"/>
        <v>East Lothian2022-23</v>
      </c>
      <c r="B66" s="62" t="s">
        <v>424</v>
      </c>
      <c r="C66" s="62">
        <v>210</v>
      </c>
      <c r="D66" s="62" t="s">
        <v>24</v>
      </c>
      <c r="E66" s="62">
        <v>1176</v>
      </c>
      <c r="F66" s="62">
        <v>96.258503401360542</v>
      </c>
      <c r="H66" s="305" t="str">
        <v>2013-14</v>
      </c>
    </row>
    <row r="67" spans="1:8">
      <c r="A67" s="305" t="str">
        <f t="shared" si="35"/>
        <v>East Renfrewshire2022-23</v>
      </c>
      <c r="B67" s="62" t="s">
        <v>424</v>
      </c>
      <c r="C67" s="62">
        <v>220</v>
      </c>
      <c r="D67" s="62" t="s">
        <v>25</v>
      </c>
      <c r="E67" s="62">
        <v>1353</v>
      </c>
      <c r="F67" s="62">
        <v>98.743532889874359</v>
      </c>
      <c r="H67" s="305" t="str">
        <v>2012-13</v>
      </c>
    </row>
    <row r="68" spans="1:8">
      <c r="A68" s="305" t="str">
        <f t="shared" si="35"/>
        <v>Edinburgh, City of2022-23</v>
      </c>
      <c r="B68" s="62" t="s">
        <v>424</v>
      </c>
      <c r="C68" s="62">
        <v>230</v>
      </c>
      <c r="D68" s="62" t="s">
        <v>126</v>
      </c>
      <c r="E68" s="62">
        <v>3699</v>
      </c>
      <c r="F68" s="62">
        <v>95.268991619356584</v>
      </c>
      <c r="H68" s="305" t="str">
        <v>2011-12</v>
      </c>
    </row>
    <row r="69" spans="1:8">
      <c r="A69" s="305" t="str">
        <f t="shared" si="35"/>
        <v>Falkirk2022-23</v>
      </c>
      <c r="B69" s="62" t="s">
        <v>424</v>
      </c>
      <c r="C69" s="62">
        <v>240</v>
      </c>
      <c r="D69" s="62" t="s">
        <v>26</v>
      </c>
      <c r="E69" s="62">
        <v>1766</v>
      </c>
      <c r="F69" s="62">
        <v>95.413363533408841</v>
      </c>
      <c r="H69" s="305" t="str">
        <v>2010-11</v>
      </c>
    </row>
    <row r="70" spans="1:8">
      <c r="A70" s="305" t="str">
        <f t="shared" si="35"/>
        <v>Fife2022-23</v>
      </c>
      <c r="B70" s="62" t="s">
        <v>424</v>
      </c>
      <c r="C70" s="62">
        <v>250</v>
      </c>
      <c r="D70" s="62" t="s">
        <v>27</v>
      </c>
      <c r="E70" s="62">
        <v>3920</v>
      </c>
      <c r="F70" s="62">
        <v>95.255102040816325</v>
      </c>
    </row>
    <row r="71" spans="1:8">
      <c r="A71" s="305" t="str">
        <f t="shared" si="35"/>
        <v>Glasgow City2022-23</v>
      </c>
      <c r="B71" s="62" t="s">
        <v>424</v>
      </c>
      <c r="C71" s="62">
        <v>260</v>
      </c>
      <c r="D71" s="62" t="s">
        <v>28</v>
      </c>
      <c r="E71" s="62">
        <v>5007</v>
      </c>
      <c r="F71" s="62">
        <v>97.723187537447572</v>
      </c>
    </row>
    <row r="72" spans="1:8">
      <c r="A72" s="305" t="str">
        <f t="shared" si="35"/>
        <v>Highland2022-23</v>
      </c>
      <c r="B72" s="62" t="s">
        <v>424</v>
      </c>
      <c r="C72" s="62">
        <v>270</v>
      </c>
      <c r="D72" s="62" t="s">
        <v>29</v>
      </c>
      <c r="E72" s="62">
        <v>2475</v>
      </c>
      <c r="F72" s="62">
        <v>95.27272727272728</v>
      </c>
    </row>
    <row r="73" spans="1:8">
      <c r="A73" s="305" t="str">
        <f t="shared" si="35"/>
        <v>Inverclyde2022-23</v>
      </c>
      <c r="B73" s="62" t="s">
        <v>424</v>
      </c>
      <c r="C73" s="62">
        <v>280</v>
      </c>
      <c r="D73" s="62" t="s">
        <v>30</v>
      </c>
      <c r="E73" s="62">
        <v>806</v>
      </c>
      <c r="F73" s="62">
        <v>96.40198511166254</v>
      </c>
    </row>
    <row r="74" spans="1:8">
      <c r="A74" s="305" t="str">
        <f t="shared" si="35"/>
        <v>Midlothian2022-23</v>
      </c>
      <c r="B74" s="62" t="s">
        <v>424</v>
      </c>
      <c r="C74" s="62">
        <v>290</v>
      </c>
      <c r="D74" s="62" t="s">
        <v>31</v>
      </c>
      <c r="E74" s="62">
        <v>978</v>
      </c>
      <c r="F74" s="62">
        <v>95.296523517382411</v>
      </c>
    </row>
    <row r="75" spans="1:8">
      <c r="A75" s="305" t="str">
        <f t="shared" si="35"/>
        <v>Moray2022-23</v>
      </c>
      <c r="B75" s="62" t="s">
        <v>424</v>
      </c>
      <c r="C75" s="62">
        <v>300</v>
      </c>
      <c r="D75" s="62" t="s">
        <v>32</v>
      </c>
      <c r="E75" s="62">
        <v>973</v>
      </c>
      <c r="F75" s="62">
        <v>95.066803699897235</v>
      </c>
    </row>
    <row r="76" spans="1:8">
      <c r="A76" s="305" t="str">
        <f t="shared" si="35"/>
        <v>Na h-Eileanan Siar2022-23</v>
      </c>
      <c r="B76" s="62" t="s">
        <v>424</v>
      </c>
      <c r="C76" s="62">
        <v>235</v>
      </c>
      <c r="D76" s="62" t="s">
        <v>33</v>
      </c>
      <c r="E76" s="62">
        <v>298</v>
      </c>
      <c r="F76" s="62">
        <v>98.322147651006702</v>
      </c>
    </row>
    <row r="77" spans="1:8">
      <c r="A77" s="305" t="str">
        <f t="shared" si="35"/>
        <v>North Ayrshire2022-23</v>
      </c>
      <c r="B77" s="62" t="s">
        <v>424</v>
      </c>
      <c r="C77" s="62">
        <v>310</v>
      </c>
      <c r="D77" s="62" t="s">
        <v>34</v>
      </c>
      <c r="E77" s="62">
        <v>1468</v>
      </c>
      <c r="F77" s="62">
        <v>96.525885558583099</v>
      </c>
    </row>
    <row r="78" spans="1:8">
      <c r="A78" s="305" t="str">
        <f t="shared" si="35"/>
        <v>North Lanarkshire2022-23</v>
      </c>
      <c r="B78" s="62" t="s">
        <v>424</v>
      </c>
      <c r="C78" s="62">
        <v>320</v>
      </c>
      <c r="D78" s="62" t="s">
        <v>35</v>
      </c>
      <c r="E78" s="62">
        <v>4007</v>
      </c>
      <c r="F78" s="62">
        <v>94.734215123533815</v>
      </c>
    </row>
    <row r="79" spans="1:8">
      <c r="A79" s="305" t="str">
        <f t="shared" si="35"/>
        <v>Orkney Islands2022-23</v>
      </c>
      <c r="B79" s="62" t="s">
        <v>424</v>
      </c>
      <c r="C79" s="62">
        <v>330</v>
      </c>
      <c r="D79" s="62" t="s">
        <v>36</v>
      </c>
      <c r="E79" s="62">
        <v>241</v>
      </c>
      <c r="F79" s="62" t="s">
        <v>389</v>
      </c>
    </row>
    <row r="80" spans="1:8">
      <c r="A80" s="305" t="str">
        <f t="shared" si="35"/>
        <v>Perth and Kinross2022-23</v>
      </c>
      <c r="B80" s="62" t="s">
        <v>424</v>
      </c>
      <c r="C80" s="62">
        <v>340</v>
      </c>
      <c r="D80" s="62" t="s">
        <v>37</v>
      </c>
      <c r="E80" s="62">
        <v>1342</v>
      </c>
      <c r="F80" s="62">
        <v>95.97615499254843</v>
      </c>
    </row>
    <row r="81" spans="1:6">
      <c r="A81" s="305" t="str">
        <f t="shared" si="35"/>
        <v>Renfrewshire2022-23</v>
      </c>
      <c r="B81" s="62" t="s">
        <v>424</v>
      </c>
      <c r="C81" s="62">
        <v>350</v>
      </c>
      <c r="D81" s="62" t="s">
        <v>38</v>
      </c>
      <c r="E81" s="62">
        <v>1937</v>
      </c>
      <c r="F81" s="62">
        <v>96.386164171399074</v>
      </c>
    </row>
    <row r="82" spans="1:6">
      <c r="A82" s="305" t="str">
        <f t="shared" si="35"/>
        <v>Scottish Borders2022-23</v>
      </c>
      <c r="B82" s="62" t="s">
        <v>424</v>
      </c>
      <c r="C82" s="62">
        <v>355</v>
      </c>
      <c r="D82" s="62" t="s">
        <v>39</v>
      </c>
      <c r="E82" s="62">
        <v>1203</v>
      </c>
      <c r="F82" s="62">
        <v>96.841230257689119</v>
      </c>
    </row>
    <row r="83" spans="1:6">
      <c r="A83" s="305" t="str">
        <f t="shared" si="35"/>
        <v>Shetland Islands2022-23</v>
      </c>
      <c r="B83" s="62" t="s">
        <v>424</v>
      </c>
      <c r="C83" s="62">
        <v>360</v>
      </c>
      <c r="D83" s="62" t="s">
        <v>40</v>
      </c>
      <c r="E83" s="62">
        <v>285</v>
      </c>
      <c r="F83" s="62">
        <v>95.087719298245617</v>
      </c>
    </row>
    <row r="84" spans="1:6">
      <c r="A84" s="305" t="str">
        <f t="shared" si="35"/>
        <v>South Ayrshire2022-23</v>
      </c>
      <c r="B84" s="62" t="s">
        <v>424</v>
      </c>
      <c r="C84" s="62">
        <v>370</v>
      </c>
      <c r="D84" s="62" t="s">
        <v>41</v>
      </c>
      <c r="E84" s="62">
        <v>1200</v>
      </c>
      <c r="F84" s="62">
        <v>98.083333333333329</v>
      </c>
    </row>
    <row r="85" spans="1:6">
      <c r="A85" s="305" t="str">
        <f t="shared" si="35"/>
        <v>South Lanarkshire2022-23</v>
      </c>
      <c r="B85" s="62" t="s">
        <v>424</v>
      </c>
      <c r="C85" s="62">
        <v>380</v>
      </c>
      <c r="D85" s="62" t="s">
        <v>42</v>
      </c>
      <c r="E85" s="62">
        <v>3650</v>
      </c>
      <c r="F85" s="62">
        <v>96.876712328767127</v>
      </c>
    </row>
    <row r="86" spans="1:6">
      <c r="A86" s="305" t="str">
        <f t="shared" si="35"/>
        <v>Stirling2022-23</v>
      </c>
      <c r="B86" s="62" t="s">
        <v>424</v>
      </c>
      <c r="C86" s="62">
        <v>390</v>
      </c>
      <c r="D86" s="62" t="s">
        <v>43</v>
      </c>
      <c r="E86" s="62">
        <v>1091</v>
      </c>
      <c r="F86" s="62">
        <v>94.317140238313485</v>
      </c>
    </row>
    <row r="87" spans="1:6">
      <c r="A87" s="305" t="str">
        <f t="shared" si="35"/>
        <v>West Dunbartonshire2022-23</v>
      </c>
      <c r="B87" s="62" t="s">
        <v>424</v>
      </c>
      <c r="C87" s="62">
        <v>395</v>
      </c>
      <c r="D87" s="62" t="s">
        <v>44</v>
      </c>
      <c r="E87" s="62">
        <v>1010</v>
      </c>
      <c r="F87" s="62">
        <v>95.346534653465341</v>
      </c>
    </row>
    <row r="88" spans="1:6">
      <c r="A88" s="305" t="str">
        <f t="shared" si="35"/>
        <v>West Lothian2022-23</v>
      </c>
      <c r="B88" s="62" t="s">
        <v>424</v>
      </c>
      <c r="C88" s="62">
        <v>400</v>
      </c>
      <c r="D88" s="62" t="s">
        <v>45</v>
      </c>
      <c r="E88" s="62">
        <v>2132</v>
      </c>
      <c r="F88" s="62">
        <v>94.136960600375232</v>
      </c>
    </row>
    <row r="89" spans="1:6">
      <c r="A89" s="305" t="str">
        <f t="shared" si="35"/>
        <v>Scotland2022-23</v>
      </c>
      <c r="B89" s="62" t="s">
        <v>424</v>
      </c>
      <c r="C89" s="62">
        <v>999</v>
      </c>
      <c r="D89" s="62" t="s">
        <v>46</v>
      </c>
      <c r="E89" s="62">
        <v>54743</v>
      </c>
      <c r="F89" s="62">
        <v>95.866138136382745</v>
      </c>
    </row>
    <row r="90" spans="1:6">
      <c r="A90" s="305" t="str">
        <f t="shared" si="35"/>
        <v>Aberdeen City2021-22</v>
      </c>
      <c r="B90" s="62" t="s">
        <v>425</v>
      </c>
      <c r="C90" s="62">
        <v>100</v>
      </c>
      <c r="D90" s="62" t="s">
        <v>15</v>
      </c>
      <c r="E90" s="62">
        <v>1795</v>
      </c>
      <c r="F90" s="62">
        <v>93.816155988857901</v>
      </c>
    </row>
    <row r="91" spans="1:6">
      <c r="A91" s="305" t="str">
        <f t="shared" si="35"/>
        <v>Aberdeenshire2021-22</v>
      </c>
      <c r="B91" s="62" t="s">
        <v>425</v>
      </c>
      <c r="C91" s="62">
        <v>110</v>
      </c>
      <c r="D91" s="62" t="s">
        <v>16</v>
      </c>
      <c r="E91" s="62">
        <v>2807</v>
      </c>
      <c r="F91" s="62">
        <v>96.651229070181685</v>
      </c>
    </row>
    <row r="92" spans="1:6">
      <c r="A92" s="305" t="str">
        <f t="shared" si="35"/>
        <v>Angus2021-22</v>
      </c>
      <c r="B92" s="62" t="s">
        <v>425</v>
      </c>
      <c r="C92" s="62">
        <v>120</v>
      </c>
      <c r="D92" s="62" t="s">
        <v>17</v>
      </c>
      <c r="E92" s="62">
        <v>1312</v>
      </c>
      <c r="F92" s="62">
        <v>93.140243902439025</v>
      </c>
    </row>
    <row r="93" spans="1:6">
      <c r="A93" s="305" t="str">
        <f t="shared" si="35"/>
        <v>Argyll and Bute2021-22</v>
      </c>
      <c r="B93" s="62" t="s">
        <v>425</v>
      </c>
      <c r="C93" s="62">
        <v>130</v>
      </c>
      <c r="D93" s="62" t="s">
        <v>18</v>
      </c>
      <c r="E93" s="62">
        <v>840</v>
      </c>
      <c r="F93" s="62">
        <v>96.428571428571431</v>
      </c>
    </row>
    <row r="94" spans="1:6">
      <c r="A94" s="305" t="str">
        <f t="shared" si="35"/>
        <v>Clackmannanshire2021-22</v>
      </c>
      <c r="B94" s="62" t="s">
        <v>425</v>
      </c>
      <c r="C94" s="62">
        <v>150</v>
      </c>
      <c r="D94" s="62" t="s">
        <v>19</v>
      </c>
      <c r="E94" s="62">
        <v>542</v>
      </c>
      <c r="F94" s="62">
        <v>96.494464944649451</v>
      </c>
    </row>
    <row r="95" spans="1:6">
      <c r="A95" s="305" t="str">
        <f t="shared" si="35"/>
        <v>Dumfries and Galloway2021-22</v>
      </c>
      <c r="B95" s="62" t="s">
        <v>425</v>
      </c>
      <c r="C95" s="62">
        <v>170</v>
      </c>
      <c r="D95" s="62" t="s">
        <v>20</v>
      </c>
      <c r="E95" s="62">
        <v>1647</v>
      </c>
      <c r="F95" s="62">
        <v>95.871281117182761</v>
      </c>
    </row>
    <row r="96" spans="1:6">
      <c r="A96" s="305" t="str">
        <f t="shared" si="35"/>
        <v>Dundee City2021-22</v>
      </c>
      <c r="B96" s="62" t="s">
        <v>425</v>
      </c>
      <c r="C96" s="62">
        <v>180</v>
      </c>
      <c r="D96" s="62" t="s">
        <v>21</v>
      </c>
      <c r="E96" s="62">
        <v>1394</v>
      </c>
      <c r="F96" s="62">
        <v>93.902439024390233</v>
      </c>
    </row>
    <row r="97" spans="1:6">
      <c r="A97" s="305" t="str">
        <f t="shared" si="35"/>
        <v>East Ayrshire2021-22</v>
      </c>
      <c r="B97" s="62" t="s">
        <v>425</v>
      </c>
      <c r="C97" s="62">
        <v>190</v>
      </c>
      <c r="D97" s="62" t="s">
        <v>22</v>
      </c>
      <c r="E97" s="62">
        <v>1302</v>
      </c>
      <c r="F97" s="62">
        <v>96.850998463901689</v>
      </c>
    </row>
    <row r="98" spans="1:6">
      <c r="A98" s="305" t="str">
        <f t="shared" si="35"/>
        <v>East Dunbartonshire2021-22</v>
      </c>
      <c r="B98" s="62" t="s">
        <v>425</v>
      </c>
      <c r="C98" s="62">
        <v>200</v>
      </c>
      <c r="D98" s="62" t="s">
        <v>23</v>
      </c>
      <c r="E98" s="62">
        <v>1427</v>
      </c>
      <c r="F98" s="62">
        <v>98.948843728100911</v>
      </c>
    </row>
    <row r="99" spans="1:6">
      <c r="A99" s="305" t="str">
        <f t="shared" si="35"/>
        <v>East Lothian2021-22</v>
      </c>
      <c r="B99" s="62" t="s">
        <v>425</v>
      </c>
      <c r="C99" s="62">
        <v>210</v>
      </c>
      <c r="D99" s="62" t="s">
        <v>24</v>
      </c>
      <c r="E99" s="62">
        <v>1102</v>
      </c>
      <c r="F99" s="62">
        <v>95.644283121597098</v>
      </c>
    </row>
    <row r="100" spans="1:6">
      <c r="A100" s="305" t="str">
        <f t="shared" si="35"/>
        <v>East Renfrewshire2021-22</v>
      </c>
      <c r="B100" s="62" t="s">
        <v>425</v>
      </c>
      <c r="C100" s="62">
        <v>220</v>
      </c>
      <c r="D100" s="62" t="s">
        <v>25</v>
      </c>
      <c r="E100" s="62">
        <v>1430</v>
      </c>
      <c r="F100" s="62">
        <v>98.461538461538467</v>
      </c>
    </row>
    <row r="101" spans="1:6">
      <c r="A101" s="305" t="str">
        <f t="shared" si="35"/>
        <v>Edinburgh, City of2021-22</v>
      </c>
      <c r="B101" s="62" t="s">
        <v>425</v>
      </c>
      <c r="C101" s="62">
        <v>230</v>
      </c>
      <c r="D101" s="62" t="s">
        <v>126</v>
      </c>
      <c r="E101" s="62">
        <v>3596</v>
      </c>
      <c r="F101" s="62">
        <v>96.134593993325922</v>
      </c>
    </row>
    <row r="102" spans="1:6">
      <c r="A102" s="305" t="str">
        <f t="shared" si="35"/>
        <v>Falkirk2021-22</v>
      </c>
      <c r="B102" s="62" t="s">
        <v>425</v>
      </c>
      <c r="C102" s="62">
        <v>240</v>
      </c>
      <c r="D102" s="62" t="s">
        <v>26</v>
      </c>
      <c r="E102" s="62">
        <v>1704</v>
      </c>
      <c r="F102" s="62">
        <v>94.248826291079808</v>
      </c>
    </row>
    <row r="103" spans="1:6">
      <c r="A103" s="305" t="str">
        <f t="shared" si="35"/>
        <v>Fife2021-22</v>
      </c>
      <c r="B103" s="62" t="s">
        <v>425</v>
      </c>
      <c r="C103" s="62">
        <v>250</v>
      </c>
      <c r="D103" s="62" t="s">
        <v>27</v>
      </c>
      <c r="E103" s="62">
        <v>4088</v>
      </c>
      <c r="F103" s="62">
        <v>94.838551859099809</v>
      </c>
    </row>
    <row r="104" spans="1:6">
      <c r="A104" s="305" t="str">
        <f t="shared" si="35"/>
        <v>Glasgow City2021-22</v>
      </c>
      <c r="B104" s="62" t="s">
        <v>425</v>
      </c>
      <c r="C104" s="62">
        <v>260</v>
      </c>
      <c r="D104" s="62" t="s">
        <v>28</v>
      </c>
      <c r="E104" s="62">
        <v>4985</v>
      </c>
      <c r="F104" s="62">
        <v>97.051153460381144</v>
      </c>
    </row>
    <row r="105" spans="1:6">
      <c r="A105" s="305" t="str">
        <f t="shared" si="35"/>
        <v>Highland2021-22</v>
      </c>
      <c r="B105" s="62" t="s">
        <v>425</v>
      </c>
      <c r="C105" s="62">
        <v>270</v>
      </c>
      <c r="D105" s="62" t="s">
        <v>29</v>
      </c>
      <c r="E105" s="62">
        <v>2562</v>
      </c>
      <c r="F105" s="62">
        <v>94.457455113192822</v>
      </c>
    </row>
    <row r="106" spans="1:6">
      <c r="A106" s="305" t="str">
        <f t="shared" si="35"/>
        <v>Inverclyde2021-22</v>
      </c>
      <c r="B106" s="62" t="s">
        <v>425</v>
      </c>
      <c r="C106" s="62">
        <v>280</v>
      </c>
      <c r="D106" s="62" t="s">
        <v>30</v>
      </c>
      <c r="E106" s="62">
        <v>835</v>
      </c>
      <c r="F106" s="62">
        <v>94.011976047904184</v>
      </c>
    </row>
    <row r="107" spans="1:6">
      <c r="A107" s="305" t="str">
        <f t="shared" si="35"/>
        <v>Midlothian2021-22</v>
      </c>
      <c r="B107" s="62" t="s">
        <v>425</v>
      </c>
      <c r="C107" s="62">
        <v>290</v>
      </c>
      <c r="D107" s="62" t="s">
        <v>31</v>
      </c>
      <c r="E107" s="62">
        <v>1087</v>
      </c>
      <c r="F107" s="62">
        <v>95.492180312787482</v>
      </c>
    </row>
    <row r="108" spans="1:6">
      <c r="A108" s="305" t="str">
        <f t="shared" si="35"/>
        <v>Moray2021-22</v>
      </c>
      <c r="B108" s="62" t="s">
        <v>425</v>
      </c>
      <c r="C108" s="62">
        <v>300</v>
      </c>
      <c r="D108" s="62" t="s">
        <v>32</v>
      </c>
      <c r="E108" s="62">
        <v>963</v>
      </c>
      <c r="F108" s="62">
        <v>96.157840083073737</v>
      </c>
    </row>
    <row r="109" spans="1:6">
      <c r="A109" s="305" t="str">
        <f t="shared" si="35"/>
        <v>Na h-Eileanan Siar2021-22</v>
      </c>
      <c r="B109" s="62" t="s">
        <v>425</v>
      </c>
      <c r="C109" s="62">
        <v>235</v>
      </c>
      <c r="D109" s="62" t="s">
        <v>33</v>
      </c>
      <c r="E109" s="62">
        <v>267</v>
      </c>
      <c r="F109" s="62" t="s">
        <v>389</v>
      </c>
    </row>
    <row r="110" spans="1:6">
      <c r="A110" s="305" t="str">
        <f t="shared" si="35"/>
        <v>North Ayrshire2021-22</v>
      </c>
      <c r="B110" s="62" t="s">
        <v>425</v>
      </c>
      <c r="C110" s="62">
        <v>310</v>
      </c>
      <c r="D110" s="62" t="s">
        <v>34</v>
      </c>
      <c r="E110" s="62">
        <v>1520</v>
      </c>
      <c r="F110" s="62">
        <v>95.986842105263165</v>
      </c>
    </row>
    <row r="111" spans="1:6">
      <c r="A111" s="305" t="str">
        <f t="shared" si="35"/>
        <v>North Lanarkshire2021-22</v>
      </c>
      <c r="B111" s="62" t="s">
        <v>425</v>
      </c>
      <c r="C111" s="62">
        <v>320</v>
      </c>
      <c r="D111" s="62" t="s">
        <v>35</v>
      </c>
      <c r="E111" s="62">
        <v>3904</v>
      </c>
      <c r="F111" s="62">
        <v>94.159836065573771</v>
      </c>
    </row>
    <row r="112" spans="1:6">
      <c r="A112" s="305" t="str">
        <f t="shared" si="35"/>
        <v>Orkney Islands2021-22</v>
      </c>
      <c r="B112" s="62" t="s">
        <v>425</v>
      </c>
      <c r="C112" s="62">
        <v>330</v>
      </c>
      <c r="D112" s="62" t="s">
        <v>36</v>
      </c>
      <c r="E112" s="62">
        <v>213</v>
      </c>
      <c r="F112" s="62">
        <v>94.835680751173712</v>
      </c>
    </row>
    <row r="113" spans="1:6">
      <c r="A113" s="305" t="str">
        <f t="shared" si="35"/>
        <v>Perth and Kinross2021-22</v>
      </c>
      <c r="B113" s="62" t="s">
        <v>425</v>
      </c>
      <c r="C113" s="62">
        <v>340</v>
      </c>
      <c r="D113" s="62" t="s">
        <v>37</v>
      </c>
      <c r="E113" s="62">
        <v>1464</v>
      </c>
      <c r="F113" s="62">
        <v>94.808743169398909</v>
      </c>
    </row>
    <row r="114" spans="1:6">
      <c r="A114" s="305" t="str">
        <f t="shared" si="35"/>
        <v>Renfrewshire2021-22</v>
      </c>
      <c r="B114" s="62" t="s">
        <v>425</v>
      </c>
      <c r="C114" s="62">
        <v>350</v>
      </c>
      <c r="D114" s="62" t="s">
        <v>38</v>
      </c>
      <c r="E114" s="62">
        <v>1908</v>
      </c>
      <c r="F114" s="62">
        <v>96.645702306079656</v>
      </c>
    </row>
    <row r="115" spans="1:6">
      <c r="A115" s="305" t="str">
        <f t="shared" si="35"/>
        <v>Scottish Borders2021-22</v>
      </c>
      <c r="B115" s="62" t="s">
        <v>425</v>
      </c>
      <c r="C115" s="62">
        <v>355</v>
      </c>
      <c r="D115" s="62" t="s">
        <v>39</v>
      </c>
      <c r="E115" s="62">
        <v>1253</v>
      </c>
      <c r="F115" s="62">
        <v>96.568236233040707</v>
      </c>
    </row>
    <row r="116" spans="1:6">
      <c r="A116" s="305" t="str">
        <f t="shared" si="35"/>
        <v>Shetland Islands2021-22</v>
      </c>
      <c r="B116" s="62" t="s">
        <v>425</v>
      </c>
      <c r="C116" s="62">
        <v>360</v>
      </c>
      <c r="D116" s="62" t="s">
        <v>40</v>
      </c>
      <c r="E116" s="62">
        <v>260</v>
      </c>
      <c r="F116" s="62">
        <v>95</v>
      </c>
    </row>
    <row r="117" spans="1:6">
      <c r="A117" s="305" t="str">
        <f t="shared" si="35"/>
        <v>South Ayrshire2021-22</v>
      </c>
      <c r="B117" s="62" t="s">
        <v>425</v>
      </c>
      <c r="C117" s="62">
        <v>370</v>
      </c>
      <c r="D117" s="62" t="s">
        <v>41</v>
      </c>
      <c r="E117" s="62">
        <v>1180</v>
      </c>
      <c r="F117" s="62">
        <v>98.559322033898297</v>
      </c>
    </row>
    <row r="118" spans="1:6">
      <c r="A118" s="305" t="str">
        <f t="shared" si="35"/>
        <v>South Lanarkshire2021-22</v>
      </c>
      <c r="B118" s="62" t="s">
        <v>425</v>
      </c>
      <c r="C118" s="62">
        <v>380</v>
      </c>
      <c r="D118" s="62" t="s">
        <v>42</v>
      </c>
      <c r="E118" s="62">
        <v>3443</v>
      </c>
      <c r="F118" s="62">
        <v>96.224223061283766</v>
      </c>
    </row>
    <row r="119" spans="1:6">
      <c r="A119" s="305" t="str">
        <f t="shared" si="35"/>
        <v>Stirling2021-22</v>
      </c>
      <c r="B119" s="62" t="s">
        <v>425</v>
      </c>
      <c r="C119" s="62">
        <v>390</v>
      </c>
      <c r="D119" s="62" t="s">
        <v>43</v>
      </c>
      <c r="E119" s="62">
        <v>1142</v>
      </c>
      <c r="F119" s="62">
        <v>96.147110332749563</v>
      </c>
    </row>
    <row r="120" spans="1:6">
      <c r="A120" s="305" t="str">
        <f t="shared" si="35"/>
        <v>West Dunbartonshire2021-22</v>
      </c>
      <c r="B120" s="62" t="s">
        <v>425</v>
      </c>
      <c r="C120" s="62">
        <v>395</v>
      </c>
      <c r="D120" s="62" t="s">
        <v>44</v>
      </c>
      <c r="E120" s="62">
        <v>981</v>
      </c>
      <c r="F120" s="62">
        <v>95.107033639143737</v>
      </c>
    </row>
    <row r="121" spans="1:6">
      <c r="A121" s="305" t="str">
        <f t="shared" ref="A121:A184" si="36">D121&amp;B121</f>
        <v>West Lothian2021-22</v>
      </c>
      <c r="B121" s="62" t="s">
        <v>425</v>
      </c>
      <c r="C121" s="62">
        <v>400</v>
      </c>
      <c r="D121" s="62" t="s">
        <v>45</v>
      </c>
      <c r="E121" s="62">
        <v>2185</v>
      </c>
      <c r="F121" s="62">
        <v>94.599542334096114</v>
      </c>
    </row>
    <row r="122" spans="1:6">
      <c r="A122" s="305" t="str">
        <f t="shared" si="36"/>
        <v>Scotland2021-22</v>
      </c>
      <c r="B122" s="62" t="s">
        <v>425</v>
      </c>
      <c r="C122" s="62">
        <v>999</v>
      </c>
      <c r="D122" s="62" t="s">
        <v>46</v>
      </c>
      <c r="E122" s="62">
        <v>55237</v>
      </c>
      <c r="F122" s="62">
        <v>95.73112225501022</v>
      </c>
    </row>
    <row r="123" spans="1:6">
      <c r="A123" s="305" t="str">
        <f t="shared" si="36"/>
        <v>Aberdeen City2020-21</v>
      </c>
      <c r="B123" s="62" t="s">
        <v>426</v>
      </c>
      <c r="C123" s="62">
        <v>100</v>
      </c>
      <c r="D123" s="62" t="s">
        <v>15</v>
      </c>
      <c r="E123" s="62">
        <v>1472</v>
      </c>
      <c r="F123" s="62">
        <v>95.380434782608688</v>
      </c>
    </row>
    <row r="124" spans="1:6">
      <c r="A124" s="305" t="str">
        <f t="shared" si="36"/>
        <v>Aberdeenshire2020-21</v>
      </c>
      <c r="B124" s="62" t="s">
        <v>426</v>
      </c>
      <c r="C124" s="62">
        <v>110</v>
      </c>
      <c r="D124" s="62" t="s">
        <v>16</v>
      </c>
      <c r="E124" s="62">
        <v>2635</v>
      </c>
      <c r="F124" s="62">
        <v>96.204933586337759</v>
      </c>
    </row>
    <row r="125" spans="1:6">
      <c r="A125" s="305" t="str">
        <f t="shared" si="36"/>
        <v>Angus2020-21</v>
      </c>
      <c r="B125" s="62" t="s">
        <v>426</v>
      </c>
      <c r="C125" s="62">
        <v>120</v>
      </c>
      <c r="D125" s="62" t="s">
        <v>17</v>
      </c>
      <c r="E125" s="62">
        <v>1197</v>
      </c>
      <c r="F125" s="62">
        <v>95.739348370927317</v>
      </c>
    </row>
    <row r="126" spans="1:6">
      <c r="A126" s="305" t="str">
        <f t="shared" si="36"/>
        <v>Argyll and Bute2020-21</v>
      </c>
      <c r="B126" s="62" t="s">
        <v>426</v>
      </c>
      <c r="C126" s="62">
        <v>130</v>
      </c>
      <c r="D126" s="62" t="s">
        <v>18</v>
      </c>
      <c r="E126" s="62">
        <v>803</v>
      </c>
      <c r="F126" s="62">
        <v>95.018679950186808</v>
      </c>
    </row>
    <row r="127" spans="1:6">
      <c r="A127" s="305" t="str">
        <f t="shared" si="36"/>
        <v>Clackmannanshire2020-21</v>
      </c>
      <c r="B127" s="62" t="s">
        <v>426</v>
      </c>
      <c r="C127" s="62">
        <v>150</v>
      </c>
      <c r="D127" s="62" t="s">
        <v>19</v>
      </c>
      <c r="E127" s="62">
        <v>392</v>
      </c>
      <c r="F127" s="62">
        <v>95.918367346938766</v>
      </c>
    </row>
    <row r="128" spans="1:6">
      <c r="A128" s="305" t="str">
        <f t="shared" si="36"/>
        <v>Dumfries and Galloway2020-21</v>
      </c>
      <c r="B128" s="62" t="s">
        <v>426</v>
      </c>
      <c r="C128" s="62">
        <v>170</v>
      </c>
      <c r="D128" s="62" t="s">
        <v>20</v>
      </c>
      <c r="E128" s="62">
        <v>1478</v>
      </c>
      <c r="F128" s="62">
        <v>94.587280108254404</v>
      </c>
    </row>
    <row r="129" spans="1:6">
      <c r="A129" s="305" t="str">
        <f t="shared" si="36"/>
        <v>Dundee City2020-21</v>
      </c>
      <c r="B129" s="62" t="s">
        <v>426</v>
      </c>
      <c r="C129" s="62">
        <v>180</v>
      </c>
      <c r="D129" s="62" t="s">
        <v>21</v>
      </c>
      <c r="E129" s="62">
        <v>1224</v>
      </c>
      <c r="F129" s="62">
        <v>93.627450980392155</v>
      </c>
    </row>
    <row r="130" spans="1:6">
      <c r="A130" s="305" t="str">
        <f t="shared" si="36"/>
        <v>East Ayrshire2020-21</v>
      </c>
      <c r="B130" s="62" t="s">
        <v>426</v>
      </c>
      <c r="C130" s="62">
        <v>190</v>
      </c>
      <c r="D130" s="62" t="s">
        <v>22</v>
      </c>
      <c r="E130" s="62">
        <v>1208</v>
      </c>
      <c r="F130" s="62">
        <v>95.69536423841059</v>
      </c>
    </row>
    <row r="131" spans="1:6">
      <c r="A131" s="305" t="str">
        <f t="shared" si="36"/>
        <v>East Dunbartonshire2020-21</v>
      </c>
      <c r="B131" s="62" t="s">
        <v>426</v>
      </c>
      <c r="C131" s="62">
        <v>200</v>
      </c>
      <c r="D131" s="62" t="s">
        <v>23</v>
      </c>
      <c r="E131" s="62">
        <v>1324</v>
      </c>
      <c r="F131" s="62">
        <v>98.64048338368579</v>
      </c>
    </row>
    <row r="132" spans="1:6">
      <c r="A132" s="305" t="str">
        <f t="shared" si="36"/>
        <v>East Lothian2020-21</v>
      </c>
      <c r="B132" s="62" t="s">
        <v>426</v>
      </c>
      <c r="C132" s="62">
        <v>210</v>
      </c>
      <c r="D132" s="62" t="s">
        <v>24</v>
      </c>
      <c r="E132" s="62">
        <v>1089</v>
      </c>
      <c r="F132" s="62">
        <v>96.143250688705237</v>
      </c>
    </row>
    <row r="133" spans="1:6">
      <c r="A133" s="305" t="str">
        <f t="shared" si="36"/>
        <v>East Renfrewshire2020-21</v>
      </c>
      <c r="B133" s="62" t="s">
        <v>426</v>
      </c>
      <c r="C133" s="62">
        <v>220</v>
      </c>
      <c r="D133" s="62" t="s">
        <v>25</v>
      </c>
      <c r="E133" s="62">
        <v>1383</v>
      </c>
      <c r="F133" s="62">
        <v>97.396963123644255</v>
      </c>
    </row>
    <row r="134" spans="1:6">
      <c r="A134" s="305" t="str">
        <f t="shared" si="36"/>
        <v>Edinburgh, City of2020-21</v>
      </c>
      <c r="B134" s="62" t="s">
        <v>426</v>
      </c>
      <c r="C134" s="62">
        <v>230</v>
      </c>
      <c r="D134" s="62" t="s">
        <v>126</v>
      </c>
      <c r="E134" s="62">
        <v>3247</v>
      </c>
      <c r="F134" s="62">
        <v>95.133969818293806</v>
      </c>
    </row>
    <row r="135" spans="1:6">
      <c r="A135" s="305" t="str">
        <f t="shared" si="36"/>
        <v>Falkirk2020-21</v>
      </c>
      <c r="B135" s="62" t="s">
        <v>426</v>
      </c>
      <c r="C135" s="62">
        <v>240</v>
      </c>
      <c r="D135" s="62" t="s">
        <v>26</v>
      </c>
      <c r="E135" s="62">
        <v>1554</v>
      </c>
      <c r="F135" s="62">
        <v>95.431145431145438</v>
      </c>
    </row>
    <row r="136" spans="1:6">
      <c r="A136" s="305" t="str">
        <f t="shared" si="36"/>
        <v>Fife2020-21</v>
      </c>
      <c r="B136" s="62" t="s">
        <v>426</v>
      </c>
      <c r="C136" s="62">
        <v>250</v>
      </c>
      <c r="D136" s="62" t="s">
        <v>27</v>
      </c>
      <c r="E136" s="62">
        <v>3752</v>
      </c>
      <c r="F136" s="62">
        <v>93.869936034115142</v>
      </c>
    </row>
    <row r="137" spans="1:6">
      <c r="A137" s="305" t="str">
        <f t="shared" si="36"/>
        <v>Glasgow City2020-21</v>
      </c>
      <c r="B137" s="62" t="s">
        <v>426</v>
      </c>
      <c r="C137" s="62">
        <v>260</v>
      </c>
      <c r="D137" s="62" t="s">
        <v>28</v>
      </c>
      <c r="E137" s="62">
        <v>4578</v>
      </c>
      <c r="F137" s="62">
        <v>96.221057230231537</v>
      </c>
    </row>
    <row r="138" spans="1:6">
      <c r="A138" s="305" t="str">
        <f t="shared" si="36"/>
        <v>Highland2020-21</v>
      </c>
      <c r="B138" s="62" t="s">
        <v>426</v>
      </c>
      <c r="C138" s="62">
        <v>270</v>
      </c>
      <c r="D138" s="62" t="s">
        <v>29</v>
      </c>
      <c r="E138" s="62">
        <v>2333</v>
      </c>
      <c r="F138" s="62">
        <v>94.25632233176168</v>
      </c>
    </row>
    <row r="139" spans="1:6">
      <c r="A139" s="305" t="str">
        <f t="shared" si="36"/>
        <v>Inverclyde2020-21</v>
      </c>
      <c r="B139" s="62" t="s">
        <v>426</v>
      </c>
      <c r="C139" s="62">
        <v>280</v>
      </c>
      <c r="D139" s="62" t="s">
        <v>30</v>
      </c>
      <c r="E139" s="62">
        <v>739</v>
      </c>
      <c r="F139" s="62">
        <v>95.399188092016246</v>
      </c>
    </row>
    <row r="140" spans="1:6">
      <c r="A140" s="305" t="str">
        <f t="shared" si="36"/>
        <v>Midlothian2020-21</v>
      </c>
      <c r="B140" s="62" t="s">
        <v>426</v>
      </c>
      <c r="C140" s="62">
        <v>290</v>
      </c>
      <c r="D140" s="62" t="s">
        <v>31</v>
      </c>
      <c r="E140" s="62">
        <v>877</v>
      </c>
      <c r="F140" s="62">
        <v>95.43899657924743</v>
      </c>
    </row>
    <row r="141" spans="1:6">
      <c r="A141" s="305" t="str">
        <f t="shared" si="36"/>
        <v>Moray2020-21</v>
      </c>
      <c r="B141" s="62" t="s">
        <v>426</v>
      </c>
      <c r="C141" s="62">
        <v>300</v>
      </c>
      <c r="D141" s="62" t="s">
        <v>32</v>
      </c>
      <c r="E141" s="62">
        <v>879</v>
      </c>
      <c r="F141" s="62">
        <v>94.084186575654144</v>
      </c>
    </row>
    <row r="142" spans="1:6">
      <c r="A142" s="305" t="str">
        <f t="shared" si="36"/>
        <v>Na h-Eileanan Siar2020-21</v>
      </c>
      <c r="B142" s="62" t="s">
        <v>426</v>
      </c>
      <c r="C142" s="62">
        <v>235</v>
      </c>
      <c r="D142" s="62" t="s">
        <v>33</v>
      </c>
      <c r="E142" s="62">
        <v>280</v>
      </c>
      <c r="F142" s="62" t="s">
        <v>389</v>
      </c>
    </row>
    <row r="143" spans="1:6">
      <c r="A143" s="305" t="str">
        <f t="shared" si="36"/>
        <v>North Ayrshire2020-21</v>
      </c>
      <c r="B143" s="62" t="s">
        <v>426</v>
      </c>
      <c r="C143" s="62">
        <v>310</v>
      </c>
      <c r="D143" s="62" t="s">
        <v>34</v>
      </c>
      <c r="E143" s="62">
        <v>1375</v>
      </c>
      <c r="F143" s="62">
        <v>95.199999999999989</v>
      </c>
    </row>
    <row r="144" spans="1:6">
      <c r="A144" s="305" t="str">
        <f t="shared" si="36"/>
        <v>North Lanarkshire2020-21</v>
      </c>
      <c r="B144" s="62" t="s">
        <v>426</v>
      </c>
      <c r="C144" s="62">
        <v>320</v>
      </c>
      <c r="D144" s="62" t="s">
        <v>35</v>
      </c>
      <c r="E144" s="62">
        <v>3696</v>
      </c>
      <c r="F144" s="62">
        <v>94.480519480519476</v>
      </c>
    </row>
    <row r="145" spans="1:6">
      <c r="A145" s="305" t="str">
        <f t="shared" si="36"/>
        <v>Orkney Islands2020-21</v>
      </c>
      <c r="B145" s="62" t="s">
        <v>426</v>
      </c>
      <c r="C145" s="62">
        <v>330</v>
      </c>
      <c r="D145" s="62" t="s">
        <v>36</v>
      </c>
      <c r="E145" s="62">
        <v>202</v>
      </c>
      <c r="F145" s="62">
        <v>96.534653465346537</v>
      </c>
    </row>
    <row r="146" spans="1:6">
      <c r="A146" s="305" t="str">
        <f t="shared" si="36"/>
        <v>Perth and Kinross2020-21</v>
      </c>
      <c r="B146" s="62" t="s">
        <v>426</v>
      </c>
      <c r="C146" s="62">
        <v>340</v>
      </c>
      <c r="D146" s="62" t="s">
        <v>37</v>
      </c>
      <c r="E146" s="62">
        <v>1417</v>
      </c>
      <c r="F146" s="62">
        <v>96.541990119971771</v>
      </c>
    </row>
    <row r="147" spans="1:6">
      <c r="A147" s="305" t="str">
        <f t="shared" si="36"/>
        <v>Renfrewshire2020-21</v>
      </c>
      <c r="B147" s="62" t="s">
        <v>426</v>
      </c>
      <c r="C147" s="62">
        <v>350</v>
      </c>
      <c r="D147" s="62" t="s">
        <v>38</v>
      </c>
      <c r="E147" s="62">
        <v>1666</v>
      </c>
      <c r="F147" s="62">
        <v>96.518607442977185</v>
      </c>
    </row>
    <row r="148" spans="1:6">
      <c r="A148" s="305" t="str">
        <f t="shared" si="36"/>
        <v>Scottish Borders2020-21</v>
      </c>
      <c r="B148" s="62" t="s">
        <v>426</v>
      </c>
      <c r="C148" s="62">
        <v>355</v>
      </c>
      <c r="D148" s="62" t="s">
        <v>39</v>
      </c>
      <c r="E148" s="62">
        <v>1109</v>
      </c>
      <c r="F148" s="62">
        <v>95.491433724075748</v>
      </c>
    </row>
    <row r="149" spans="1:6">
      <c r="A149" s="305" t="str">
        <f t="shared" si="36"/>
        <v>Shetland Islands2020-21</v>
      </c>
      <c r="B149" s="62" t="s">
        <v>426</v>
      </c>
      <c r="C149" s="62">
        <v>360</v>
      </c>
      <c r="D149" s="62" t="s">
        <v>40</v>
      </c>
      <c r="E149" s="62">
        <v>257</v>
      </c>
      <c r="F149" s="62">
        <v>96.498054474708169</v>
      </c>
    </row>
    <row r="150" spans="1:6">
      <c r="A150" s="305" t="str">
        <f t="shared" si="36"/>
        <v>South Ayrshire2020-21</v>
      </c>
      <c r="B150" s="62" t="s">
        <v>426</v>
      </c>
      <c r="C150" s="62">
        <v>370</v>
      </c>
      <c r="D150" s="62" t="s">
        <v>41</v>
      </c>
      <c r="E150" s="62">
        <v>1124</v>
      </c>
      <c r="F150" s="62">
        <v>98.309608540925268</v>
      </c>
    </row>
    <row r="151" spans="1:6">
      <c r="A151" s="305" t="str">
        <f t="shared" si="36"/>
        <v>South Lanarkshire2020-21</v>
      </c>
      <c r="B151" s="62" t="s">
        <v>426</v>
      </c>
      <c r="C151" s="62">
        <v>380</v>
      </c>
      <c r="D151" s="62" t="s">
        <v>42</v>
      </c>
      <c r="E151" s="62">
        <v>3312</v>
      </c>
      <c r="F151" s="62">
        <v>96.165458937198068</v>
      </c>
    </row>
    <row r="152" spans="1:6">
      <c r="A152" s="305" t="str">
        <f t="shared" si="36"/>
        <v>Stirling2020-21</v>
      </c>
      <c r="B152" s="62" t="s">
        <v>426</v>
      </c>
      <c r="C152" s="62">
        <v>390</v>
      </c>
      <c r="D152" s="62" t="s">
        <v>43</v>
      </c>
      <c r="E152" s="62">
        <v>1082</v>
      </c>
      <c r="F152" s="62">
        <v>95.748613678373388</v>
      </c>
    </row>
    <row r="153" spans="1:6">
      <c r="A153" s="305" t="str">
        <f t="shared" si="36"/>
        <v>West Dunbartonshire2020-21</v>
      </c>
      <c r="B153" s="62" t="s">
        <v>426</v>
      </c>
      <c r="C153" s="62">
        <v>395</v>
      </c>
      <c r="D153" s="62" t="s">
        <v>44</v>
      </c>
      <c r="E153" s="62">
        <v>910</v>
      </c>
      <c r="F153" s="62">
        <v>90.989010989010993</v>
      </c>
    </row>
    <row r="154" spans="1:6">
      <c r="A154" s="305" t="str">
        <f t="shared" si="36"/>
        <v>West Lothian2020-21</v>
      </c>
      <c r="B154" s="62" t="s">
        <v>426</v>
      </c>
      <c r="C154" s="62">
        <v>400</v>
      </c>
      <c r="D154" s="62" t="s">
        <v>45</v>
      </c>
      <c r="E154" s="62">
        <v>2050</v>
      </c>
      <c r="F154" s="62">
        <v>95.268292682926827</v>
      </c>
    </row>
    <row r="155" spans="1:6">
      <c r="A155" s="305" t="str">
        <f t="shared" si="36"/>
        <v>Scotland2020-21</v>
      </c>
      <c r="B155" s="62" t="s">
        <v>426</v>
      </c>
      <c r="C155" s="62">
        <v>999</v>
      </c>
      <c r="D155" s="62" t="s">
        <v>46</v>
      </c>
      <c r="E155" s="62">
        <v>50746</v>
      </c>
      <c r="F155" s="62">
        <v>95.477476057226184</v>
      </c>
    </row>
    <row r="156" spans="1:6">
      <c r="A156" s="305" t="str">
        <f t="shared" si="36"/>
        <v>Aberdeen City2019-20</v>
      </c>
      <c r="B156" s="62" t="s">
        <v>427</v>
      </c>
      <c r="C156" s="62">
        <v>100</v>
      </c>
      <c r="D156" s="62" t="s">
        <v>15</v>
      </c>
      <c r="E156" s="62">
        <v>1453</v>
      </c>
      <c r="F156" s="62">
        <v>90.295939435650368</v>
      </c>
    </row>
    <row r="157" spans="1:6">
      <c r="A157" s="305" t="str">
        <f t="shared" si="36"/>
        <v>Aberdeenshire2019-20</v>
      </c>
      <c r="B157" s="62" t="s">
        <v>427</v>
      </c>
      <c r="C157" s="62">
        <v>110</v>
      </c>
      <c r="D157" s="62" t="s">
        <v>16</v>
      </c>
      <c r="E157" s="62">
        <v>2532</v>
      </c>
      <c r="F157" s="62">
        <v>94.707740916271717</v>
      </c>
    </row>
    <row r="158" spans="1:6">
      <c r="A158" s="305" t="str">
        <f t="shared" si="36"/>
        <v>Angus2019-20</v>
      </c>
      <c r="B158" s="62" t="s">
        <v>427</v>
      </c>
      <c r="C158" s="62">
        <v>120</v>
      </c>
      <c r="D158" s="62" t="s">
        <v>17</v>
      </c>
      <c r="E158" s="62">
        <v>1067</v>
      </c>
      <c r="F158" s="62">
        <v>93.720712277413313</v>
      </c>
    </row>
    <row r="159" spans="1:6">
      <c r="A159" s="305" t="str">
        <f t="shared" si="36"/>
        <v>Argyll and Bute2019-20</v>
      </c>
      <c r="B159" s="62" t="s">
        <v>427</v>
      </c>
      <c r="C159" s="62">
        <v>130</v>
      </c>
      <c r="D159" s="62" t="s">
        <v>18</v>
      </c>
      <c r="E159" s="62">
        <v>704</v>
      </c>
      <c r="F159" s="62">
        <v>92.329545454545453</v>
      </c>
    </row>
    <row r="160" spans="1:6">
      <c r="A160" s="305" t="str">
        <f t="shared" si="36"/>
        <v>Clackmannanshire2019-20</v>
      </c>
      <c r="B160" s="62" t="s">
        <v>427</v>
      </c>
      <c r="C160" s="62">
        <v>150</v>
      </c>
      <c r="D160" s="62" t="s">
        <v>19</v>
      </c>
      <c r="E160" s="62">
        <v>455</v>
      </c>
      <c r="F160" s="62">
        <v>96.483516483516482</v>
      </c>
    </row>
    <row r="161" spans="1:6">
      <c r="A161" s="305" t="str">
        <f t="shared" si="36"/>
        <v>Dumfries and Galloway2019-20</v>
      </c>
      <c r="B161" s="62" t="s">
        <v>427</v>
      </c>
      <c r="C161" s="62">
        <v>170</v>
      </c>
      <c r="D161" s="62" t="s">
        <v>20</v>
      </c>
      <c r="E161" s="62">
        <v>1440</v>
      </c>
      <c r="F161" s="62">
        <v>92.708333333333343</v>
      </c>
    </row>
    <row r="162" spans="1:6">
      <c r="A162" s="305" t="str">
        <f t="shared" si="36"/>
        <v>Dundee City2019-20</v>
      </c>
      <c r="B162" s="62" t="s">
        <v>427</v>
      </c>
      <c r="C162" s="62">
        <v>180</v>
      </c>
      <c r="D162" s="62" t="s">
        <v>21</v>
      </c>
      <c r="E162" s="62">
        <v>1168</v>
      </c>
      <c r="F162" s="62">
        <v>92.294520547945197</v>
      </c>
    </row>
    <row r="163" spans="1:6">
      <c r="A163" s="305" t="str">
        <f t="shared" si="36"/>
        <v>East Ayrshire2019-20</v>
      </c>
      <c r="B163" s="62" t="s">
        <v>427</v>
      </c>
      <c r="C163" s="62">
        <v>190</v>
      </c>
      <c r="D163" s="62" t="s">
        <v>22</v>
      </c>
      <c r="E163" s="62">
        <v>1132</v>
      </c>
      <c r="F163" s="62">
        <v>94.78798586572438</v>
      </c>
    </row>
    <row r="164" spans="1:6">
      <c r="A164" s="305" t="str">
        <f t="shared" si="36"/>
        <v>East Dunbartonshire2019-20</v>
      </c>
      <c r="B164" s="62" t="s">
        <v>427</v>
      </c>
      <c r="C164" s="62">
        <v>200</v>
      </c>
      <c r="D164" s="62" t="s">
        <v>23</v>
      </c>
      <c r="E164" s="62">
        <v>1285</v>
      </c>
      <c r="F164" s="62">
        <v>97.509727626459139</v>
      </c>
    </row>
    <row r="165" spans="1:6">
      <c r="A165" s="305" t="str">
        <f t="shared" si="36"/>
        <v>East Lothian2019-20</v>
      </c>
      <c r="B165" s="62" t="s">
        <v>427</v>
      </c>
      <c r="C165" s="62">
        <v>210</v>
      </c>
      <c r="D165" s="62" t="s">
        <v>24</v>
      </c>
      <c r="E165" s="62">
        <v>919</v>
      </c>
      <c r="F165" s="62">
        <v>92.491838955386285</v>
      </c>
    </row>
    <row r="166" spans="1:6">
      <c r="A166" s="305" t="str">
        <f t="shared" si="36"/>
        <v>East Renfrewshire2019-20</v>
      </c>
      <c r="B166" s="62" t="s">
        <v>427</v>
      </c>
      <c r="C166" s="62">
        <v>220</v>
      </c>
      <c r="D166" s="62" t="s">
        <v>25</v>
      </c>
      <c r="E166" s="62">
        <v>1301</v>
      </c>
      <c r="F166" s="62">
        <v>96.233666410453495</v>
      </c>
    </row>
    <row r="167" spans="1:6">
      <c r="A167" s="305" t="str">
        <f t="shared" si="36"/>
        <v>Edinburgh, City of2019-20</v>
      </c>
      <c r="B167" s="62" t="s">
        <v>427</v>
      </c>
      <c r="C167" s="62">
        <v>230</v>
      </c>
      <c r="D167" s="62" t="s">
        <v>126</v>
      </c>
      <c r="E167" s="62">
        <v>3042</v>
      </c>
      <c r="F167" s="62">
        <v>92.472057856673246</v>
      </c>
    </row>
    <row r="168" spans="1:6">
      <c r="A168" s="305" t="str">
        <f t="shared" si="36"/>
        <v>Falkirk2019-20</v>
      </c>
      <c r="B168" s="62" t="s">
        <v>427</v>
      </c>
      <c r="C168" s="62">
        <v>240</v>
      </c>
      <c r="D168" s="62" t="s">
        <v>26</v>
      </c>
      <c r="E168" s="62">
        <v>1483</v>
      </c>
      <c r="F168" s="62">
        <v>92.380310182063383</v>
      </c>
    </row>
    <row r="169" spans="1:6">
      <c r="A169" s="305" t="str">
        <f t="shared" si="36"/>
        <v>Fife2019-20</v>
      </c>
      <c r="B169" s="62" t="s">
        <v>427</v>
      </c>
      <c r="C169" s="62">
        <v>250</v>
      </c>
      <c r="D169" s="62" t="s">
        <v>27</v>
      </c>
      <c r="E169" s="62">
        <v>3406</v>
      </c>
      <c r="F169" s="62">
        <v>91.896652965355258</v>
      </c>
    </row>
    <row r="170" spans="1:6">
      <c r="A170" s="305" t="str">
        <f t="shared" si="36"/>
        <v>Glasgow City2019-20</v>
      </c>
      <c r="B170" s="62" t="s">
        <v>427</v>
      </c>
      <c r="C170" s="62">
        <v>260</v>
      </c>
      <c r="D170" s="62" t="s">
        <v>28</v>
      </c>
      <c r="E170" s="62">
        <v>4311</v>
      </c>
      <c r="F170" s="62">
        <v>92.785896543725357</v>
      </c>
    </row>
    <row r="171" spans="1:6">
      <c r="A171" s="305" t="str">
        <f t="shared" si="36"/>
        <v>Highland2019-20</v>
      </c>
      <c r="B171" s="62" t="s">
        <v>427</v>
      </c>
      <c r="C171" s="62">
        <v>270</v>
      </c>
      <c r="D171" s="62" t="s">
        <v>29</v>
      </c>
      <c r="E171" s="62">
        <v>2220</v>
      </c>
      <c r="F171" s="62">
        <v>92.477477477477478</v>
      </c>
    </row>
    <row r="172" spans="1:6">
      <c r="A172" s="305" t="str">
        <f t="shared" si="36"/>
        <v>Inverclyde2019-20</v>
      </c>
      <c r="B172" s="62" t="s">
        <v>427</v>
      </c>
      <c r="C172" s="62">
        <v>280</v>
      </c>
      <c r="D172" s="62" t="s">
        <v>30</v>
      </c>
      <c r="E172" s="62">
        <v>747</v>
      </c>
      <c r="F172" s="62">
        <v>93.038821954484604</v>
      </c>
    </row>
    <row r="173" spans="1:6">
      <c r="A173" s="305" t="str">
        <f t="shared" si="36"/>
        <v>Midlothian2019-20</v>
      </c>
      <c r="B173" s="62" t="s">
        <v>427</v>
      </c>
      <c r="C173" s="62">
        <v>290</v>
      </c>
      <c r="D173" s="62" t="s">
        <v>31</v>
      </c>
      <c r="E173" s="62">
        <v>777</v>
      </c>
      <c r="F173" s="62">
        <v>94.465894465894465</v>
      </c>
    </row>
    <row r="174" spans="1:6">
      <c r="A174" s="305" t="str">
        <f t="shared" si="36"/>
        <v>Moray2019-20</v>
      </c>
      <c r="B174" s="62" t="s">
        <v>427</v>
      </c>
      <c r="C174" s="62">
        <v>300</v>
      </c>
      <c r="D174" s="62" t="s">
        <v>32</v>
      </c>
      <c r="E174" s="62">
        <v>837</v>
      </c>
      <c r="F174" s="62">
        <v>93.070489844683394</v>
      </c>
    </row>
    <row r="175" spans="1:6">
      <c r="A175" s="305" t="str">
        <f t="shared" si="36"/>
        <v>Na h-Eileanan Siar2019-20</v>
      </c>
      <c r="B175" s="62" t="s">
        <v>427</v>
      </c>
      <c r="C175" s="62">
        <v>235</v>
      </c>
      <c r="D175" s="62" t="s">
        <v>33</v>
      </c>
      <c r="E175" s="62">
        <v>241</v>
      </c>
      <c r="F175" s="62" t="s">
        <v>389</v>
      </c>
    </row>
    <row r="176" spans="1:6">
      <c r="A176" s="305" t="str">
        <f t="shared" si="36"/>
        <v>North Ayrshire2019-20</v>
      </c>
      <c r="B176" s="62" t="s">
        <v>427</v>
      </c>
      <c r="C176" s="62">
        <v>310</v>
      </c>
      <c r="D176" s="62" t="s">
        <v>34</v>
      </c>
      <c r="E176" s="62">
        <v>1258</v>
      </c>
      <c r="F176" s="62">
        <v>92.448330683624803</v>
      </c>
    </row>
    <row r="177" spans="1:6">
      <c r="A177" s="305" t="str">
        <f t="shared" si="36"/>
        <v>North Lanarkshire2019-20</v>
      </c>
      <c r="B177" s="62" t="s">
        <v>427</v>
      </c>
      <c r="C177" s="62">
        <v>320</v>
      </c>
      <c r="D177" s="62" t="s">
        <v>35</v>
      </c>
      <c r="E177" s="62">
        <v>3390</v>
      </c>
      <c r="F177" s="62">
        <v>92.212389380530965</v>
      </c>
    </row>
    <row r="178" spans="1:6">
      <c r="A178" s="305" t="str">
        <f t="shared" si="36"/>
        <v>Orkney Islands2019-20</v>
      </c>
      <c r="B178" s="62" t="s">
        <v>427</v>
      </c>
      <c r="C178" s="62">
        <v>330</v>
      </c>
      <c r="D178" s="62" t="s">
        <v>36</v>
      </c>
      <c r="E178" s="62">
        <v>185</v>
      </c>
      <c r="F178" s="62">
        <v>91.891891891891902</v>
      </c>
    </row>
    <row r="179" spans="1:6">
      <c r="A179" s="305" t="str">
        <f t="shared" si="36"/>
        <v>Perth and Kinross2019-20</v>
      </c>
      <c r="B179" s="62" t="s">
        <v>427</v>
      </c>
      <c r="C179" s="62">
        <v>340</v>
      </c>
      <c r="D179" s="62" t="s">
        <v>37</v>
      </c>
      <c r="E179" s="62">
        <v>1172</v>
      </c>
      <c r="F179" s="62">
        <v>94.197952218430032</v>
      </c>
    </row>
    <row r="180" spans="1:6">
      <c r="A180" s="305" t="str">
        <f t="shared" si="36"/>
        <v>Renfrewshire2019-20</v>
      </c>
      <c r="B180" s="62" t="s">
        <v>427</v>
      </c>
      <c r="C180" s="62">
        <v>350</v>
      </c>
      <c r="D180" s="62" t="s">
        <v>38</v>
      </c>
      <c r="E180" s="62">
        <v>1638</v>
      </c>
      <c r="F180" s="62">
        <v>93.956043956043956</v>
      </c>
    </row>
    <row r="181" spans="1:6">
      <c r="A181" s="305" t="str">
        <f t="shared" si="36"/>
        <v>Scottish Borders2019-20</v>
      </c>
      <c r="B181" s="62" t="s">
        <v>427</v>
      </c>
      <c r="C181" s="62">
        <v>355</v>
      </c>
      <c r="D181" s="62" t="s">
        <v>39</v>
      </c>
      <c r="E181" s="62">
        <v>1083</v>
      </c>
      <c r="F181" s="62">
        <v>94.644506001846722</v>
      </c>
    </row>
    <row r="182" spans="1:6">
      <c r="A182" s="305" t="str">
        <f t="shared" si="36"/>
        <v>Shetland Islands2019-20</v>
      </c>
      <c r="B182" s="62" t="s">
        <v>427</v>
      </c>
      <c r="C182" s="62">
        <v>360</v>
      </c>
      <c r="D182" s="62" t="s">
        <v>40</v>
      </c>
      <c r="E182" s="62">
        <v>244</v>
      </c>
      <c r="F182" s="62">
        <v>91.393442622950815</v>
      </c>
    </row>
    <row r="183" spans="1:6">
      <c r="A183" s="305" t="str">
        <f t="shared" si="36"/>
        <v>South Ayrshire2019-20</v>
      </c>
      <c r="B183" s="62" t="s">
        <v>427</v>
      </c>
      <c r="C183" s="62">
        <v>370</v>
      </c>
      <c r="D183" s="62" t="s">
        <v>41</v>
      </c>
      <c r="E183" s="62">
        <v>1000</v>
      </c>
      <c r="F183" s="62">
        <v>98.4</v>
      </c>
    </row>
    <row r="184" spans="1:6">
      <c r="A184" s="305" t="str">
        <f t="shared" si="36"/>
        <v>South Lanarkshire2019-20</v>
      </c>
      <c r="B184" s="62" t="s">
        <v>427</v>
      </c>
      <c r="C184" s="62">
        <v>380</v>
      </c>
      <c r="D184" s="62" t="s">
        <v>42</v>
      </c>
      <c r="E184" s="62">
        <v>3174</v>
      </c>
      <c r="F184" s="62">
        <v>94.801512287334589</v>
      </c>
    </row>
    <row r="185" spans="1:6">
      <c r="A185" s="305" t="str">
        <f t="shared" ref="A185:A248" si="37">D185&amp;B185</f>
        <v>Stirling2019-20</v>
      </c>
      <c r="B185" s="62" t="s">
        <v>427</v>
      </c>
      <c r="C185" s="62">
        <v>390</v>
      </c>
      <c r="D185" s="62" t="s">
        <v>43</v>
      </c>
      <c r="E185" s="62">
        <v>962</v>
      </c>
      <c r="F185" s="62">
        <v>93.243243243243242</v>
      </c>
    </row>
    <row r="186" spans="1:6">
      <c r="A186" s="305" t="str">
        <f t="shared" si="37"/>
        <v>West Dunbartonshire2019-20</v>
      </c>
      <c r="B186" s="62" t="s">
        <v>427</v>
      </c>
      <c r="C186" s="62">
        <v>395</v>
      </c>
      <c r="D186" s="62" t="s">
        <v>44</v>
      </c>
      <c r="E186" s="62">
        <v>870</v>
      </c>
      <c r="F186" s="62">
        <v>89.65517241379311</v>
      </c>
    </row>
    <row r="187" spans="1:6">
      <c r="A187" s="305" t="str">
        <f t="shared" si="37"/>
        <v>West Lothian2019-20</v>
      </c>
      <c r="B187" s="62" t="s">
        <v>427</v>
      </c>
      <c r="C187" s="62">
        <v>400</v>
      </c>
      <c r="D187" s="62" t="s">
        <v>45</v>
      </c>
      <c r="E187" s="62">
        <v>1856</v>
      </c>
      <c r="F187" s="62">
        <v>92.887931034482762</v>
      </c>
    </row>
    <row r="188" spans="1:6">
      <c r="A188" s="305" t="str">
        <f t="shared" si="37"/>
        <v>Scotland2019-20</v>
      </c>
      <c r="B188" s="62" t="s">
        <v>427</v>
      </c>
      <c r="C188" s="62">
        <v>999</v>
      </c>
      <c r="D188" s="62" t="s">
        <v>46</v>
      </c>
      <c r="E188" s="62">
        <v>47454</v>
      </c>
      <c r="F188" s="62">
        <v>93.343026931344042</v>
      </c>
    </row>
    <row r="189" spans="1:6">
      <c r="A189" s="305" t="str">
        <f t="shared" si="37"/>
        <v>Aberdeen City2018-19</v>
      </c>
      <c r="B189" s="62" t="s">
        <v>428</v>
      </c>
      <c r="C189" s="62">
        <v>100</v>
      </c>
      <c r="D189" s="62" t="s">
        <v>15</v>
      </c>
      <c r="E189" s="62">
        <v>1678</v>
      </c>
      <c r="F189" s="62">
        <v>93.742550655542317</v>
      </c>
    </row>
    <row r="190" spans="1:6">
      <c r="A190" s="305" t="str">
        <f t="shared" si="37"/>
        <v>Aberdeenshire2018-19</v>
      </c>
      <c r="B190" s="62" t="s">
        <v>428</v>
      </c>
      <c r="C190" s="62">
        <v>110</v>
      </c>
      <c r="D190" s="62" t="s">
        <v>16</v>
      </c>
      <c r="E190" s="62">
        <v>2621</v>
      </c>
      <c r="F190" s="62">
        <v>96.413582602060274</v>
      </c>
    </row>
    <row r="191" spans="1:6">
      <c r="A191" s="305" t="str">
        <f t="shared" si="37"/>
        <v>Angus2018-19</v>
      </c>
      <c r="B191" s="62" t="s">
        <v>428</v>
      </c>
      <c r="C191" s="62">
        <v>120</v>
      </c>
      <c r="D191" s="62" t="s">
        <v>17</v>
      </c>
      <c r="E191" s="62">
        <v>1196</v>
      </c>
      <c r="F191" s="62">
        <v>95.568561872909697</v>
      </c>
    </row>
    <row r="192" spans="1:6">
      <c r="A192" s="305" t="str">
        <f t="shared" si="37"/>
        <v>Argyll and Bute2018-19</v>
      </c>
      <c r="B192" s="62" t="s">
        <v>428</v>
      </c>
      <c r="C192" s="62">
        <v>130</v>
      </c>
      <c r="D192" s="62" t="s">
        <v>18</v>
      </c>
      <c r="E192" s="62">
        <v>838</v>
      </c>
      <c r="F192" s="62">
        <v>94.630071599045351</v>
      </c>
    </row>
    <row r="193" spans="1:6">
      <c r="A193" s="305" t="str">
        <f t="shared" si="37"/>
        <v>Clackmannanshire2018-19</v>
      </c>
      <c r="B193" s="62" t="s">
        <v>428</v>
      </c>
      <c r="C193" s="62">
        <v>150</v>
      </c>
      <c r="D193" s="62" t="s">
        <v>19</v>
      </c>
      <c r="E193" s="62">
        <v>467</v>
      </c>
      <c r="F193" s="62">
        <v>94.218415417558887</v>
      </c>
    </row>
    <row r="194" spans="1:6">
      <c r="A194" s="305" t="str">
        <f t="shared" si="37"/>
        <v>Dumfries and Galloway2018-19</v>
      </c>
      <c r="B194" s="62" t="s">
        <v>428</v>
      </c>
      <c r="C194" s="62">
        <v>170</v>
      </c>
      <c r="D194" s="62" t="s">
        <v>20</v>
      </c>
      <c r="E194" s="62">
        <v>1375</v>
      </c>
      <c r="F194" s="62">
        <v>94.690909090909088</v>
      </c>
    </row>
    <row r="195" spans="1:6">
      <c r="A195" s="305" t="str">
        <f t="shared" si="37"/>
        <v>Dundee City2018-19</v>
      </c>
      <c r="B195" s="62" t="s">
        <v>428</v>
      </c>
      <c r="C195" s="62">
        <v>180</v>
      </c>
      <c r="D195" s="62" t="s">
        <v>21</v>
      </c>
      <c r="E195" s="62">
        <v>1300</v>
      </c>
      <c r="F195" s="62">
        <v>94.307692307692307</v>
      </c>
    </row>
    <row r="196" spans="1:6">
      <c r="A196" s="305" t="str">
        <f t="shared" si="37"/>
        <v>East Ayrshire2018-19</v>
      </c>
      <c r="B196" s="62" t="s">
        <v>428</v>
      </c>
      <c r="C196" s="62">
        <v>190</v>
      </c>
      <c r="D196" s="62" t="s">
        <v>22</v>
      </c>
      <c r="E196" s="62">
        <v>1198</v>
      </c>
      <c r="F196" s="62">
        <v>94.824707846410689</v>
      </c>
    </row>
    <row r="197" spans="1:6">
      <c r="A197" s="305" t="str">
        <f t="shared" si="37"/>
        <v>East Dunbartonshire2018-19</v>
      </c>
      <c r="B197" s="62" t="s">
        <v>428</v>
      </c>
      <c r="C197" s="62">
        <v>200</v>
      </c>
      <c r="D197" s="62" t="s">
        <v>23</v>
      </c>
      <c r="E197" s="62">
        <v>1237</v>
      </c>
      <c r="F197" s="62">
        <v>97.251414713015365</v>
      </c>
    </row>
    <row r="198" spans="1:6">
      <c r="A198" s="305" t="str">
        <f t="shared" si="37"/>
        <v>East Lothian2018-19</v>
      </c>
      <c r="B198" s="62" t="s">
        <v>428</v>
      </c>
      <c r="C198" s="62">
        <v>210</v>
      </c>
      <c r="D198" s="62" t="s">
        <v>24</v>
      </c>
      <c r="E198" s="62">
        <v>998</v>
      </c>
      <c r="F198" s="62">
        <v>95.791583166332657</v>
      </c>
    </row>
    <row r="199" spans="1:6">
      <c r="A199" s="305" t="str">
        <f t="shared" si="37"/>
        <v>East Renfrewshire2018-19</v>
      </c>
      <c r="B199" s="62" t="s">
        <v>428</v>
      </c>
      <c r="C199" s="62">
        <v>220</v>
      </c>
      <c r="D199" s="62" t="s">
        <v>25</v>
      </c>
      <c r="E199" s="62">
        <v>1319</v>
      </c>
      <c r="F199" s="62">
        <v>97.498104624715694</v>
      </c>
    </row>
    <row r="200" spans="1:6">
      <c r="A200" s="305" t="str">
        <f t="shared" si="37"/>
        <v>Edinburgh, City of2018-19</v>
      </c>
      <c r="B200" s="62" t="s">
        <v>428</v>
      </c>
      <c r="C200" s="62">
        <v>230</v>
      </c>
      <c r="D200" s="62" t="s">
        <v>126</v>
      </c>
      <c r="E200" s="62">
        <v>3274</v>
      </c>
      <c r="F200" s="62">
        <v>95.082467929138673</v>
      </c>
    </row>
    <row r="201" spans="1:6">
      <c r="A201" s="305" t="str">
        <f t="shared" si="37"/>
        <v>Falkirk2018-19</v>
      </c>
      <c r="B201" s="62" t="s">
        <v>428</v>
      </c>
      <c r="C201" s="62">
        <v>240</v>
      </c>
      <c r="D201" s="62" t="s">
        <v>26</v>
      </c>
      <c r="E201" s="62">
        <v>1482</v>
      </c>
      <c r="F201" s="62">
        <v>94.871794871794862</v>
      </c>
    </row>
    <row r="202" spans="1:6">
      <c r="A202" s="305" t="str">
        <f t="shared" si="37"/>
        <v>Fife2018-19</v>
      </c>
      <c r="B202" s="62" t="s">
        <v>428</v>
      </c>
      <c r="C202" s="62">
        <v>250</v>
      </c>
      <c r="D202" s="62" t="s">
        <v>27</v>
      </c>
      <c r="E202" s="62">
        <v>3635</v>
      </c>
      <c r="F202" s="62">
        <v>94.415405777166441</v>
      </c>
    </row>
    <row r="203" spans="1:6">
      <c r="A203" s="305" t="str">
        <f t="shared" si="37"/>
        <v>Glasgow City2018-19</v>
      </c>
      <c r="B203" s="62" t="s">
        <v>428</v>
      </c>
      <c r="C203" s="62">
        <v>260</v>
      </c>
      <c r="D203" s="62" t="s">
        <v>28</v>
      </c>
      <c r="E203" s="62">
        <v>4352</v>
      </c>
      <c r="F203" s="62">
        <v>94.623161764705884</v>
      </c>
    </row>
    <row r="204" spans="1:6">
      <c r="A204" s="305" t="str">
        <f t="shared" si="37"/>
        <v>Highland2018-19</v>
      </c>
      <c r="B204" s="62" t="s">
        <v>428</v>
      </c>
      <c r="C204" s="62">
        <v>270</v>
      </c>
      <c r="D204" s="62" t="s">
        <v>29</v>
      </c>
      <c r="E204" s="62">
        <v>2269</v>
      </c>
      <c r="F204" s="62">
        <v>94.799471132657558</v>
      </c>
    </row>
    <row r="205" spans="1:6">
      <c r="A205" s="305" t="str">
        <f t="shared" si="37"/>
        <v>Inverclyde2018-19</v>
      </c>
      <c r="B205" s="62" t="s">
        <v>428</v>
      </c>
      <c r="C205" s="62">
        <v>280</v>
      </c>
      <c r="D205" s="62" t="s">
        <v>30</v>
      </c>
      <c r="E205" s="62">
        <v>694</v>
      </c>
      <c r="F205" s="62">
        <v>95.821325648414984</v>
      </c>
    </row>
    <row r="206" spans="1:6">
      <c r="A206" s="305" t="str">
        <f t="shared" si="37"/>
        <v>Midlothian2018-19</v>
      </c>
      <c r="B206" s="62" t="s">
        <v>428</v>
      </c>
      <c r="C206" s="62">
        <v>290</v>
      </c>
      <c r="D206" s="62" t="s">
        <v>31</v>
      </c>
      <c r="E206" s="62">
        <v>872</v>
      </c>
      <c r="F206" s="62">
        <v>93.807339449541288</v>
      </c>
    </row>
    <row r="207" spans="1:6">
      <c r="A207" s="305" t="str">
        <f t="shared" si="37"/>
        <v>Moray2018-19</v>
      </c>
      <c r="B207" s="62" t="s">
        <v>428</v>
      </c>
      <c r="C207" s="62">
        <v>300</v>
      </c>
      <c r="D207" s="62" t="s">
        <v>32</v>
      </c>
      <c r="E207" s="62">
        <v>911</v>
      </c>
      <c r="F207" s="62">
        <v>92.755214050493962</v>
      </c>
    </row>
    <row r="208" spans="1:6">
      <c r="A208" s="305" t="str">
        <f t="shared" si="37"/>
        <v>Na h-Eileanan Siar2018-19</v>
      </c>
      <c r="B208" s="62" t="s">
        <v>428</v>
      </c>
      <c r="C208" s="62">
        <v>235</v>
      </c>
      <c r="D208" s="62" t="s">
        <v>33</v>
      </c>
      <c r="E208" s="62">
        <v>252</v>
      </c>
      <c r="F208" s="62">
        <v>98.412698412698404</v>
      </c>
    </row>
    <row r="209" spans="1:6">
      <c r="A209" s="305" t="str">
        <f t="shared" si="37"/>
        <v>North Ayrshire2018-19</v>
      </c>
      <c r="B209" s="62" t="s">
        <v>428</v>
      </c>
      <c r="C209" s="62">
        <v>310</v>
      </c>
      <c r="D209" s="62" t="s">
        <v>34</v>
      </c>
      <c r="E209" s="62">
        <v>1376</v>
      </c>
      <c r="F209" s="62">
        <v>94.04069767441861</v>
      </c>
    </row>
    <row r="210" spans="1:6">
      <c r="A210" s="305" t="str">
        <f t="shared" si="37"/>
        <v>North Lanarkshire2018-19</v>
      </c>
      <c r="B210" s="62" t="s">
        <v>428</v>
      </c>
      <c r="C210" s="62">
        <v>320</v>
      </c>
      <c r="D210" s="62" t="s">
        <v>35</v>
      </c>
      <c r="E210" s="62">
        <v>3640</v>
      </c>
      <c r="F210" s="62">
        <v>94.340659340659343</v>
      </c>
    </row>
    <row r="211" spans="1:6">
      <c r="A211" s="305" t="str">
        <f t="shared" si="37"/>
        <v>Orkney Islands2018-19</v>
      </c>
      <c r="B211" s="62" t="s">
        <v>428</v>
      </c>
      <c r="C211" s="62">
        <v>330</v>
      </c>
      <c r="D211" s="62" t="s">
        <v>36</v>
      </c>
      <c r="E211" s="62">
        <v>229</v>
      </c>
      <c r="F211" s="62">
        <v>94.75982532751091</v>
      </c>
    </row>
    <row r="212" spans="1:6">
      <c r="A212" s="305" t="str">
        <f t="shared" si="37"/>
        <v>Perth and Kinross2018-19</v>
      </c>
      <c r="B212" s="62" t="s">
        <v>428</v>
      </c>
      <c r="C212" s="62">
        <v>340</v>
      </c>
      <c r="D212" s="62" t="s">
        <v>37</v>
      </c>
      <c r="E212" s="62">
        <v>1335</v>
      </c>
      <c r="F212" s="62">
        <v>97.453183520599254</v>
      </c>
    </row>
    <row r="213" spans="1:6">
      <c r="A213" s="305" t="str">
        <f t="shared" si="37"/>
        <v>Renfrewshire2018-19</v>
      </c>
      <c r="B213" s="62" t="s">
        <v>428</v>
      </c>
      <c r="C213" s="62">
        <v>350</v>
      </c>
      <c r="D213" s="62" t="s">
        <v>38</v>
      </c>
      <c r="E213" s="62">
        <v>1690</v>
      </c>
      <c r="F213" s="62">
        <v>94.970414201183431</v>
      </c>
    </row>
    <row r="214" spans="1:6">
      <c r="A214" s="305" t="str">
        <f t="shared" si="37"/>
        <v>Scottish Borders2018-19</v>
      </c>
      <c r="B214" s="62" t="s">
        <v>428</v>
      </c>
      <c r="C214" s="62">
        <v>355</v>
      </c>
      <c r="D214" s="62" t="s">
        <v>39</v>
      </c>
      <c r="E214" s="62">
        <v>1149</v>
      </c>
      <c r="F214" s="62">
        <v>95.9965187119234</v>
      </c>
    </row>
    <row r="215" spans="1:6">
      <c r="A215" s="305" t="str">
        <f t="shared" si="37"/>
        <v>Shetland Islands2018-19</v>
      </c>
      <c r="B215" s="62" t="s">
        <v>428</v>
      </c>
      <c r="C215" s="62">
        <v>360</v>
      </c>
      <c r="D215" s="62" t="s">
        <v>40</v>
      </c>
      <c r="E215" s="62">
        <v>229</v>
      </c>
      <c r="F215" s="62">
        <v>96.069868995633186</v>
      </c>
    </row>
    <row r="216" spans="1:6">
      <c r="A216" s="305" t="str">
        <f t="shared" si="37"/>
        <v>South Ayrshire2018-19</v>
      </c>
      <c r="B216" s="62" t="s">
        <v>428</v>
      </c>
      <c r="C216" s="62">
        <v>370</v>
      </c>
      <c r="D216" s="62" t="s">
        <v>41</v>
      </c>
      <c r="E216" s="62">
        <v>1060</v>
      </c>
      <c r="F216" s="62">
        <v>93.962264150943398</v>
      </c>
    </row>
    <row r="217" spans="1:6">
      <c r="A217" s="305" t="str">
        <f t="shared" si="37"/>
        <v>South Lanarkshire2018-19</v>
      </c>
      <c r="B217" s="62" t="s">
        <v>428</v>
      </c>
      <c r="C217" s="62">
        <v>380</v>
      </c>
      <c r="D217" s="62" t="s">
        <v>42</v>
      </c>
      <c r="E217" s="62">
        <v>3239</v>
      </c>
      <c r="F217" s="62">
        <v>95.739425748687864</v>
      </c>
    </row>
    <row r="218" spans="1:6">
      <c r="A218" s="305" t="str">
        <f t="shared" si="37"/>
        <v>Stirling2018-19</v>
      </c>
      <c r="B218" s="62" t="s">
        <v>428</v>
      </c>
      <c r="C218" s="62">
        <v>390</v>
      </c>
      <c r="D218" s="62" t="s">
        <v>43</v>
      </c>
      <c r="E218" s="62">
        <v>962</v>
      </c>
      <c r="F218" s="62">
        <v>95.322245322245323</v>
      </c>
    </row>
    <row r="219" spans="1:6">
      <c r="A219" s="305" t="str">
        <f t="shared" si="37"/>
        <v>West Dunbartonshire2018-19</v>
      </c>
      <c r="B219" s="62" t="s">
        <v>428</v>
      </c>
      <c r="C219" s="62">
        <v>395</v>
      </c>
      <c r="D219" s="62" t="s">
        <v>44</v>
      </c>
      <c r="E219" s="62">
        <v>863</v>
      </c>
      <c r="F219" s="62">
        <v>93.626882966396295</v>
      </c>
    </row>
    <row r="220" spans="1:6">
      <c r="A220" s="305" t="str">
        <f t="shared" si="37"/>
        <v>West Lothian2018-19</v>
      </c>
      <c r="B220" s="62" t="s">
        <v>428</v>
      </c>
      <c r="C220" s="62">
        <v>400</v>
      </c>
      <c r="D220" s="62" t="s">
        <v>45</v>
      </c>
      <c r="E220" s="62">
        <v>1925</v>
      </c>
      <c r="F220" s="62">
        <v>94.805194805194802</v>
      </c>
    </row>
    <row r="221" spans="1:6">
      <c r="A221" s="305" t="str">
        <f t="shared" si="37"/>
        <v>Scotland2018-19</v>
      </c>
      <c r="B221" s="62" t="s">
        <v>428</v>
      </c>
      <c r="C221" s="62">
        <v>999</v>
      </c>
      <c r="D221" s="62" t="s">
        <v>46</v>
      </c>
      <c r="E221" s="62">
        <v>49760</v>
      </c>
      <c r="F221" s="62">
        <v>95.046221864951761</v>
      </c>
    </row>
    <row r="222" spans="1:6">
      <c r="A222" s="305" t="str">
        <f t="shared" si="37"/>
        <v>Aberdeen City2017-18</v>
      </c>
      <c r="B222" s="62" t="s">
        <v>429</v>
      </c>
      <c r="C222" s="62">
        <v>100</v>
      </c>
      <c r="D222" s="62" t="s">
        <v>15</v>
      </c>
      <c r="E222" s="62">
        <v>1541</v>
      </c>
      <c r="F222" s="62">
        <v>91.758598312783903</v>
      </c>
    </row>
    <row r="223" spans="1:6">
      <c r="A223" s="305" t="str">
        <f t="shared" si="37"/>
        <v>Aberdeenshire2017-18</v>
      </c>
      <c r="B223" s="62" t="s">
        <v>429</v>
      </c>
      <c r="C223" s="62">
        <v>110</v>
      </c>
      <c r="D223" s="62" t="s">
        <v>16</v>
      </c>
      <c r="E223" s="62">
        <v>2549</v>
      </c>
      <c r="F223" s="62">
        <v>96.429972538250297</v>
      </c>
    </row>
    <row r="224" spans="1:6">
      <c r="A224" s="305" t="str">
        <f t="shared" si="37"/>
        <v>Angus2017-18</v>
      </c>
      <c r="B224" s="62" t="s">
        <v>429</v>
      </c>
      <c r="C224" s="62">
        <v>120</v>
      </c>
      <c r="D224" s="62" t="s">
        <v>17</v>
      </c>
      <c r="E224" s="62">
        <v>1110</v>
      </c>
      <c r="F224" s="62">
        <v>95.22522522522523</v>
      </c>
    </row>
    <row r="225" spans="1:6">
      <c r="A225" s="305" t="str">
        <f t="shared" si="37"/>
        <v>Argyll and Bute2017-18</v>
      </c>
      <c r="B225" s="62" t="s">
        <v>429</v>
      </c>
      <c r="C225" s="62">
        <v>130</v>
      </c>
      <c r="D225" s="62" t="s">
        <v>18</v>
      </c>
      <c r="E225" s="62">
        <v>802</v>
      </c>
      <c r="F225" s="62">
        <v>95.012468827930178</v>
      </c>
    </row>
    <row r="226" spans="1:6">
      <c r="A226" s="305" t="str">
        <f t="shared" si="37"/>
        <v>Clackmannanshire2017-18</v>
      </c>
      <c r="B226" s="62" t="s">
        <v>429</v>
      </c>
      <c r="C226" s="62">
        <v>150</v>
      </c>
      <c r="D226" s="62" t="s">
        <v>19</v>
      </c>
      <c r="E226" s="62">
        <v>469</v>
      </c>
      <c r="F226" s="62">
        <v>93.176972281449892</v>
      </c>
    </row>
    <row r="227" spans="1:6">
      <c r="A227" s="305" t="str">
        <f t="shared" si="37"/>
        <v>Dumfries and Galloway2017-18</v>
      </c>
      <c r="B227" s="62" t="s">
        <v>429</v>
      </c>
      <c r="C227" s="62">
        <v>170</v>
      </c>
      <c r="D227" s="62" t="s">
        <v>20</v>
      </c>
      <c r="E227" s="62">
        <v>1403</v>
      </c>
      <c r="F227" s="62">
        <v>94.440484675694933</v>
      </c>
    </row>
    <row r="228" spans="1:6">
      <c r="A228" s="305" t="str">
        <f t="shared" si="37"/>
        <v>Dundee City2017-18</v>
      </c>
      <c r="B228" s="62" t="s">
        <v>429</v>
      </c>
      <c r="C228" s="62">
        <v>180</v>
      </c>
      <c r="D228" s="62" t="s">
        <v>21</v>
      </c>
      <c r="E228" s="62">
        <v>1200</v>
      </c>
      <c r="F228" s="62">
        <v>91.583333333333343</v>
      </c>
    </row>
    <row r="229" spans="1:6">
      <c r="A229" s="305" t="str">
        <f t="shared" si="37"/>
        <v>East Ayrshire2017-18</v>
      </c>
      <c r="B229" s="62" t="s">
        <v>429</v>
      </c>
      <c r="C229" s="62">
        <v>190</v>
      </c>
      <c r="D229" s="62" t="s">
        <v>22</v>
      </c>
      <c r="E229" s="62">
        <v>1133</v>
      </c>
      <c r="F229" s="62">
        <v>93.64518976169461</v>
      </c>
    </row>
    <row r="230" spans="1:6">
      <c r="A230" s="305" t="str">
        <f t="shared" si="37"/>
        <v>East Dunbartonshire2017-18</v>
      </c>
      <c r="B230" s="62" t="s">
        <v>429</v>
      </c>
      <c r="C230" s="62">
        <v>200</v>
      </c>
      <c r="D230" s="62" t="s">
        <v>23</v>
      </c>
      <c r="E230" s="62">
        <v>1302</v>
      </c>
      <c r="F230" s="62">
        <v>98.84792626728111</v>
      </c>
    </row>
    <row r="231" spans="1:6">
      <c r="A231" s="305" t="str">
        <f t="shared" si="37"/>
        <v>East Lothian2017-18</v>
      </c>
      <c r="B231" s="62" t="s">
        <v>429</v>
      </c>
      <c r="C231" s="62">
        <v>210</v>
      </c>
      <c r="D231" s="62" t="s">
        <v>24</v>
      </c>
      <c r="E231" s="62">
        <v>1015</v>
      </c>
      <c r="F231" s="62">
        <v>95.960591133004925</v>
      </c>
    </row>
    <row r="232" spans="1:6">
      <c r="A232" s="305" t="str">
        <f t="shared" si="37"/>
        <v>East Renfrewshire2017-18</v>
      </c>
      <c r="B232" s="62" t="s">
        <v>429</v>
      </c>
      <c r="C232" s="62">
        <v>220</v>
      </c>
      <c r="D232" s="62" t="s">
        <v>25</v>
      </c>
      <c r="E232" s="62">
        <v>1372</v>
      </c>
      <c r="F232" s="62">
        <v>97.667638483965007</v>
      </c>
    </row>
    <row r="233" spans="1:6">
      <c r="A233" s="305" t="str">
        <f t="shared" si="37"/>
        <v>Edinburgh, City of2017-18</v>
      </c>
      <c r="B233" s="62" t="s">
        <v>429</v>
      </c>
      <c r="C233" s="62">
        <v>230</v>
      </c>
      <c r="D233" s="62" t="s">
        <v>126</v>
      </c>
      <c r="E233" s="62">
        <v>3203</v>
      </c>
      <c r="F233" s="62">
        <v>94.317827037152668</v>
      </c>
    </row>
    <row r="234" spans="1:6">
      <c r="A234" s="305" t="str">
        <f t="shared" si="37"/>
        <v>Na h-Eileanan Siar2017-18</v>
      </c>
      <c r="B234" s="62" t="s">
        <v>429</v>
      </c>
      <c r="C234" s="62">
        <v>235</v>
      </c>
      <c r="D234" s="62" t="s">
        <v>33</v>
      </c>
      <c r="E234" s="62">
        <v>272</v>
      </c>
      <c r="F234" s="62">
        <v>95.588235294117652</v>
      </c>
    </row>
    <row r="235" spans="1:6">
      <c r="A235" s="305" t="str">
        <f t="shared" si="37"/>
        <v>Falkirk2017-18</v>
      </c>
      <c r="B235" s="62" t="s">
        <v>429</v>
      </c>
      <c r="C235" s="62">
        <v>240</v>
      </c>
      <c r="D235" s="62" t="s">
        <v>26</v>
      </c>
      <c r="E235" s="62">
        <v>1543</v>
      </c>
      <c r="F235" s="62">
        <v>94.620868438107593</v>
      </c>
    </row>
    <row r="236" spans="1:6">
      <c r="A236" s="305" t="str">
        <f t="shared" si="37"/>
        <v>Fife2017-18</v>
      </c>
      <c r="B236" s="62" t="s">
        <v>429</v>
      </c>
      <c r="C236" s="62">
        <v>250</v>
      </c>
      <c r="D236" s="62" t="s">
        <v>27</v>
      </c>
      <c r="E236" s="62">
        <v>3532</v>
      </c>
      <c r="F236" s="62">
        <v>92.836919592298983</v>
      </c>
    </row>
    <row r="237" spans="1:6">
      <c r="A237" s="305" t="str">
        <f t="shared" si="37"/>
        <v>Glasgow City2017-18</v>
      </c>
      <c r="B237" s="62" t="s">
        <v>429</v>
      </c>
      <c r="C237" s="62">
        <v>260</v>
      </c>
      <c r="D237" s="62" t="s">
        <v>28</v>
      </c>
      <c r="E237" s="62">
        <v>4357</v>
      </c>
      <c r="F237" s="62">
        <v>92.334174890980037</v>
      </c>
    </row>
    <row r="238" spans="1:6">
      <c r="A238" s="305" t="str">
        <f t="shared" si="37"/>
        <v>Highland2017-18</v>
      </c>
      <c r="B238" s="62" t="s">
        <v>429</v>
      </c>
      <c r="C238" s="62">
        <v>270</v>
      </c>
      <c r="D238" s="62" t="s">
        <v>29</v>
      </c>
      <c r="E238" s="62">
        <v>2446</v>
      </c>
      <c r="F238" s="62">
        <v>96.116107931316435</v>
      </c>
    </row>
    <row r="239" spans="1:6">
      <c r="A239" s="305" t="str">
        <f t="shared" si="37"/>
        <v>Inverclyde2017-18</v>
      </c>
      <c r="B239" s="62" t="s">
        <v>429</v>
      </c>
      <c r="C239" s="62">
        <v>280</v>
      </c>
      <c r="D239" s="62" t="s">
        <v>30</v>
      </c>
      <c r="E239" s="62">
        <v>713</v>
      </c>
      <c r="F239" s="62">
        <v>93.267882187938284</v>
      </c>
    </row>
    <row r="240" spans="1:6">
      <c r="A240" s="305" t="str">
        <f t="shared" si="37"/>
        <v>Midlothian2017-18</v>
      </c>
      <c r="B240" s="62" t="s">
        <v>429</v>
      </c>
      <c r="C240" s="62">
        <v>290</v>
      </c>
      <c r="D240" s="62" t="s">
        <v>31</v>
      </c>
      <c r="E240" s="62">
        <v>903</v>
      </c>
      <c r="F240" s="62">
        <v>94.905869324473983</v>
      </c>
    </row>
    <row r="241" spans="1:6">
      <c r="A241" s="305" t="str">
        <f t="shared" si="37"/>
        <v>Moray2017-18</v>
      </c>
      <c r="B241" s="62" t="s">
        <v>429</v>
      </c>
      <c r="C241" s="62">
        <v>300</v>
      </c>
      <c r="D241" s="62" t="s">
        <v>32</v>
      </c>
      <c r="E241" s="62">
        <v>927</v>
      </c>
      <c r="F241" s="62">
        <v>94.174757281553397</v>
      </c>
    </row>
    <row r="242" spans="1:6">
      <c r="A242" s="305" t="str">
        <f t="shared" si="37"/>
        <v>North Ayrshire2017-18</v>
      </c>
      <c r="B242" s="62" t="s">
        <v>429</v>
      </c>
      <c r="C242" s="62">
        <v>310</v>
      </c>
      <c r="D242" s="62" t="s">
        <v>34</v>
      </c>
      <c r="E242" s="62">
        <v>1355</v>
      </c>
      <c r="F242" s="62">
        <v>95.719557195571952</v>
      </c>
    </row>
    <row r="243" spans="1:6">
      <c r="A243" s="305" t="str">
        <f t="shared" si="37"/>
        <v>North Lanarkshire2017-18</v>
      </c>
      <c r="B243" s="62" t="s">
        <v>429</v>
      </c>
      <c r="C243" s="62">
        <v>320</v>
      </c>
      <c r="D243" s="62" t="s">
        <v>35</v>
      </c>
      <c r="E243" s="62">
        <v>3531</v>
      </c>
      <c r="F243" s="62">
        <v>93.429623336165392</v>
      </c>
    </row>
    <row r="244" spans="1:6">
      <c r="A244" s="305" t="str">
        <f t="shared" si="37"/>
        <v>Orkney Islands2017-18</v>
      </c>
      <c r="B244" s="62" t="s">
        <v>429</v>
      </c>
      <c r="C244" s="62">
        <v>330</v>
      </c>
      <c r="D244" s="62" t="s">
        <v>36</v>
      </c>
      <c r="E244" s="62">
        <v>196</v>
      </c>
      <c r="F244" s="62">
        <v>98.469387755102048</v>
      </c>
    </row>
    <row r="245" spans="1:6">
      <c r="A245" s="305" t="str">
        <f t="shared" si="37"/>
        <v>Perth and Kinross2017-18</v>
      </c>
      <c r="B245" s="62" t="s">
        <v>429</v>
      </c>
      <c r="C245" s="62">
        <v>340</v>
      </c>
      <c r="D245" s="62" t="s">
        <v>37</v>
      </c>
      <c r="E245" s="62">
        <v>1346</v>
      </c>
      <c r="F245" s="62">
        <v>96.285289747399702</v>
      </c>
    </row>
    <row r="246" spans="1:6">
      <c r="A246" s="305" t="str">
        <f t="shared" si="37"/>
        <v>Renfrewshire2017-18</v>
      </c>
      <c r="B246" s="62" t="s">
        <v>429</v>
      </c>
      <c r="C246" s="62">
        <v>350</v>
      </c>
      <c r="D246" s="62" t="s">
        <v>38</v>
      </c>
      <c r="E246" s="62">
        <v>1800</v>
      </c>
      <c r="F246" s="62">
        <v>93.277777777777786</v>
      </c>
    </row>
    <row r="247" spans="1:6">
      <c r="A247" s="305" t="str">
        <f t="shared" si="37"/>
        <v>Scottish Borders2017-18</v>
      </c>
      <c r="B247" s="62" t="s">
        <v>429</v>
      </c>
      <c r="C247" s="62">
        <v>355</v>
      </c>
      <c r="D247" s="62" t="s">
        <v>39</v>
      </c>
      <c r="E247" s="62">
        <v>1178</v>
      </c>
      <c r="F247" s="62">
        <v>95.670628183361629</v>
      </c>
    </row>
    <row r="248" spans="1:6">
      <c r="A248" s="305" t="str">
        <f t="shared" si="37"/>
        <v>Shetland Islands2017-18</v>
      </c>
      <c r="B248" s="62" t="s">
        <v>429</v>
      </c>
      <c r="C248" s="62">
        <v>360</v>
      </c>
      <c r="D248" s="62" t="s">
        <v>40</v>
      </c>
      <c r="E248" s="62">
        <v>249</v>
      </c>
      <c r="F248" s="62">
        <v>96.787148594377513</v>
      </c>
    </row>
    <row r="249" spans="1:6">
      <c r="A249" s="305" t="str">
        <f t="shared" ref="A249:A312" si="38">D249&amp;B249</f>
        <v>South Ayrshire2017-18</v>
      </c>
      <c r="B249" s="62" t="s">
        <v>429</v>
      </c>
      <c r="C249" s="62">
        <v>370</v>
      </c>
      <c r="D249" s="62" t="s">
        <v>41</v>
      </c>
      <c r="E249" s="62">
        <v>1143</v>
      </c>
      <c r="F249" s="62">
        <v>93.7007874015748</v>
      </c>
    </row>
    <row r="250" spans="1:6">
      <c r="A250" s="305" t="str">
        <f t="shared" si="38"/>
        <v>South Lanarkshire2017-18</v>
      </c>
      <c r="B250" s="62" t="s">
        <v>429</v>
      </c>
      <c r="C250" s="62">
        <v>380</v>
      </c>
      <c r="D250" s="62" t="s">
        <v>42</v>
      </c>
      <c r="E250" s="62">
        <v>3258</v>
      </c>
      <c r="F250" s="62">
        <v>96.470227133210557</v>
      </c>
    </row>
    <row r="251" spans="1:6">
      <c r="A251" s="305" t="str">
        <f t="shared" si="38"/>
        <v>Stirling2017-18</v>
      </c>
      <c r="B251" s="62" t="s">
        <v>429</v>
      </c>
      <c r="C251" s="62">
        <v>390</v>
      </c>
      <c r="D251" s="62" t="s">
        <v>43</v>
      </c>
      <c r="E251" s="62">
        <v>998</v>
      </c>
      <c r="F251" s="62">
        <v>94.989979959919836</v>
      </c>
    </row>
    <row r="252" spans="1:6">
      <c r="A252" s="305" t="str">
        <f t="shared" si="38"/>
        <v>West Dunbartonshire2017-18</v>
      </c>
      <c r="B252" s="62" t="s">
        <v>429</v>
      </c>
      <c r="C252" s="62">
        <v>395</v>
      </c>
      <c r="D252" s="62" t="s">
        <v>44</v>
      </c>
      <c r="E252" s="62">
        <v>889</v>
      </c>
      <c r="F252" s="62">
        <v>94.150731158605169</v>
      </c>
    </row>
    <row r="253" spans="1:6">
      <c r="A253" s="305" t="str">
        <f t="shared" si="38"/>
        <v>West Lothian2017-18</v>
      </c>
      <c r="B253" s="62" t="s">
        <v>429</v>
      </c>
      <c r="C253" s="62">
        <v>400</v>
      </c>
      <c r="D253" s="62" t="s">
        <v>45</v>
      </c>
      <c r="E253" s="62">
        <v>1914</v>
      </c>
      <c r="F253" s="62">
        <v>94.514106583072106</v>
      </c>
    </row>
    <row r="254" spans="1:6">
      <c r="A254" s="305" t="str">
        <f t="shared" si="38"/>
        <v>Scotland2017-18</v>
      </c>
      <c r="B254" s="62" t="s">
        <v>429</v>
      </c>
      <c r="C254" s="62">
        <v>999</v>
      </c>
      <c r="D254" s="62" t="s">
        <v>46</v>
      </c>
      <c r="E254" s="62">
        <v>49748</v>
      </c>
      <c r="F254" s="62">
        <v>94.55656508804374</v>
      </c>
    </row>
    <row r="255" spans="1:6">
      <c r="A255" s="305" t="str">
        <f t="shared" si="38"/>
        <v>Aberdeen City2016-17</v>
      </c>
      <c r="B255" s="62" t="s">
        <v>430</v>
      </c>
      <c r="C255" s="62">
        <v>100</v>
      </c>
      <c r="D255" s="62" t="s">
        <v>15</v>
      </c>
      <c r="E255" s="62">
        <v>1638</v>
      </c>
      <c r="F255" s="62">
        <v>91.08669108669109</v>
      </c>
    </row>
    <row r="256" spans="1:6">
      <c r="A256" s="305" t="str">
        <f t="shared" si="38"/>
        <v>Aberdeenshire2016-17</v>
      </c>
      <c r="B256" s="62" t="s">
        <v>430</v>
      </c>
      <c r="C256" s="62">
        <v>110</v>
      </c>
      <c r="D256" s="62" t="s">
        <v>16</v>
      </c>
      <c r="E256" s="62">
        <v>2681</v>
      </c>
      <c r="F256" s="62">
        <v>95.747855277881385</v>
      </c>
    </row>
    <row r="257" spans="1:6">
      <c r="A257" s="305" t="str">
        <f t="shared" si="38"/>
        <v>Angus2016-17</v>
      </c>
      <c r="B257" s="62" t="s">
        <v>430</v>
      </c>
      <c r="C257" s="62">
        <v>120</v>
      </c>
      <c r="D257" s="62" t="s">
        <v>17</v>
      </c>
      <c r="E257" s="62">
        <v>1150</v>
      </c>
      <c r="F257" s="62">
        <v>94.695652173913047</v>
      </c>
    </row>
    <row r="258" spans="1:6">
      <c r="A258" s="305" t="str">
        <f t="shared" si="38"/>
        <v>Argyll and Bute2016-17</v>
      </c>
      <c r="B258" s="62" t="s">
        <v>430</v>
      </c>
      <c r="C258" s="62">
        <v>130</v>
      </c>
      <c r="D258" s="62" t="s">
        <v>18</v>
      </c>
      <c r="E258" s="62">
        <v>862</v>
      </c>
      <c r="F258" s="62">
        <v>94.779582366589338</v>
      </c>
    </row>
    <row r="259" spans="1:6">
      <c r="A259" s="305" t="str">
        <f t="shared" si="38"/>
        <v>Clackmannanshire2016-17</v>
      </c>
      <c r="B259" s="62" t="s">
        <v>430</v>
      </c>
      <c r="C259" s="62">
        <v>150</v>
      </c>
      <c r="D259" s="62" t="s">
        <v>19</v>
      </c>
      <c r="E259" s="62">
        <v>495</v>
      </c>
      <c r="F259" s="62">
        <v>87.474747474747474</v>
      </c>
    </row>
    <row r="260" spans="1:6">
      <c r="A260" s="305" t="str">
        <f t="shared" si="38"/>
        <v>Dumfries and Galloway2016-17</v>
      </c>
      <c r="B260" s="62" t="s">
        <v>430</v>
      </c>
      <c r="C260" s="62">
        <v>170</v>
      </c>
      <c r="D260" s="62" t="s">
        <v>20</v>
      </c>
      <c r="E260" s="62">
        <v>1504</v>
      </c>
      <c r="F260" s="62">
        <v>94.946808510638306</v>
      </c>
    </row>
    <row r="261" spans="1:6">
      <c r="A261" s="305" t="str">
        <f t="shared" si="38"/>
        <v>Dundee City2016-17</v>
      </c>
      <c r="B261" s="62" t="s">
        <v>430</v>
      </c>
      <c r="C261" s="62">
        <v>180</v>
      </c>
      <c r="D261" s="62" t="s">
        <v>21</v>
      </c>
      <c r="E261" s="62">
        <v>1231</v>
      </c>
      <c r="F261" s="62">
        <v>94.232331437855393</v>
      </c>
    </row>
    <row r="262" spans="1:6">
      <c r="A262" s="305" t="str">
        <f t="shared" si="38"/>
        <v>East Ayrshire2016-17</v>
      </c>
      <c r="B262" s="62" t="s">
        <v>430</v>
      </c>
      <c r="C262" s="62">
        <v>190</v>
      </c>
      <c r="D262" s="62" t="s">
        <v>22</v>
      </c>
      <c r="E262" s="62">
        <v>1309</v>
      </c>
      <c r="F262" s="62">
        <v>94.270435446906035</v>
      </c>
    </row>
    <row r="263" spans="1:6">
      <c r="A263" s="305" t="str">
        <f t="shared" si="38"/>
        <v>East Dunbartonshire2016-17</v>
      </c>
      <c r="B263" s="62" t="s">
        <v>430</v>
      </c>
      <c r="C263" s="62">
        <v>200</v>
      </c>
      <c r="D263" s="62" t="s">
        <v>23</v>
      </c>
      <c r="E263" s="62">
        <v>1240</v>
      </c>
      <c r="F263" s="62">
        <v>98.306451612903217</v>
      </c>
    </row>
    <row r="264" spans="1:6">
      <c r="A264" s="305" t="str">
        <f t="shared" si="38"/>
        <v>East Lothian2016-17</v>
      </c>
      <c r="B264" s="62" t="s">
        <v>430</v>
      </c>
      <c r="C264" s="62">
        <v>210</v>
      </c>
      <c r="D264" s="62" t="s">
        <v>24</v>
      </c>
      <c r="E264" s="62">
        <v>1018</v>
      </c>
      <c r="F264" s="62">
        <v>94.695481335952849</v>
      </c>
    </row>
    <row r="265" spans="1:6">
      <c r="A265" s="305" t="str">
        <f t="shared" si="38"/>
        <v>East Renfrewshire2016-17</v>
      </c>
      <c r="B265" s="62" t="s">
        <v>430</v>
      </c>
      <c r="C265" s="62">
        <v>220</v>
      </c>
      <c r="D265" s="62" t="s">
        <v>25</v>
      </c>
      <c r="E265" s="62">
        <v>1343</v>
      </c>
      <c r="F265" s="62">
        <v>96.276991809381983</v>
      </c>
    </row>
    <row r="266" spans="1:6">
      <c r="A266" s="305" t="str">
        <f t="shared" si="38"/>
        <v>Edinburgh, City of2016-17</v>
      </c>
      <c r="B266" s="62" t="s">
        <v>430</v>
      </c>
      <c r="C266" s="62">
        <v>230</v>
      </c>
      <c r="D266" s="62" t="s">
        <v>126</v>
      </c>
      <c r="E266" s="62">
        <v>3239</v>
      </c>
      <c r="F266" s="62">
        <v>92.559431923433152</v>
      </c>
    </row>
    <row r="267" spans="1:6">
      <c r="A267" s="305" t="str">
        <f t="shared" si="38"/>
        <v>Na h-Eileanan Siar2016-17</v>
      </c>
      <c r="B267" s="62" t="s">
        <v>430</v>
      </c>
      <c r="C267" s="62">
        <v>235</v>
      </c>
      <c r="D267" s="62" t="s">
        <v>33</v>
      </c>
      <c r="E267" s="62">
        <v>268</v>
      </c>
      <c r="F267" s="62">
        <v>98.134328358208961</v>
      </c>
    </row>
    <row r="268" spans="1:6">
      <c r="A268" s="305" t="str">
        <f t="shared" si="38"/>
        <v>Falkirk2016-17</v>
      </c>
      <c r="B268" s="62" t="s">
        <v>430</v>
      </c>
      <c r="C268" s="62">
        <v>240</v>
      </c>
      <c r="D268" s="62" t="s">
        <v>26</v>
      </c>
      <c r="E268" s="62">
        <v>1589</v>
      </c>
      <c r="F268" s="62">
        <v>92.133417243549403</v>
      </c>
    </row>
    <row r="269" spans="1:6">
      <c r="A269" s="305" t="str">
        <f t="shared" si="38"/>
        <v>Fife2016-17</v>
      </c>
      <c r="B269" s="62" t="s">
        <v>430</v>
      </c>
      <c r="C269" s="62">
        <v>250</v>
      </c>
      <c r="D269" s="62" t="s">
        <v>27</v>
      </c>
      <c r="E269" s="62">
        <v>3761</v>
      </c>
      <c r="F269" s="62">
        <v>92.980590268545598</v>
      </c>
    </row>
    <row r="270" spans="1:6">
      <c r="A270" s="305" t="str">
        <f t="shared" si="38"/>
        <v>Glasgow City2016-17</v>
      </c>
      <c r="B270" s="62" t="s">
        <v>430</v>
      </c>
      <c r="C270" s="62">
        <v>260</v>
      </c>
      <c r="D270" s="62" t="s">
        <v>28</v>
      </c>
      <c r="E270" s="62">
        <v>4483</v>
      </c>
      <c r="F270" s="62">
        <v>91.969663171983058</v>
      </c>
    </row>
    <row r="271" spans="1:6">
      <c r="A271" s="305" t="str">
        <f t="shared" si="38"/>
        <v>Highland2016-17</v>
      </c>
      <c r="B271" s="62" t="s">
        <v>430</v>
      </c>
      <c r="C271" s="62">
        <v>270</v>
      </c>
      <c r="D271" s="62" t="s">
        <v>29</v>
      </c>
      <c r="E271" s="62">
        <v>2421</v>
      </c>
      <c r="F271" s="62">
        <v>95.621643948781497</v>
      </c>
    </row>
    <row r="272" spans="1:6">
      <c r="A272" s="305" t="str">
        <f t="shared" si="38"/>
        <v>Inverclyde2016-17</v>
      </c>
      <c r="B272" s="62" t="s">
        <v>430</v>
      </c>
      <c r="C272" s="62">
        <v>280</v>
      </c>
      <c r="D272" s="62" t="s">
        <v>30</v>
      </c>
      <c r="E272" s="62">
        <v>785</v>
      </c>
      <c r="F272" s="62">
        <v>92.99363057324841</v>
      </c>
    </row>
    <row r="273" spans="1:6">
      <c r="A273" s="305" t="str">
        <f t="shared" si="38"/>
        <v>Midlothian2016-17</v>
      </c>
      <c r="B273" s="62" t="s">
        <v>430</v>
      </c>
      <c r="C273" s="62">
        <v>290</v>
      </c>
      <c r="D273" s="62" t="s">
        <v>31</v>
      </c>
      <c r="E273" s="62">
        <v>919</v>
      </c>
      <c r="F273" s="62">
        <v>94.776931447225238</v>
      </c>
    </row>
    <row r="274" spans="1:6">
      <c r="A274" s="305" t="str">
        <f t="shared" si="38"/>
        <v>Moray2016-17</v>
      </c>
      <c r="B274" s="62" t="s">
        <v>430</v>
      </c>
      <c r="C274" s="62">
        <v>300</v>
      </c>
      <c r="D274" s="62" t="s">
        <v>32</v>
      </c>
      <c r="E274" s="62">
        <v>929</v>
      </c>
      <c r="F274" s="62">
        <v>93.864370290635094</v>
      </c>
    </row>
    <row r="275" spans="1:6">
      <c r="A275" s="305" t="str">
        <f t="shared" si="38"/>
        <v>North Ayrshire2016-17</v>
      </c>
      <c r="B275" s="62" t="s">
        <v>430</v>
      </c>
      <c r="C275" s="62">
        <v>310</v>
      </c>
      <c r="D275" s="62" t="s">
        <v>34</v>
      </c>
      <c r="E275" s="62">
        <v>1454</v>
      </c>
      <c r="F275" s="62">
        <v>93.535075653370015</v>
      </c>
    </row>
    <row r="276" spans="1:6">
      <c r="A276" s="305" t="str">
        <f t="shared" si="38"/>
        <v>North Lanarkshire2016-17</v>
      </c>
      <c r="B276" s="62" t="s">
        <v>430</v>
      </c>
      <c r="C276" s="62">
        <v>320</v>
      </c>
      <c r="D276" s="62" t="s">
        <v>35</v>
      </c>
      <c r="E276" s="62">
        <v>3705</v>
      </c>
      <c r="F276" s="62">
        <v>91.821862348178144</v>
      </c>
    </row>
    <row r="277" spans="1:6">
      <c r="A277" s="305" t="str">
        <f t="shared" si="38"/>
        <v>Orkney Islands2016-17</v>
      </c>
      <c r="B277" s="62" t="s">
        <v>430</v>
      </c>
      <c r="C277" s="62">
        <v>330</v>
      </c>
      <c r="D277" s="62" t="s">
        <v>36</v>
      </c>
      <c r="E277" s="62">
        <v>204</v>
      </c>
      <c r="F277" s="62">
        <v>96.078431372549019</v>
      </c>
    </row>
    <row r="278" spans="1:6">
      <c r="A278" s="305" t="str">
        <f t="shared" si="38"/>
        <v>Perth and Kinross2016-17</v>
      </c>
      <c r="B278" s="62" t="s">
        <v>430</v>
      </c>
      <c r="C278" s="62">
        <v>340</v>
      </c>
      <c r="D278" s="62" t="s">
        <v>37</v>
      </c>
      <c r="E278" s="62">
        <v>1430</v>
      </c>
      <c r="F278" s="62">
        <v>94.68531468531468</v>
      </c>
    </row>
    <row r="279" spans="1:6">
      <c r="A279" s="305" t="str">
        <f t="shared" si="38"/>
        <v>Renfrewshire2016-17</v>
      </c>
      <c r="B279" s="62" t="s">
        <v>430</v>
      </c>
      <c r="C279" s="62">
        <v>350</v>
      </c>
      <c r="D279" s="62" t="s">
        <v>38</v>
      </c>
      <c r="E279" s="62">
        <v>1793</v>
      </c>
      <c r="F279" s="62">
        <v>92.972671500278864</v>
      </c>
    </row>
    <row r="280" spans="1:6">
      <c r="A280" s="305" t="str">
        <f t="shared" si="38"/>
        <v>Scottish Borders2016-17</v>
      </c>
      <c r="B280" s="62" t="s">
        <v>430</v>
      </c>
      <c r="C280" s="62">
        <v>355</v>
      </c>
      <c r="D280" s="62" t="s">
        <v>39</v>
      </c>
      <c r="E280" s="62">
        <v>1102</v>
      </c>
      <c r="F280" s="62">
        <v>95.91651542649727</v>
      </c>
    </row>
    <row r="281" spans="1:6">
      <c r="A281" s="305" t="str">
        <f t="shared" si="38"/>
        <v>Shetland Islands2016-17</v>
      </c>
      <c r="B281" s="62" t="s">
        <v>430</v>
      </c>
      <c r="C281" s="62">
        <v>360</v>
      </c>
      <c r="D281" s="62" t="s">
        <v>40</v>
      </c>
      <c r="E281" s="62">
        <v>271</v>
      </c>
      <c r="F281" s="62">
        <v>94.095940959409603</v>
      </c>
    </row>
    <row r="282" spans="1:6">
      <c r="A282" s="305" t="str">
        <f t="shared" si="38"/>
        <v>South Ayrshire2016-17</v>
      </c>
      <c r="B282" s="62" t="s">
        <v>430</v>
      </c>
      <c r="C282" s="62">
        <v>370</v>
      </c>
      <c r="D282" s="62" t="s">
        <v>41</v>
      </c>
      <c r="E282" s="62">
        <v>1104</v>
      </c>
      <c r="F282" s="62">
        <v>94.20289855072464</v>
      </c>
    </row>
    <row r="283" spans="1:6">
      <c r="A283" s="305" t="str">
        <f t="shared" si="38"/>
        <v>South Lanarkshire2016-17</v>
      </c>
      <c r="B283" s="62" t="s">
        <v>430</v>
      </c>
      <c r="C283" s="62">
        <v>380</v>
      </c>
      <c r="D283" s="62" t="s">
        <v>42</v>
      </c>
      <c r="E283" s="62">
        <v>3368</v>
      </c>
      <c r="F283" s="62">
        <v>95.843230403800476</v>
      </c>
    </row>
    <row r="284" spans="1:6">
      <c r="A284" s="305" t="str">
        <f t="shared" si="38"/>
        <v>Stirling2016-17</v>
      </c>
      <c r="B284" s="62" t="s">
        <v>430</v>
      </c>
      <c r="C284" s="62">
        <v>390</v>
      </c>
      <c r="D284" s="62" t="s">
        <v>43</v>
      </c>
      <c r="E284" s="62">
        <v>1037</v>
      </c>
      <c r="F284" s="62">
        <v>93.92478302796529</v>
      </c>
    </row>
    <row r="285" spans="1:6">
      <c r="A285" s="305" t="str">
        <f t="shared" si="38"/>
        <v>West Dunbartonshire2016-17</v>
      </c>
      <c r="B285" s="62" t="s">
        <v>430</v>
      </c>
      <c r="C285" s="62">
        <v>395</v>
      </c>
      <c r="D285" s="62" t="s">
        <v>44</v>
      </c>
      <c r="E285" s="62">
        <v>889</v>
      </c>
      <c r="F285" s="62">
        <v>93.138357705286836</v>
      </c>
    </row>
    <row r="286" spans="1:6">
      <c r="A286" s="305" t="str">
        <f t="shared" si="38"/>
        <v>West Lothian2016-17</v>
      </c>
      <c r="B286" s="62" t="s">
        <v>430</v>
      </c>
      <c r="C286" s="62">
        <v>400</v>
      </c>
      <c r="D286" s="62" t="s">
        <v>45</v>
      </c>
      <c r="E286" s="62">
        <v>1994</v>
      </c>
      <c r="F286" s="62">
        <v>94.332998996990966</v>
      </c>
    </row>
    <row r="287" spans="1:6">
      <c r="A287" s="305" t="str">
        <f t="shared" si="38"/>
        <v>Scotland2016-17</v>
      </c>
      <c r="B287" s="62" t="s">
        <v>430</v>
      </c>
      <c r="C287" s="62">
        <v>999</v>
      </c>
      <c r="D287" s="62" t="s">
        <v>46</v>
      </c>
      <c r="E287" s="62">
        <v>51300</v>
      </c>
      <c r="F287" s="62">
        <v>93.869395711500971</v>
      </c>
    </row>
    <row r="288" spans="1:6">
      <c r="A288" s="305" t="str">
        <f t="shared" si="38"/>
        <v>Aberdeen City2015-16</v>
      </c>
      <c r="B288" s="62" t="s">
        <v>431</v>
      </c>
      <c r="C288" s="62">
        <v>100</v>
      </c>
      <c r="D288" s="62" t="s">
        <v>15</v>
      </c>
      <c r="E288" s="62">
        <v>1675</v>
      </c>
      <c r="F288" s="62">
        <v>90.865671641791039</v>
      </c>
    </row>
    <row r="289" spans="1:6">
      <c r="A289" s="305" t="str">
        <f t="shared" si="38"/>
        <v>Aberdeenshire2015-16</v>
      </c>
      <c r="B289" s="62" t="s">
        <v>431</v>
      </c>
      <c r="C289" s="62">
        <v>110</v>
      </c>
      <c r="D289" s="62" t="s">
        <v>16</v>
      </c>
      <c r="E289" s="62">
        <v>2585</v>
      </c>
      <c r="F289" s="62">
        <v>95.087040618955513</v>
      </c>
    </row>
    <row r="290" spans="1:6">
      <c r="A290" s="305" t="str">
        <f t="shared" si="38"/>
        <v>Angus2015-16</v>
      </c>
      <c r="B290" s="62" t="s">
        <v>431</v>
      </c>
      <c r="C290" s="62">
        <v>120</v>
      </c>
      <c r="D290" s="62" t="s">
        <v>17</v>
      </c>
      <c r="E290" s="62">
        <v>1227</v>
      </c>
      <c r="F290" s="62">
        <v>95.436022819885906</v>
      </c>
    </row>
    <row r="291" spans="1:6">
      <c r="A291" s="305" t="str">
        <f t="shared" si="38"/>
        <v>Argyll and Bute2015-16</v>
      </c>
      <c r="B291" s="62" t="s">
        <v>431</v>
      </c>
      <c r="C291" s="62">
        <v>130</v>
      </c>
      <c r="D291" s="62" t="s">
        <v>18</v>
      </c>
      <c r="E291" s="62">
        <v>907</v>
      </c>
      <c r="F291" s="62">
        <v>92.943770672546862</v>
      </c>
    </row>
    <row r="292" spans="1:6">
      <c r="A292" s="305" t="str">
        <f t="shared" si="38"/>
        <v>Clackmannanshire2015-16</v>
      </c>
      <c r="B292" s="62" t="s">
        <v>431</v>
      </c>
      <c r="C292" s="62">
        <v>150</v>
      </c>
      <c r="D292" s="62" t="s">
        <v>19</v>
      </c>
      <c r="E292" s="62">
        <v>489</v>
      </c>
      <c r="F292" s="62">
        <v>90.593047034764822</v>
      </c>
    </row>
    <row r="293" spans="1:6">
      <c r="A293" s="305" t="str">
        <f t="shared" si="38"/>
        <v>Dumfries and Galloway2015-16</v>
      </c>
      <c r="B293" s="62" t="s">
        <v>431</v>
      </c>
      <c r="C293" s="62">
        <v>170</v>
      </c>
      <c r="D293" s="62" t="s">
        <v>20</v>
      </c>
      <c r="E293" s="62">
        <v>1476</v>
      </c>
      <c r="F293" s="62">
        <v>94.783197831978313</v>
      </c>
    </row>
    <row r="294" spans="1:6">
      <c r="A294" s="305" t="str">
        <f t="shared" si="38"/>
        <v>Dundee City2015-16</v>
      </c>
      <c r="B294" s="62" t="s">
        <v>431</v>
      </c>
      <c r="C294" s="62">
        <v>180</v>
      </c>
      <c r="D294" s="62" t="s">
        <v>21</v>
      </c>
      <c r="E294" s="62">
        <v>1392</v>
      </c>
      <c r="F294" s="62">
        <v>91.59482758620689</v>
      </c>
    </row>
    <row r="295" spans="1:6">
      <c r="A295" s="305" t="str">
        <f t="shared" si="38"/>
        <v>East Ayrshire2015-16</v>
      </c>
      <c r="B295" s="62" t="s">
        <v>431</v>
      </c>
      <c r="C295" s="62">
        <v>190</v>
      </c>
      <c r="D295" s="62" t="s">
        <v>22</v>
      </c>
      <c r="E295" s="62">
        <v>1278</v>
      </c>
      <c r="F295" s="62">
        <v>91.940532081377143</v>
      </c>
    </row>
    <row r="296" spans="1:6">
      <c r="A296" s="305" t="str">
        <f t="shared" si="38"/>
        <v>East Dunbartonshire2015-16</v>
      </c>
      <c r="B296" s="62" t="s">
        <v>431</v>
      </c>
      <c r="C296" s="62">
        <v>200</v>
      </c>
      <c r="D296" s="62" t="s">
        <v>23</v>
      </c>
      <c r="E296" s="62">
        <v>1367</v>
      </c>
      <c r="F296" s="62">
        <v>97.585954645208489</v>
      </c>
    </row>
    <row r="297" spans="1:6">
      <c r="A297" s="305" t="str">
        <f t="shared" si="38"/>
        <v>East Lothian2015-16</v>
      </c>
      <c r="B297" s="62" t="s">
        <v>431</v>
      </c>
      <c r="C297" s="62">
        <v>210</v>
      </c>
      <c r="D297" s="62" t="s">
        <v>24</v>
      </c>
      <c r="E297" s="62">
        <v>1018</v>
      </c>
      <c r="F297" s="62">
        <v>94.990176817288798</v>
      </c>
    </row>
    <row r="298" spans="1:6">
      <c r="A298" s="305" t="str">
        <f t="shared" si="38"/>
        <v>East Renfrewshire2015-16</v>
      </c>
      <c r="B298" s="62" t="s">
        <v>431</v>
      </c>
      <c r="C298" s="62">
        <v>220</v>
      </c>
      <c r="D298" s="62" t="s">
        <v>25</v>
      </c>
      <c r="E298" s="62">
        <v>1396</v>
      </c>
      <c r="F298" s="62">
        <v>96.704871060171911</v>
      </c>
    </row>
    <row r="299" spans="1:6">
      <c r="A299" s="305" t="str">
        <f t="shared" si="38"/>
        <v>Edinburgh, City of2015-16</v>
      </c>
      <c r="B299" s="62" t="s">
        <v>431</v>
      </c>
      <c r="C299" s="62">
        <v>230</v>
      </c>
      <c r="D299" s="62" t="s">
        <v>126</v>
      </c>
      <c r="E299" s="62">
        <v>3273</v>
      </c>
      <c r="F299" s="62">
        <v>93.889398105713411</v>
      </c>
    </row>
    <row r="300" spans="1:6">
      <c r="A300" s="305" t="str">
        <f t="shared" si="38"/>
        <v>Na h-Eileanan Siar2015-16</v>
      </c>
      <c r="B300" s="62" t="s">
        <v>431</v>
      </c>
      <c r="C300" s="62">
        <v>235</v>
      </c>
      <c r="D300" s="62" t="s">
        <v>33</v>
      </c>
      <c r="E300" s="62">
        <v>253</v>
      </c>
      <c r="F300" s="62" t="s">
        <v>389</v>
      </c>
    </row>
    <row r="301" spans="1:6">
      <c r="A301" s="305" t="str">
        <f t="shared" si="38"/>
        <v>Falkirk2015-16</v>
      </c>
      <c r="B301" s="62" t="s">
        <v>431</v>
      </c>
      <c r="C301" s="62">
        <v>240</v>
      </c>
      <c r="D301" s="62" t="s">
        <v>26</v>
      </c>
      <c r="E301" s="62">
        <v>1528</v>
      </c>
      <c r="F301" s="62">
        <v>95.222513089005233</v>
      </c>
    </row>
    <row r="302" spans="1:6">
      <c r="A302" s="305" t="str">
        <f t="shared" si="38"/>
        <v>Fife2015-16</v>
      </c>
      <c r="B302" s="62" t="s">
        <v>431</v>
      </c>
      <c r="C302" s="62">
        <v>250</v>
      </c>
      <c r="D302" s="62" t="s">
        <v>27</v>
      </c>
      <c r="E302" s="62">
        <v>3717</v>
      </c>
      <c r="F302" s="62">
        <v>92.789884315308043</v>
      </c>
    </row>
    <row r="303" spans="1:6">
      <c r="A303" s="305" t="str">
        <f t="shared" si="38"/>
        <v>Glasgow City2015-16</v>
      </c>
      <c r="B303" s="62" t="s">
        <v>431</v>
      </c>
      <c r="C303" s="62">
        <v>260</v>
      </c>
      <c r="D303" s="62" t="s">
        <v>28</v>
      </c>
      <c r="E303" s="62">
        <v>4555</v>
      </c>
      <c r="F303" s="62">
        <v>89.989023051591658</v>
      </c>
    </row>
    <row r="304" spans="1:6">
      <c r="A304" s="305" t="str">
        <f t="shared" si="38"/>
        <v>Highland2015-16</v>
      </c>
      <c r="B304" s="62" t="s">
        <v>431</v>
      </c>
      <c r="C304" s="62">
        <v>270</v>
      </c>
      <c r="D304" s="62" t="s">
        <v>29</v>
      </c>
      <c r="E304" s="62">
        <v>2522</v>
      </c>
      <c r="F304" s="62">
        <v>95.00396510705788</v>
      </c>
    </row>
    <row r="305" spans="1:6">
      <c r="A305" s="305" t="str">
        <f t="shared" si="38"/>
        <v>Inverclyde2015-16</v>
      </c>
      <c r="B305" s="62" t="s">
        <v>431</v>
      </c>
      <c r="C305" s="62">
        <v>280</v>
      </c>
      <c r="D305" s="62" t="s">
        <v>30</v>
      </c>
      <c r="E305" s="62">
        <v>749</v>
      </c>
      <c r="F305" s="62">
        <v>94.259012016021359</v>
      </c>
    </row>
    <row r="306" spans="1:6">
      <c r="A306" s="305" t="str">
        <f t="shared" si="38"/>
        <v>Midlothian2015-16</v>
      </c>
      <c r="B306" s="62" t="s">
        <v>431</v>
      </c>
      <c r="C306" s="62">
        <v>290</v>
      </c>
      <c r="D306" s="62" t="s">
        <v>31</v>
      </c>
      <c r="E306" s="62">
        <v>992</v>
      </c>
      <c r="F306" s="62">
        <v>95.161290322580655</v>
      </c>
    </row>
    <row r="307" spans="1:6">
      <c r="A307" s="305" t="str">
        <f t="shared" si="38"/>
        <v>Moray2015-16</v>
      </c>
      <c r="B307" s="62" t="s">
        <v>431</v>
      </c>
      <c r="C307" s="62">
        <v>300</v>
      </c>
      <c r="D307" s="62" t="s">
        <v>32</v>
      </c>
      <c r="E307" s="62">
        <v>1008</v>
      </c>
      <c r="F307" s="62">
        <v>93.353174603174608</v>
      </c>
    </row>
    <row r="308" spans="1:6">
      <c r="A308" s="305" t="str">
        <f t="shared" si="38"/>
        <v>North Ayrshire2015-16</v>
      </c>
      <c r="B308" s="62" t="s">
        <v>431</v>
      </c>
      <c r="C308" s="62">
        <v>310</v>
      </c>
      <c r="D308" s="62" t="s">
        <v>34</v>
      </c>
      <c r="E308" s="62">
        <v>1317</v>
      </c>
      <c r="F308" s="62">
        <v>94.836750189825352</v>
      </c>
    </row>
    <row r="309" spans="1:6">
      <c r="A309" s="305" t="str">
        <f t="shared" si="38"/>
        <v>North Lanarkshire2015-16</v>
      </c>
      <c r="B309" s="62" t="s">
        <v>431</v>
      </c>
      <c r="C309" s="62">
        <v>320</v>
      </c>
      <c r="D309" s="62" t="s">
        <v>35</v>
      </c>
      <c r="E309" s="62">
        <v>3968</v>
      </c>
      <c r="F309" s="62">
        <v>92.338709677419345</v>
      </c>
    </row>
    <row r="310" spans="1:6">
      <c r="A310" s="305" t="str">
        <f t="shared" si="38"/>
        <v>Orkney Islands2015-16</v>
      </c>
      <c r="B310" s="62" t="s">
        <v>431</v>
      </c>
      <c r="C310" s="62">
        <v>330</v>
      </c>
      <c r="D310" s="62" t="s">
        <v>36</v>
      </c>
      <c r="E310" s="62">
        <v>214</v>
      </c>
      <c r="F310" s="62">
        <v>90.654205607476641</v>
      </c>
    </row>
    <row r="311" spans="1:6">
      <c r="A311" s="305" t="str">
        <f t="shared" si="38"/>
        <v>Perth and Kinross2015-16</v>
      </c>
      <c r="B311" s="62" t="s">
        <v>431</v>
      </c>
      <c r="C311" s="62">
        <v>340</v>
      </c>
      <c r="D311" s="62" t="s">
        <v>37</v>
      </c>
      <c r="E311" s="62">
        <v>1390</v>
      </c>
      <c r="F311" s="62">
        <v>95.251798561151077</v>
      </c>
    </row>
    <row r="312" spans="1:6">
      <c r="A312" s="305" t="str">
        <f t="shared" si="38"/>
        <v>Renfrewshire2015-16</v>
      </c>
      <c r="B312" s="62" t="s">
        <v>431</v>
      </c>
      <c r="C312" s="62">
        <v>350</v>
      </c>
      <c r="D312" s="62" t="s">
        <v>38</v>
      </c>
      <c r="E312" s="62">
        <v>1778</v>
      </c>
      <c r="F312" s="62">
        <v>92.407199100112479</v>
      </c>
    </row>
    <row r="313" spans="1:6">
      <c r="A313" s="305" t="str">
        <f t="shared" ref="A313:A376" si="39">D313&amp;B313</f>
        <v>Scottish Borders2015-16</v>
      </c>
      <c r="B313" s="62" t="s">
        <v>431</v>
      </c>
      <c r="C313" s="62">
        <v>355</v>
      </c>
      <c r="D313" s="62" t="s">
        <v>39</v>
      </c>
      <c r="E313" s="62">
        <v>1167</v>
      </c>
      <c r="F313" s="62">
        <v>94.515852613538982</v>
      </c>
    </row>
    <row r="314" spans="1:6">
      <c r="A314" s="305" t="str">
        <f t="shared" si="39"/>
        <v>Shetland Islands2015-16</v>
      </c>
      <c r="B314" s="62" t="s">
        <v>431</v>
      </c>
      <c r="C314" s="62">
        <v>360</v>
      </c>
      <c r="D314" s="62" t="s">
        <v>40</v>
      </c>
      <c r="E314" s="62">
        <v>273</v>
      </c>
      <c r="F314" s="62" t="s">
        <v>389</v>
      </c>
    </row>
    <row r="315" spans="1:6">
      <c r="A315" s="305" t="str">
        <f t="shared" si="39"/>
        <v>South Ayrshire2015-16</v>
      </c>
      <c r="B315" s="62" t="s">
        <v>431</v>
      </c>
      <c r="C315" s="62">
        <v>370</v>
      </c>
      <c r="D315" s="62" t="s">
        <v>41</v>
      </c>
      <c r="E315" s="62">
        <v>1207</v>
      </c>
      <c r="F315" s="62">
        <v>94.283347141673573</v>
      </c>
    </row>
    <row r="316" spans="1:6">
      <c r="A316" s="305" t="str">
        <f t="shared" si="39"/>
        <v>South Lanarkshire2015-16</v>
      </c>
      <c r="B316" s="62" t="s">
        <v>431</v>
      </c>
      <c r="C316" s="62">
        <v>380</v>
      </c>
      <c r="D316" s="62" t="s">
        <v>42</v>
      </c>
      <c r="E316" s="62">
        <v>3482</v>
      </c>
      <c r="F316" s="62">
        <v>94.083859850660545</v>
      </c>
    </row>
    <row r="317" spans="1:6">
      <c r="A317" s="305" t="str">
        <f t="shared" si="39"/>
        <v>Stirling2015-16</v>
      </c>
      <c r="B317" s="62" t="s">
        <v>431</v>
      </c>
      <c r="C317" s="62">
        <v>390</v>
      </c>
      <c r="D317" s="62" t="s">
        <v>43</v>
      </c>
      <c r="E317" s="62">
        <v>1061</v>
      </c>
      <c r="F317" s="62">
        <v>93.402450518378885</v>
      </c>
    </row>
    <row r="318" spans="1:6">
      <c r="A318" s="305" t="str">
        <f t="shared" si="39"/>
        <v>West Dunbartonshire2015-16</v>
      </c>
      <c r="B318" s="62" t="s">
        <v>431</v>
      </c>
      <c r="C318" s="62">
        <v>395</v>
      </c>
      <c r="D318" s="62" t="s">
        <v>44</v>
      </c>
      <c r="E318" s="62">
        <v>949</v>
      </c>
      <c r="F318" s="62">
        <v>92.202318229715488</v>
      </c>
    </row>
    <row r="319" spans="1:6">
      <c r="A319" s="305" t="str">
        <f t="shared" si="39"/>
        <v>West Lothian2015-16</v>
      </c>
      <c r="B319" s="62" t="s">
        <v>431</v>
      </c>
      <c r="C319" s="62">
        <v>400</v>
      </c>
      <c r="D319" s="62" t="s">
        <v>45</v>
      </c>
      <c r="E319" s="62">
        <v>1985</v>
      </c>
      <c r="F319" s="62">
        <v>92.947103274559197</v>
      </c>
    </row>
    <row r="320" spans="1:6">
      <c r="A320" s="305" t="str">
        <f t="shared" si="39"/>
        <v>Scotland2015-16</v>
      </c>
      <c r="B320" s="62" t="s">
        <v>431</v>
      </c>
      <c r="C320" s="62">
        <v>999</v>
      </c>
      <c r="D320" s="62" t="s">
        <v>46</v>
      </c>
      <c r="E320" s="62">
        <v>52305</v>
      </c>
      <c r="F320" s="62">
        <v>93.514960328840459</v>
      </c>
    </row>
    <row r="321" spans="1:6">
      <c r="A321" s="305" t="str">
        <f t="shared" si="39"/>
        <v>Aberdeen City2014-15</v>
      </c>
      <c r="B321" s="62" t="s">
        <v>432</v>
      </c>
      <c r="C321" s="62">
        <v>100</v>
      </c>
      <c r="D321" s="62" t="s">
        <v>15</v>
      </c>
      <c r="E321" s="62">
        <v>1623</v>
      </c>
      <c r="F321" s="62">
        <v>90.696241528034506</v>
      </c>
    </row>
    <row r="322" spans="1:6">
      <c r="A322" s="305" t="str">
        <f t="shared" si="39"/>
        <v>Aberdeenshire2014-15</v>
      </c>
      <c r="B322" s="62" t="s">
        <v>432</v>
      </c>
      <c r="C322" s="62">
        <v>110</v>
      </c>
      <c r="D322" s="62" t="s">
        <v>16</v>
      </c>
      <c r="E322" s="62">
        <v>2679</v>
      </c>
      <c r="F322" s="62">
        <v>95.931317655841724</v>
      </c>
    </row>
    <row r="323" spans="1:6">
      <c r="A323" s="305" t="str">
        <f t="shared" si="39"/>
        <v>Angus2014-15</v>
      </c>
      <c r="B323" s="62" t="s">
        <v>432</v>
      </c>
      <c r="C323" s="62">
        <v>120</v>
      </c>
      <c r="D323" s="62" t="s">
        <v>17</v>
      </c>
      <c r="E323" s="62">
        <v>1292</v>
      </c>
      <c r="F323" s="62">
        <v>94.504643962848306</v>
      </c>
    </row>
    <row r="324" spans="1:6">
      <c r="A324" s="305" t="str">
        <f t="shared" si="39"/>
        <v>Argyll and Bute2014-15</v>
      </c>
      <c r="B324" s="62" t="s">
        <v>432</v>
      </c>
      <c r="C324" s="62">
        <v>130</v>
      </c>
      <c r="D324" s="62" t="s">
        <v>18</v>
      </c>
      <c r="E324" s="62">
        <v>893</v>
      </c>
      <c r="F324" s="62">
        <v>93.729003359462482</v>
      </c>
    </row>
    <row r="325" spans="1:6">
      <c r="A325" s="305" t="str">
        <f t="shared" si="39"/>
        <v>Clackmannanshire2014-15</v>
      </c>
      <c r="B325" s="62" t="s">
        <v>432</v>
      </c>
      <c r="C325" s="62">
        <v>150</v>
      </c>
      <c r="D325" s="62" t="s">
        <v>19</v>
      </c>
      <c r="E325" s="62">
        <v>510</v>
      </c>
      <c r="F325" s="62">
        <v>92.745098039215691</v>
      </c>
    </row>
    <row r="326" spans="1:6">
      <c r="A326" s="305" t="str">
        <f t="shared" si="39"/>
        <v>Dumfries and Galloway2014-15</v>
      </c>
      <c r="B326" s="62" t="s">
        <v>432</v>
      </c>
      <c r="C326" s="62">
        <v>170</v>
      </c>
      <c r="D326" s="62" t="s">
        <v>20</v>
      </c>
      <c r="E326" s="62">
        <v>1555</v>
      </c>
      <c r="F326" s="62">
        <v>93.118971061093248</v>
      </c>
    </row>
    <row r="327" spans="1:6">
      <c r="A327" s="305" t="str">
        <f t="shared" si="39"/>
        <v>Dundee City2014-15</v>
      </c>
      <c r="B327" s="62" t="s">
        <v>432</v>
      </c>
      <c r="C327" s="62">
        <v>180</v>
      </c>
      <c r="D327" s="62" t="s">
        <v>21</v>
      </c>
      <c r="E327" s="62">
        <v>1294</v>
      </c>
      <c r="F327" s="62">
        <v>93.122102009273561</v>
      </c>
    </row>
    <row r="328" spans="1:6">
      <c r="A328" s="305" t="str">
        <f t="shared" si="39"/>
        <v>East Ayrshire2014-15</v>
      </c>
      <c r="B328" s="62" t="s">
        <v>432</v>
      </c>
      <c r="C328" s="62">
        <v>190</v>
      </c>
      <c r="D328" s="62" t="s">
        <v>22</v>
      </c>
      <c r="E328" s="62">
        <v>1291</v>
      </c>
      <c r="F328" s="62">
        <v>94.345468628969783</v>
      </c>
    </row>
    <row r="329" spans="1:6">
      <c r="A329" s="305" t="str">
        <f t="shared" si="39"/>
        <v>East Dunbartonshire2014-15</v>
      </c>
      <c r="B329" s="62" t="s">
        <v>432</v>
      </c>
      <c r="C329" s="62">
        <v>200</v>
      </c>
      <c r="D329" s="62" t="s">
        <v>23</v>
      </c>
      <c r="E329" s="62">
        <v>1304</v>
      </c>
      <c r="F329" s="62">
        <v>96.779141104294482</v>
      </c>
    </row>
    <row r="330" spans="1:6">
      <c r="A330" s="305" t="str">
        <f t="shared" si="39"/>
        <v>East Lothian2014-15</v>
      </c>
      <c r="B330" s="62" t="s">
        <v>432</v>
      </c>
      <c r="C330" s="62">
        <v>210</v>
      </c>
      <c r="D330" s="62" t="s">
        <v>24</v>
      </c>
      <c r="E330" s="62">
        <v>1015</v>
      </c>
      <c r="F330" s="62">
        <v>92.807881773399018</v>
      </c>
    </row>
    <row r="331" spans="1:6">
      <c r="A331" s="305" t="str">
        <f t="shared" si="39"/>
        <v>East Renfrewshire2014-15</v>
      </c>
      <c r="B331" s="62" t="s">
        <v>432</v>
      </c>
      <c r="C331" s="62">
        <v>220</v>
      </c>
      <c r="D331" s="62" t="s">
        <v>25</v>
      </c>
      <c r="E331" s="62">
        <v>1421</v>
      </c>
      <c r="F331" s="62">
        <v>96.622097114707955</v>
      </c>
    </row>
    <row r="332" spans="1:6">
      <c r="A332" s="305" t="str">
        <f t="shared" si="39"/>
        <v>Edinburgh, City of2014-15</v>
      </c>
      <c r="B332" s="62" t="s">
        <v>432</v>
      </c>
      <c r="C332" s="62">
        <v>230</v>
      </c>
      <c r="D332" s="62" t="s">
        <v>126</v>
      </c>
      <c r="E332" s="62">
        <v>3276</v>
      </c>
      <c r="F332" s="62">
        <v>92.460317460317469</v>
      </c>
    </row>
    <row r="333" spans="1:6">
      <c r="A333" s="305" t="str">
        <f t="shared" si="39"/>
        <v>Na h-Eileanan Siar2014-15</v>
      </c>
      <c r="B333" s="62" t="s">
        <v>432</v>
      </c>
      <c r="C333" s="62">
        <v>235</v>
      </c>
      <c r="D333" s="62" t="s">
        <v>33</v>
      </c>
      <c r="E333" s="62">
        <v>269</v>
      </c>
      <c r="F333" s="62">
        <v>96.282527881040892</v>
      </c>
    </row>
    <row r="334" spans="1:6">
      <c r="A334" s="305" t="str">
        <f t="shared" si="39"/>
        <v>Falkirk2014-15</v>
      </c>
      <c r="B334" s="62" t="s">
        <v>432</v>
      </c>
      <c r="C334" s="62">
        <v>240</v>
      </c>
      <c r="D334" s="62" t="s">
        <v>26</v>
      </c>
      <c r="E334" s="62">
        <v>1572</v>
      </c>
      <c r="F334" s="62">
        <v>90.203562340966926</v>
      </c>
    </row>
    <row r="335" spans="1:6">
      <c r="A335" s="305" t="str">
        <f t="shared" si="39"/>
        <v>Fife2014-15</v>
      </c>
      <c r="B335" s="62" t="s">
        <v>432</v>
      </c>
      <c r="C335" s="62">
        <v>250</v>
      </c>
      <c r="D335" s="62" t="s">
        <v>27</v>
      </c>
      <c r="E335" s="62">
        <v>3730</v>
      </c>
      <c r="F335" s="62">
        <v>92.654155495978557</v>
      </c>
    </row>
    <row r="336" spans="1:6">
      <c r="A336" s="305" t="str">
        <f t="shared" si="39"/>
        <v>Glasgow City2014-15</v>
      </c>
      <c r="B336" s="62" t="s">
        <v>432</v>
      </c>
      <c r="C336" s="62">
        <v>260</v>
      </c>
      <c r="D336" s="62" t="s">
        <v>28</v>
      </c>
      <c r="E336" s="62">
        <v>4639</v>
      </c>
      <c r="F336" s="62">
        <v>90.364302651433505</v>
      </c>
    </row>
    <row r="337" spans="1:6">
      <c r="A337" s="305" t="str">
        <f t="shared" si="39"/>
        <v>Highland2014-15</v>
      </c>
      <c r="B337" s="62" t="s">
        <v>432</v>
      </c>
      <c r="C337" s="62">
        <v>270</v>
      </c>
      <c r="D337" s="62" t="s">
        <v>29</v>
      </c>
      <c r="E337" s="62">
        <v>2538</v>
      </c>
      <c r="F337" s="62">
        <v>93.932230102442873</v>
      </c>
    </row>
    <row r="338" spans="1:6">
      <c r="A338" s="305" t="str">
        <f t="shared" si="39"/>
        <v>Inverclyde2014-15</v>
      </c>
      <c r="B338" s="62" t="s">
        <v>432</v>
      </c>
      <c r="C338" s="62">
        <v>280</v>
      </c>
      <c r="D338" s="62" t="s">
        <v>30</v>
      </c>
      <c r="E338" s="62">
        <v>791</v>
      </c>
      <c r="F338" s="62">
        <v>94.56384323640961</v>
      </c>
    </row>
    <row r="339" spans="1:6">
      <c r="A339" s="305" t="str">
        <f t="shared" si="39"/>
        <v>Midlothian2014-15</v>
      </c>
      <c r="B339" s="62" t="s">
        <v>432</v>
      </c>
      <c r="C339" s="62">
        <v>290</v>
      </c>
      <c r="D339" s="62" t="s">
        <v>31</v>
      </c>
      <c r="E339" s="62">
        <v>900</v>
      </c>
      <c r="F339" s="62">
        <v>93.555555555555557</v>
      </c>
    </row>
    <row r="340" spans="1:6">
      <c r="A340" s="305" t="str">
        <f t="shared" si="39"/>
        <v>Moray2014-15</v>
      </c>
      <c r="B340" s="62" t="s">
        <v>432</v>
      </c>
      <c r="C340" s="62">
        <v>300</v>
      </c>
      <c r="D340" s="62" t="s">
        <v>32</v>
      </c>
      <c r="E340" s="62">
        <v>1092</v>
      </c>
      <c r="F340" s="62">
        <v>94.780219780219781</v>
      </c>
    </row>
    <row r="341" spans="1:6">
      <c r="A341" s="305" t="str">
        <f t="shared" si="39"/>
        <v>North Ayrshire2014-15</v>
      </c>
      <c r="B341" s="62" t="s">
        <v>432</v>
      </c>
      <c r="C341" s="62">
        <v>310</v>
      </c>
      <c r="D341" s="62" t="s">
        <v>34</v>
      </c>
      <c r="E341" s="62">
        <v>1520</v>
      </c>
      <c r="F341" s="62">
        <v>95.921052631578945</v>
      </c>
    </row>
    <row r="342" spans="1:6">
      <c r="A342" s="305" t="str">
        <f t="shared" si="39"/>
        <v>North Lanarkshire2014-15</v>
      </c>
      <c r="B342" s="62" t="s">
        <v>432</v>
      </c>
      <c r="C342" s="62">
        <v>320</v>
      </c>
      <c r="D342" s="62" t="s">
        <v>35</v>
      </c>
      <c r="E342" s="62">
        <v>3820</v>
      </c>
      <c r="F342" s="62">
        <v>93.089005235602102</v>
      </c>
    </row>
    <row r="343" spans="1:6">
      <c r="A343" s="305" t="str">
        <f t="shared" si="39"/>
        <v>Orkney Islands2014-15</v>
      </c>
      <c r="B343" s="62" t="s">
        <v>432</v>
      </c>
      <c r="C343" s="62">
        <v>330</v>
      </c>
      <c r="D343" s="62" t="s">
        <v>36</v>
      </c>
      <c r="E343" s="62">
        <v>241</v>
      </c>
      <c r="F343" s="62">
        <v>94.605809128630696</v>
      </c>
    </row>
    <row r="344" spans="1:6">
      <c r="A344" s="305" t="str">
        <f t="shared" si="39"/>
        <v>Perth and Kinross2014-15</v>
      </c>
      <c r="B344" s="62" t="s">
        <v>432</v>
      </c>
      <c r="C344" s="62">
        <v>340</v>
      </c>
      <c r="D344" s="62" t="s">
        <v>37</v>
      </c>
      <c r="E344" s="62">
        <v>1453</v>
      </c>
      <c r="F344" s="62">
        <v>92.291810048176188</v>
      </c>
    </row>
    <row r="345" spans="1:6">
      <c r="A345" s="305" t="str">
        <f t="shared" si="39"/>
        <v>Renfrewshire2014-15</v>
      </c>
      <c r="B345" s="62" t="s">
        <v>432</v>
      </c>
      <c r="C345" s="62">
        <v>350</v>
      </c>
      <c r="D345" s="62" t="s">
        <v>38</v>
      </c>
      <c r="E345" s="62">
        <v>1906</v>
      </c>
      <c r="F345" s="62">
        <v>91.080797481636935</v>
      </c>
    </row>
    <row r="346" spans="1:6">
      <c r="A346" s="305" t="str">
        <f t="shared" si="39"/>
        <v>Scottish Borders2014-15</v>
      </c>
      <c r="B346" s="62" t="s">
        <v>432</v>
      </c>
      <c r="C346" s="62">
        <v>355</v>
      </c>
      <c r="D346" s="62" t="s">
        <v>39</v>
      </c>
      <c r="E346" s="62">
        <v>1163</v>
      </c>
      <c r="F346" s="62">
        <v>95.184866723989686</v>
      </c>
    </row>
    <row r="347" spans="1:6">
      <c r="A347" s="305" t="str">
        <f t="shared" si="39"/>
        <v>Shetland Islands2014-15</v>
      </c>
      <c r="B347" s="62" t="s">
        <v>432</v>
      </c>
      <c r="C347" s="62">
        <v>360</v>
      </c>
      <c r="D347" s="62" t="s">
        <v>40</v>
      </c>
      <c r="E347" s="62">
        <v>251</v>
      </c>
      <c r="F347" s="62">
        <v>96.414342629482078</v>
      </c>
    </row>
    <row r="348" spans="1:6">
      <c r="A348" s="305" t="str">
        <f t="shared" si="39"/>
        <v>South Ayrshire2014-15</v>
      </c>
      <c r="B348" s="62" t="s">
        <v>432</v>
      </c>
      <c r="C348" s="62">
        <v>370</v>
      </c>
      <c r="D348" s="62" t="s">
        <v>41</v>
      </c>
      <c r="E348" s="62">
        <v>1183</v>
      </c>
      <c r="F348" s="62">
        <v>94.505494505494497</v>
      </c>
    </row>
    <row r="349" spans="1:6">
      <c r="A349" s="305" t="str">
        <f t="shared" si="39"/>
        <v>South Lanarkshire2014-15</v>
      </c>
      <c r="B349" s="62" t="s">
        <v>432</v>
      </c>
      <c r="C349" s="62">
        <v>380</v>
      </c>
      <c r="D349" s="62" t="s">
        <v>42</v>
      </c>
      <c r="E349" s="62">
        <v>3276</v>
      </c>
      <c r="F349" s="62">
        <v>93.131868131868131</v>
      </c>
    </row>
    <row r="350" spans="1:6">
      <c r="A350" s="305" t="str">
        <f t="shared" si="39"/>
        <v>Stirling2014-15</v>
      </c>
      <c r="B350" s="62" t="s">
        <v>432</v>
      </c>
      <c r="C350" s="62">
        <v>390</v>
      </c>
      <c r="D350" s="62" t="s">
        <v>43</v>
      </c>
      <c r="E350" s="62">
        <v>1049</v>
      </c>
      <c r="F350" s="62">
        <v>90.753098188751196</v>
      </c>
    </row>
    <row r="351" spans="1:6">
      <c r="A351" s="305" t="str">
        <f t="shared" si="39"/>
        <v>West Dunbartonshire2014-15</v>
      </c>
      <c r="B351" s="62" t="s">
        <v>432</v>
      </c>
      <c r="C351" s="62">
        <v>395</v>
      </c>
      <c r="D351" s="62" t="s">
        <v>44</v>
      </c>
      <c r="E351" s="62">
        <v>939</v>
      </c>
      <c r="F351" s="62">
        <v>89.989350372736951</v>
      </c>
    </row>
    <row r="352" spans="1:6">
      <c r="A352" s="305" t="str">
        <f t="shared" si="39"/>
        <v>West Lothian2014-15</v>
      </c>
      <c r="B352" s="62" t="s">
        <v>432</v>
      </c>
      <c r="C352" s="62">
        <v>400</v>
      </c>
      <c r="D352" s="62" t="s">
        <v>45</v>
      </c>
      <c r="E352" s="62">
        <v>1921</v>
      </c>
      <c r="F352" s="62">
        <v>93.597084851639764</v>
      </c>
    </row>
    <row r="353" spans="1:6">
      <c r="A353" s="305" t="str">
        <f t="shared" si="39"/>
        <v>Scotland2014-15</v>
      </c>
      <c r="B353" s="62" t="s">
        <v>432</v>
      </c>
      <c r="C353" s="62">
        <v>999</v>
      </c>
      <c r="D353" s="62" t="s">
        <v>46</v>
      </c>
      <c r="E353" s="62">
        <v>52491</v>
      </c>
      <c r="F353" s="62">
        <v>93.158827227524725</v>
      </c>
    </row>
    <row r="354" spans="1:6">
      <c r="A354" s="305" t="str">
        <f t="shared" si="39"/>
        <v>Aberdeen City2013-14</v>
      </c>
      <c r="B354" s="62" t="s">
        <v>433</v>
      </c>
      <c r="C354" s="62">
        <v>100</v>
      </c>
      <c r="D354" s="62" t="s">
        <v>15</v>
      </c>
      <c r="E354" s="62">
        <v>1595</v>
      </c>
      <c r="F354" s="62">
        <v>91.5987460815047</v>
      </c>
    </row>
    <row r="355" spans="1:6">
      <c r="A355" s="305" t="str">
        <f t="shared" si="39"/>
        <v>Aberdeenshire2013-14</v>
      </c>
      <c r="B355" s="62" t="s">
        <v>433</v>
      </c>
      <c r="C355" s="62">
        <v>110</v>
      </c>
      <c r="D355" s="62" t="s">
        <v>16</v>
      </c>
      <c r="E355" s="62">
        <v>2616</v>
      </c>
      <c r="F355" s="62">
        <v>93.99847094801224</v>
      </c>
    </row>
    <row r="356" spans="1:6">
      <c r="A356" s="305" t="str">
        <f t="shared" si="39"/>
        <v>Angus2013-14</v>
      </c>
      <c r="B356" s="62" t="s">
        <v>433</v>
      </c>
      <c r="C356" s="62">
        <v>120</v>
      </c>
      <c r="D356" s="62" t="s">
        <v>17</v>
      </c>
      <c r="E356" s="62">
        <v>1006</v>
      </c>
      <c r="F356" s="62">
        <v>92.743538767395634</v>
      </c>
    </row>
    <row r="357" spans="1:6">
      <c r="A357" s="305" t="str">
        <f t="shared" si="39"/>
        <v>Argyll and Bute2013-14</v>
      </c>
      <c r="B357" s="62" t="s">
        <v>433</v>
      </c>
      <c r="C357" s="62">
        <v>130</v>
      </c>
      <c r="D357" s="62" t="s">
        <v>18</v>
      </c>
      <c r="E357" s="62">
        <v>933</v>
      </c>
      <c r="F357" s="62">
        <v>91.425509110396575</v>
      </c>
    </row>
    <row r="358" spans="1:6">
      <c r="A358" s="305" t="str">
        <f t="shared" si="39"/>
        <v>Clackmannanshire2013-14</v>
      </c>
      <c r="B358" s="62" t="s">
        <v>433</v>
      </c>
      <c r="C358" s="62">
        <v>150</v>
      </c>
      <c r="D358" s="62" t="s">
        <v>19</v>
      </c>
      <c r="E358" s="62">
        <v>511</v>
      </c>
      <c r="F358" s="62">
        <v>93.150684931506845</v>
      </c>
    </row>
    <row r="359" spans="1:6">
      <c r="A359" s="305" t="str">
        <f t="shared" si="39"/>
        <v>Dumfries and Galloway2013-14</v>
      </c>
      <c r="B359" s="62" t="s">
        <v>433</v>
      </c>
      <c r="C359" s="62">
        <v>170</v>
      </c>
      <c r="D359" s="62" t="s">
        <v>20</v>
      </c>
      <c r="E359" s="62">
        <v>1557</v>
      </c>
      <c r="F359" s="62">
        <v>91.008349389852285</v>
      </c>
    </row>
    <row r="360" spans="1:6">
      <c r="A360" s="305" t="str">
        <f t="shared" si="39"/>
        <v>Dundee City2013-14</v>
      </c>
      <c r="B360" s="62" t="s">
        <v>433</v>
      </c>
      <c r="C360" s="62">
        <v>180</v>
      </c>
      <c r="D360" s="62" t="s">
        <v>21</v>
      </c>
      <c r="E360" s="62">
        <v>1368</v>
      </c>
      <c r="F360" s="62">
        <v>91.008771929824562</v>
      </c>
    </row>
    <row r="361" spans="1:6">
      <c r="A361" s="305" t="str">
        <f t="shared" si="39"/>
        <v>East Ayrshire2013-14</v>
      </c>
      <c r="B361" s="62" t="s">
        <v>433</v>
      </c>
      <c r="C361" s="62">
        <v>190</v>
      </c>
      <c r="D361" s="62" t="s">
        <v>22</v>
      </c>
      <c r="E361" s="62">
        <v>1174</v>
      </c>
      <c r="F361" s="62">
        <v>93.185689948892673</v>
      </c>
    </row>
    <row r="362" spans="1:6">
      <c r="A362" s="305" t="str">
        <f t="shared" si="39"/>
        <v>East Dunbartonshire2013-14</v>
      </c>
      <c r="B362" s="62" t="s">
        <v>433</v>
      </c>
      <c r="C362" s="62">
        <v>200</v>
      </c>
      <c r="D362" s="62" t="s">
        <v>23</v>
      </c>
      <c r="E362" s="62">
        <v>1291</v>
      </c>
      <c r="F362" s="62">
        <v>96.90162664601084</v>
      </c>
    </row>
    <row r="363" spans="1:6">
      <c r="A363" s="305" t="str">
        <f t="shared" si="39"/>
        <v>East Lothian2013-14</v>
      </c>
      <c r="B363" s="62" t="s">
        <v>433</v>
      </c>
      <c r="C363" s="62">
        <v>210</v>
      </c>
      <c r="D363" s="62" t="s">
        <v>24</v>
      </c>
      <c r="E363" s="62">
        <v>1047</v>
      </c>
      <c r="F363" s="62">
        <v>92.836676217765046</v>
      </c>
    </row>
    <row r="364" spans="1:6">
      <c r="A364" s="305" t="str">
        <f t="shared" si="39"/>
        <v>East Renfrewshire2013-14</v>
      </c>
      <c r="B364" s="62" t="s">
        <v>433</v>
      </c>
      <c r="C364" s="62">
        <v>220</v>
      </c>
      <c r="D364" s="62" t="s">
        <v>25</v>
      </c>
      <c r="E364" s="62">
        <v>1341</v>
      </c>
      <c r="F364" s="62">
        <v>96.122296793437727</v>
      </c>
    </row>
    <row r="365" spans="1:6">
      <c r="A365" s="305" t="str">
        <f t="shared" si="39"/>
        <v>Edinburgh, City of2013-14</v>
      </c>
      <c r="B365" s="62" t="s">
        <v>433</v>
      </c>
      <c r="C365" s="62">
        <v>230</v>
      </c>
      <c r="D365" s="62" t="s">
        <v>126</v>
      </c>
      <c r="E365" s="62">
        <v>3229</v>
      </c>
      <c r="F365" s="62">
        <v>91.266646020439765</v>
      </c>
    </row>
    <row r="366" spans="1:6">
      <c r="A366" s="305" t="str">
        <f t="shared" si="39"/>
        <v>Na h-Eileanan Siar2013-14</v>
      </c>
      <c r="B366" s="62" t="s">
        <v>433</v>
      </c>
      <c r="C366" s="62">
        <v>235</v>
      </c>
      <c r="D366" s="62" t="s">
        <v>33</v>
      </c>
      <c r="E366" s="62">
        <v>290</v>
      </c>
      <c r="F366" s="62">
        <v>96.551724137931032</v>
      </c>
    </row>
    <row r="367" spans="1:6">
      <c r="A367" s="305" t="str">
        <f t="shared" si="39"/>
        <v>Falkirk2013-14</v>
      </c>
      <c r="B367" s="62" t="s">
        <v>433</v>
      </c>
      <c r="C367" s="62">
        <v>240</v>
      </c>
      <c r="D367" s="62" t="s">
        <v>26</v>
      </c>
      <c r="E367" s="62">
        <v>1574</v>
      </c>
      <c r="F367" s="62">
        <v>92.566709021601014</v>
      </c>
    </row>
    <row r="368" spans="1:6">
      <c r="A368" s="305" t="str">
        <f t="shared" si="39"/>
        <v>Fife2013-14</v>
      </c>
      <c r="B368" s="62" t="s">
        <v>433</v>
      </c>
      <c r="C368" s="62">
        <v>250</v>
      </c>
      <c r="D368" s="62" t="s">
        <v>27</v>
      </c>
      <c r="E368" s="62">
        <v>3601</v>
      </c>
      <c r="F368" s="62">
        <v>92.529852818661482</v>
      </c>
    </row>
    <row r="369" spans="1:6">
      <c r="A369" s="305" t="str">
        <f t="shared" si="39"/>
        <v>Glasgow City2013-14</v>
      </c>
      <c r="B369" s="62" t="s">
        <v>433</v>
      </c>
      <c r="C369" s="62">
        <v>260</v>
      </c>
      <c r="D369" s="62" t="s">
        <v>28</v>
      </c>
      <c r="E369" s="62">
        <v>4577</v>
      </c>
      <c r="F369" s="62">
        <v>89.753113393052217</v>
      </c>
    </row>
    <row r="370" spans="1:6">
      <c r="A370" s="305" t="str">
        <f t="shared" si="39"/>
        <v>Highland2013-14</v>
      </c>
      <c r="B370" s="62" t="s">
        <v>433</v>
      </c>
      <c r="C370" s="62">
        <v>270</v>
      </c>
      <c r="D370" s="62" t="s">
        <v>29</v>
      </c>
      <c r="E370" s="62">
        <v>2465</v>
      </c>
      <c r="F370" s="62">
        <v>93.711967545638942</v>
      </c>
    </row>
    <row r="371" spans="1:6">
      <c r="A371" s="305" t="str">
        <f t="shared" si="39"/>
        <v>Inverclyde2013-14</v>
      </c>
      <c r="B371" s="62" t="s">
        <v>433</v>
      </c>
      <c r="C371" s="62">
        <v>280</v>
      </c>
      <c r="D371" s="62" t="s">
        <v>30</v>
      </c>
      <c r="E371" s="62">
        <v>767</v>
      </c>
      <c r="F371" s="62">
        <v>94.002607561929594</v>
      </c>
    </row>
    <row r="372" spans="1:6">
      <c r="A372" s="305" t="str">
        <f t="shared" si="39"/>
        <v>Midlothian2013-14</v>
      </c>
      <c r="B372" s="62" t="s">
        <v>433</v>
      </c>
      <c r="C372" s="62">
        <v>290</v>
      </c>
      <c r="D372" s="62" t="s">
        <v>31</v>
      </c>
      <c r="E372" s="62">
        <v>875</v>
      </c>
      <c r="F372" s="62">
        <v>94.171428571428578</v>
      </c>
    </row>
    <row r="373" spans="1:6">
      <c r="A373" s="305" t="str">
        <f t="shared" si="39"/>
        <v>Moray2013-14</v>
      </c>
      <c r="B373" s="62" t="s">
        <v>433</v>
      </c>
      <c r="C373" s="62">
        <v>300</v>
      </c>
      <c r="D373" s="62" t="s">
        <v>32</v>
      </c>
      <c r="E373" s="62">
        <v>1023</v>
      </c>
      <c r="F373" s="62">
        <v>94.134897360703818</v>
      </c>
    </row>
    <row r="374" spans="1:6">
      <c r="A374" s="305" t="str">
        <f t="shared" si="39"/>
        <v>North Ayrshire2013-14</v>
      </c>
      <c r="B374" s="62" t="s">
        <v>433</v>
      </c>
      <c r="C374" s="62">
        <v>310</v>
      </c>
      <c r="D374" s="62" t="s">
        <v>34</v>
      </c>
      <c r="E374" s="62">
        <v>1467</v>
      </c>
      <c r="F374" s="62">
        <v>94.205862304021821</v>
      </c>
    </row>
    <row r="375" spans="1:6">
      <c r="A375" s="305" t="str">
        <f t="shared" si="39"/>
        <v>North Lanarkshire2013-14</v>
      </c>
      <c r="B375" s="62" t="s">
        <v>433</v>
      </c>
      <c r="C375" s="62">
        <v>320</v>
      </c>
      <c r="D375" s="62" t="s">
        <v>35</v>
      </c>
      <c r="E375" s="62">
        <v>3814</v>
      </c>
      <c r="F375" s="62">
        <v>91.504981646565284</v>
      </c>
    </row>
    <row r="376" spans="1:6">
      <c r="A376" s="305" t="str">
        <f t="shared" si="39"/>
        <v>Orkney Islands2013-14</v>
      </c>
      <c r="B376" s="62" t="s">
        <v>433</v>
      </c>
      <c r="C376" s="62">
        <v>330</v>
      </c>
      <c r="D376" s="62" t="s">
        <v>36</v>
      </c>
      <c r="E376" s="62">
        <v>210</v>
      </c>
      <c r="F376" s="62">
        <v>93.80952380952381</v>
      </c>
    </row>
    <row r="377" spans="1:6">
      <c r="A377" s="305" t="str">
        <f t="shared" ref="A377:A440" si="40">D377&amp;B377</f>
        <v>Perth and Kinross2013-14</v>
      </c>
      <c r="B377" s="62" t="s">
        <v>433</v>
      </c>
      <c r="C377" s="62">
        <v>340</v>
      </c>
      <c r="D377" s="62" t="s">
        <v>37</v>
      </c>
      <c r="E377" s="62">
        <v>1287</v>
      </c>
      <c r="F377" s="62">
        <v>93.939393939393938</v>
      </c>
    </row>
    <row r="378" spans="1:6">
      <c r="A378" s="305" t="str">
        <f t="shared" si="40"/>
        <v>Renfrewshire2013-14</v>
      </c>
      <c r="B378" s="62" t="s">
        <v>433</v>
      </c>
      <c r="C378" s="62">
        <v>350</v>
      </c>
      <c r="D378" s="62" t="s">
        <v>38</v>
      </c>
      <c r="E378" s="62">
        <v>1844</v>
      </c>
      <c r="F378" s="62">
        <v>92.624728850325383</v>
      </c>
    </row>
    <row r="379" spans="1:6">
      <c r="A379" s="305" t="str">
        <f t="shared" si="40"/>
        <v>Scottish Borders2013-14</v>
      </c>
      <c r="B379" s="62" t="s">
        <v>433</v>
      </c>
      <c r="C379" s="62">
        <v>355</v>
      </c>
      <c r="D379" s="62" t="s">
        <v>39</v>
      </c>
      <c r="E379" s="62">
        <v>1074</v>
      </c>
      <c r="F379" s="62">
        <v>94.413407821229043</v>
      </c>
    </row>
    <row r="380" spans="1:6">
      <c r="A380" s="305" t="str">
        <f t="shared" si="40"/>
        <v>Shetland Islands2013-14</v>
      </c>
      <c r="B380" s="62" t="s">
        <v>433</v>
      </c>
      <c r="C380" s="62">
        <v>360</v>
      </c>
      <c r="D380" s="62" t="s">
        <v>40</v>
      </c>
      <c r="E380" s="62">
        <v>283</v>
      </c>
      <c r="F380" s="62">
        <v>93.639575971731446</v>
      </c>
    </row>
    <row r="381" spans="1:6">
      <c r="A381" s="305" t="str">
        <f t="shared" si="40"/>
        <v>South Ayrshire2013-14</v>
      </c>
      <c r="B381" s="62" t="s">
        <v>433</v>
      </c>
      <c r="C381" s="62">
        <v>370</v>
      </c>
      <c r="D381" s="62" t="s">
        <v>41</v>
      </c>
      <c r="E381" s="62">
        <v>1256</v>
      </c>
      <c r="F381" s="62">
        <v>92.436305732484087</v>
      </c>
    </row>
    <row r="382" spans="1:6">
      <c r="A382" s="305" t="str">
        <f t="shared" si="40"/>
        <v>South Lanarkshire2013-14</v>
      </c>
      <c r="B382" s="62" t="s">
        <v>433</v>
      </c>
      <c r="C382" s="62">
        <v>380</v>
      </c>
      <c r="D382" s="62" t="s">
        <v>42</v>
      </c>
      <c r="E382" s="62">
        <v>3347</v>
      </c>
      <c r="F382" s="62">
        <v>92.351359426351948</v>
      </c>
    </row>
    <row r="383" spans="1:6">
      <c r="A383" s="305" t="str">
        <f t="shared" si="40"/>
        <v>Stirling2013-14</v>
      </c>
      <c r="B383" s="62" t="s">
        <v>433</v>
      </c>
      <c r="C383" s="62">
        <v>390</v>
      </c>
      <c r="D383" s="62" t="s">
        <v>43</v>
      </c>
      <c r="E383" s="62">
        <v>978</v>
      </c>
      <c r="F383" s="62">
        <v>92.331288343558285</v>
      </c>
    </row>
    <row r="384" spans="1:6">
      <c r="A384" s="305" t="str">
        <f t="shared" si="40"/>
        <v>West Dunbartonshire2013-14</v>
      </c>
      <c r="B384" s="62" t="s">
        <v>433</v>
      </c>
      <c r="C384" s="62">
        <v>395</v>
      </c>
      <c r="D384" s="62" t="s">
        <v>44</v>
      </c>
      <c r="E384" s="62">
        <v>934</v>
      </c>
      <c r="F384" s="62">
        <v>89.828693790149899</v>
      </c>
    </row>
    <row r="385" spans="1:6">
      <c r="A385" s="305" t="str">
        <f t="shared" si="40"/>
        <v>West Lothian2013-14</v>
      </c>
      <c r="B385" s="62" t="s">
        <v>433</v>
      </c>
      <c r="C385" s="62">
        <v>400</v>
      </c>
      <c r="D385" s="62" t="s">
        <v>45</v>
      </c>
      <c r="E385" s="62">
        <v>1987</v>
      </c>
      <c r="F385" s="62">
        <v>92.803220936084557</v>
      </c>
    </row>
    <row r="386" spans="1:6">
      <c r="A386" s="305" t="str">
        <f t="shared" si="40"/>
        <v>Scotland2013-14</v>
      </c>
      <c r="B386" s="62" t="s">
        <v>433</v>
      </c>
      <c r="C386" s="62">
        <v>999</v>
      </c>
      <c r="D386" s="62" t="s">
        <v>46</v>
      </c>
      <c r="E386" s="62">
        <v>51416</v>
      </c>
      <c r="F386" s="62">
        <v>92.556791660183606</v>
      </c>
    </row>
    <row r="387" spans="1:6">
      <c r="A387" s="305" t="str">
        <f t="shared" si="40"/>
        <v>Aberdeen City2012-13</v>
      </c>
      <c r="B387" s="62" t="s">
        <v>434</v>
      </c>
      <c r="C387" s="62">
        <v>100</v>
      </c>
      <c r="D387" s="62" t="s">
        <v>15</v>
      </c>
      <c r="E387" s="62">
        <v>1658</v>
      </c>
      <c r="F387" s="62">
        <v>91.194209891435463</v>
      </c>
    </row>
    <row r="388" spans="1:6">
      <c r="A388" s="305" t="str">
        <f t="shared" si="40"/>
        <v>Aberdeenshire2012-13</v>
      </c>
      <c r="B388" s="62" t="s">
        <v>434</v>
      </c>
      <c r="C388" s="62">
        <v>110</v>
      </c>
      <c r="D388" s="62" t="s">
        <v>16</v>
      </c>
      <c r="E388" s="62">
        <v>2673</v>
      </c>
      <c r="F388" s="62">
        <v>94.425738870183324</v>
      </c>
    </row>
    <row r="389" spans="1:6">
      <c r="A389" s="305" t="str">
        <f t="shared" si="40"/>
        <v>Angus2012-13</v>
      </c>
      <c r="B389" s="62" t="s">
        <v>434</v>
      </c>
      <c r="C389" s="62">
        <v>120</v>
      </c>
      <c r="D389" s="62" t="s">
        <v>17</v>
      </c>
      <c r="E389" s="62">
        <v>1044</v>
      </c>
      <c r="F389" s="62">
        <v>93.965517241379317</v>
      </c>
    </row>
    <row r="390" spans="1:6">
      <c r="A390" s="305" t="str">
        <f t="shared" si="40"/>
        <v>Argyll and Bute2012-13</v>
      </c>
      <c r="B390" s="62" t="s">
        <v>434</v>
      </c>
      <c r="C390" s="62">
        <v>130</v>
      </c>
      <c r="D390" s="62" t="s">
        <v>18</v>
      </c>
      <c r="E390" s="62">
        <v>849</v>
      </c>
      <c r="F390" s="62">
        <v>93.168433451118958</v>
      </c>
    </row>
    <row r="391" spans="1:6">
      <c r="A391" s="305" t="str">
        <f t="shared" si="40"/>
        <v>Clackmannanshire2012-13</v>
      </c>
      <c r="B391" s="62" t="s">
        <v>434</v>
      </c>
      <c r="C391" s="62">
        <v>150</v>
      </c>
      <c r="D391" s="62" t="s">
        <v>19</v>
      </c>
      <c r="E391" s="62">
        <v>520</v>
      </c>
      <c r="F391" s="62">
        <v>89.230769230769241</v>
      </c>
    </row>
    <row r="392" spans="1:6">
      <c r="A392" s="305" t="str">
        <f t="shared" si="40"/>
        <v>Dumfries and Galloway2012-13</v>
      </c>
      <c r="B392" s="62" t="s">
        <v>434</v>
      </c>
      <c r="C392" s="62">
        <v>170</v>
      </c>
      <c r="D392" s="62" t="s">
        <v>20</v>
      </c>
      <c r="E392" s="62">
        <v>1616</v>
      </c>
      <c r="F392" s="62">
        <v>92.14108910891089</v>
      </c>
    </row>
    <row r="393" spans="1:6">
      <c r="A393" s="305" t="str">
        <f t="shared" si="40"/>
        <v>Dundee City2012-13</v>
      </c>
      <c r="B393" s="62" t="s">
        <v>434</v>
      </c>
      <c r="C393" s="62">
        <v>180</v>
      </c>
      <c r="D393" s="62" t="s">
        <v>21</v>
      </c>
      <c r="E393" s="62">
        <v>1339</v>
      </c>
      <c r="F393" s="62">
        <v>91.934279312920083</v>
      </c>
    </row>
    <row r="394" spans="1:6">
      <c r="A394" s="305" t="str">
        <f t="shared" si="40"/>
        <v>East Ayrshire2012-13</v>
      </c>
      <c r="B394" s="62" t="s">
        <v>434</v>
      </c>
      <c r="C394" s="62">
        <v>190</v>
      </c>
      <c r="D394" s="62" t="s">
        <v>22</v>
      </c>
      <c r="E394" s="62">
        <v>1331</v>
      </c>
      <c r="F394" s="62">
        <v>91.585274229902325</v>
      </c>
    </row>
    <row r="395" spans="1:6">
      <c r="A395" s="305" t="str">
        <f t="shared" si="40"/>
        <v>East Dunbartonshire2012-13</v>
      </c>
      <c r="B395" s="62" t="s">
        <v>434</v>
      </c>
      <c r="C395" s="62">
        <v>200</v>
      </c>
      <c r="D395" s="62" t="s">
        <v>23</v>
      </c>
      <c r="E395" s="62">
        <v>1308</v>
      </c>
      <c r="F395" s="62">
        <v>96.024464831804281</v>
      </c>
    </row>
    <row r="396" spans="1:6">
      <c r="A396" s="305" t="str">
        <f t="shared" si="40"/>
        <v>East Lothian2012-13</v>
      </c>
      <c r="B396" s="62" t="s">
        <v>434</v>
      </c>
      <c r="C396" s="62">
        <v>210</v>
      </c>
      <c r="D396" s="62" t="s">
        <v>24</v>
      </c>
      <c r="E396" s="62">
        <v>1039</v>
      </c>
      <c r="F396" s="62">
        <v>90.182868142444661</v>
      </c>
    </row>
    <row r="397" spans="1:6">
      <c r="A397" s="305" t="str">
        <f t="shared" si="40"/>
        <v>East Renfrewshire2012-13</v>
      </c>
      <c r="B397" s="62" t="s">
        <v>434</v>
      </c>
      <c r="C397" s="62">
        <v>220</v>
      </c>
      <c r="D397" s="62" t="s">
        <v>25</v>
      </c>
      <c r="E397" s="62">
        <v>1295</v>
      </c>
      <c r="F397" s="62">
        <v>95.752895752895753</v>
      </c>
    </row>
    <row r="398" spans="1:6">
      <c r="A398" s="305" t="str">
        <f t="shared" si="40"/>
        <v>Edinburgh, City of2012-13</v>
      </c>
      <c r="B398" s="62" t="s">
        <v>434</v>
      </c>
      <c r="C398" s="62">
        <v>230</v>
      </c>
      <c r="D398" s="62" t="s">
        <v>126</v>
      </c>
      <c r="E398" s="62">
        <v>3369</v>
      </c>
      <c r="F398" s="62">
        <v>92.045117245473435</v>
      </c>
    </row>
    <row r="399" spans="1:6">
      <c r="A399" s="305" t="str">
        <f t="shared" si="40"/>
        <v>Na h-Eileanan Siar2012-13</v>
      </c>
      <c r="B399" s="62" t="s">
        <v>434</v>
      </c>
      <c r="C399" s="62">
        <v>235</v>
      </c>
      <c r="D399" s="62" t="s">
        <v>33</v>
      </c>
      <c r="E399" s="62">
        <v>315</v>
      </c>
      <c r="F399" s="62">
        <v>96.825396825396822</v>
      </c>
    </row>
    <row r="400" spans="1:6">
      <c r="A400" s="305" t="str">
        <f t="shared" si="40"/>
        <v>Falkirk2012-13</v>
      </c>
      <c r="B400" s="62" t="s">
        <v>434</v>
      </c>
      <c r="C400" s="62">
        <v>240</v>
      </c>
      <c r="D400" s="62" t="s">
        <v>26</v>
      </c>
      <c r="E400" s="62">
        <v>1491</v>
      </c>
      <c r="F400" s="62">
        <v>91.75050301810866</v>
      </c>
    </row>
    <row r="401" spans="1:6">
      <c r="A401" s="305" t="str">
        <f t="shared" si="40"/>
        <v>Fife2012-13</v>
      </c>
      <c r="B401" s="62" t="s">
        <v>434</v>
      </c>
      <c r="C401" s="62">
        <v>250</v>
      </c>
      <c r="D401" s="62" t="s">
        <v>27</v>
      </c>
      <c r="E401" s="62">
        <v>3607</v>
      </c>
      <c r="F401" s="62">
        <v>89.991682838924319</v>
      </c>
    </row>
    <row r="402" spans="1:6">
      <c r="A402" s="305" t="str">
        <f t="shared" si="40"/>
        <v>Glasgow City2012-13</v>
      </c>
      <c r="B402" s="62" t="s">
        <v>434</v>
      </c>
      <c r="C402" s="62">
        <v>260</v>
      </c>
      <c r="D402" s="62" t="s">
        <v>28</v>
      </c>
      <c r="E402" s="62">
        <v>4446</v>
      </c>
      <c r="F402" s="62">
        <v>89.743589743589752</v>
      </c>
    </row>
    <row r="403" spans="1:6">
      <c r="A403" s="305" t="str">
        <f t="shared" si="40"/>
        <v>Highland2012-13</v>
      </c>
      <c r="B403" s="62" t="s">
        <v>434</v>
      </c>
      <c r="C403" s="62">
        <v>270</v>
      </c>
      <c r="D403" s="62" t="s">
        <v>29</v>
      </c>
      <c r="E403" s="62">
        <v>2524</v>
      </c>
      <c r="F403" s="62">
        <v>93.502377179080824</v>
      </c>
    </row>
    <row r="404" spans="1:6">
      <c r="A404" s="305" t="str">
        <f t="shared" si="40"/>
        <v>Inverclyde2012-13</v>
      </c>
      <c r="B404" s="62" t="s">
        <v>434</v>
      </c>
      <c r="C404" s="62">
        <v>280</v>
      </c>
      <c r="D404" s="62" t="s">
        <v>30</v>
      </c>
      <c r="E404" s="62">
        <v>840</v>
      </c>
      <c r="F404" s="62">
        <v>95.952380952380949</v>
      </c>
    </row>
    <row r="405" spans="1:6">
      <c r="A405" s="305" t="str">
        <f t="shared" si="40"/>
        <v>Midlothian2012-13</v>
      </c>
      <c r="B405" s="62" t="s">
        <v>434</v>
      </c>
      <c r="C405" s="62">
        <v>290</v>
      </c>
      <c r="D405" s="62" t="s">
        <v>31</v>
      </c>
      <c r="E405" s="62">
        <v>993</v>
      </c>
      <c r="F405" s="62">
        <v>89.526686807653576</v>
      </c>
    </row>
    <row r="406" spans="1:6">
      <c r="A406" s="305" t="str">
        <f t="shared" si="40"/>
        <v>Moray2012-13</v>
      </c>
      <c r="B406" s="62" t="s">
        <v>434</v>
      </c>
      <c r="C406" s="62">
        <v>300</v>
      </c>
      <c r="D406" s="62" t="s">
        <v>32</v>
      </c>
      <c r="E406" s="62">
        <v>1027</v>
      </c>
      <c r="F406" s="62">
        <v>94.157740993184035</v>
      </c>
    </row>
    <row r="407" spans="1:6">
      <c r="A407" s="305" t="str">
        <f t="shared" si="40"/>
        <v>North Ayrshire2012-13</v>
      </c>
      <c r="B407" s="62" t="s">
        <v>434</v>
      </c>
      <c r="C407" s="62">
        <v>310</v>
      </c>
      <c r="D407" s="62" t="s">
        <v>34</v>
      </c>
      <c r="E407" s="62">
        <v>1343</v>
      </c>
      <c r="F407" s="62">
        <v>94.63886820551005</v>
      </c>
    </row>
    <row r="408" spans="1:6">
      <c r="A408" s="305" t="str">
        <f t="shared" si="40"/>
        <v>North Lanarkshire2012-13</v>
      </c>
      <c r="B408" s="62" t="s">
        <v>434</v>
      </c>
      <c r="C408" s="62">
        <v>320</v>
      </c>
      <c r="D408" s="62" t="s">
        <v>35</v>
      </c>
      <c r="E408" s="62">
        <v>3680</v>
      </c>
      <c r="F408" s="62">
        <v>90.516304347826079</v>
      </c>
    </row>
    <row r="409" spans="1:6">
      <c r="A409" s="305" t="str">
        <f t="shared" si="40"/>
        <v>Orkney Islands2012-13</v>
      </c>
      <c r="B409" s="62" t="s">
        <v>434</v>
      </c>
      <c r="C409" s="62">
        <v>330</v>
      </c>
      <c r="D409" s="62" t="s">
        <v>36</v>
      </c>
      <c r="E409" s="62">
        <v>262</v>
      </c>
      <c r="F409" s="62">
        <v>94.656488549618317</v>
      </c>
    </row>
    <row r="410" spans="1:6">
      <c r="A410" s="305" t="str">
        <f t="shared" si="40"/>
        <v>Perth and Kinross2012-13</v>
      </c>
      <c r="B410" s="62" t="s">
        <v>434</v>
      </c>
      <c r="C410" s="62">
        <v>340</v>
      </c>
      <c r="D410" s="62" t="s">
        <v>37</v>
      </c>
      <c r="E410" s="62">
        <v>1372</v>
      </c>
      <c r="F410" s="62">
        <v>92.419825072886297</v>
      </c>
    </row>
    <row r="411" spans="1:6">
      <c r="A411" s="305" t="str">
        <f t="shared" si="40"/>
        <v>Renfrewshire2012-13</v>
      </c>
      <c r="B411" s="62" t="s">
        <v>434</v>
      </c>
      <c r="C411" s="62">
        <v>350</v>
      </c>
      <c r="D411" s="62" t="s">
        <v>38</v>
      </c>
      <c r="E411" s="62">
        <v>1756</v>
      </c>
      <c r="F411" s="62">
        <v>90.375854214123009</v>
      </c>
    </row>
    <row r="412" spans="1:6">
      <c r="A412" s="305" t="str">
        <f t="shared" si="40"/>
        <v>Scottish Borders2012-13</v>
      </c>
      <c r="B412" s="62" t="s">
        <v>434</v>
      </c>
      <c r="C412" s="62">
        <v>355</v>
      </c>
      <c r="D412" s="62" t="s">
        <v>39</v>
      </c>
      <c r="E412" s="62">
        <v>1197</v>
      </c>
      <c r="F412" s="62">
        <v>92.648287385129493</v>
      </c>
    </row>
    <row r="413" spans="1:6">
      <c r="A413" s="305" t="str">
        <f t="shared" si="40"/>
        <v>Shetland Islands2012-13</v>
      </c>
      <c r="B413" s="62" t="s">
        <v>434</v>
      </c>
      <c r="C413" s="62">
        <v>360</v>
      </c>
      <c r="D413" s="62" t="s">
        <v>40</v>
      </c>
      <c r="E413" s="62">
        <v>264</v>
      </c>
      <c r="F413" s="62">
        <v>95.454545454545453</v>
      </c>
    </row>
    <row r="414" spans="1:6">
      <c r="A414" s="305" t="str">
        <f t="shared" si="40"/>
        <v>South Ayrshire2012-13</v>
      </c>
      <c r="B414" s="62" t="s">
        <v>434</v>
      </c>
      <c r="C414" s="62">
        <v>370</v>
      </c>
      <c r="D414" s="62" t="s">
        <v>41</v>
      </c>
      <c r="E414" s="62">
        <v>1159</v>
      </c>
      <c r="F414" s="62">
        <v>92.924935289042281</v>
      </c>
    </row>
    <row r="415" spans="1:6">
      <c r="A415" s="305" t="str">
        <f t="shared" si="40"/>
        <v>South Lanarkshire2012-13</v>
      </c>
      <c r="B415" s="62" t="s">
        <v>434</v>
      </c>
      <c r="C415" s="62">
        <v>380</v>
      </c>
      <c r="D415" s="62" t="s">
        <v>42</v>
      </c>
      <c r="E415" s="62">
        <v>3329</v>
      </c>
      <c r="F415" s="62">
        <v>89.426254130369472</v>
      </c>
    </row>
    <row r="416" spans="1:6">
      <c r="A416" s="305" t="str">
        <f t="shared" si="40"/>
        <v>Stirling2012-13</v>
      </c>
      <c r="B416" s="62" t="s">
        <v>434</v>
      </c>
      <c r="C416" s="62">
        <v>390</v>
      </c>
      <c r="D416" s="62" t="s">
        <v>43</v>
      </c>
      <c r="E416" s="62">
        <v>1014</v>
      </c>
      <c r="F416" s="62">
        <v>90.23668639053254</v>
      </c>
    </row>
    <row r="417" spans="1:6">
      <c r="A417" s="305" t="str">
        <f t="shared" si="40"/>
        <v>West Dunbartonshire2012-13</v>
      </c>
      <c r="B417" s="62" t="s">
        <v>434</v>
      </c>
      <c r="C417" s="62">
        <v>395</v>
      </c>
      <c r="D417" s="62" t="s">
        <v>44</v>
      </c>
      <c r="E417" s="62">
        <v>928</v>
      </c>
      <c r="F417" s="62">
        <v>91.379310344827587</v>
      </c>
    </row>
    <row r="418" spans="1:6">
      <c r="A418" s="305" t="str">
        <f t="shared" si="40"/>
        <v>West Lothian2012-13</v>
      </c>
      <c r="B418" s="62" t="s">
        <v>434</v>
      </c>
      <c r="C418" s="62">
        <v>400</v>
      </c>
      <c r="D418" s="62" t="s">
        <v>45</v>
      </c>
      <c r="E418" s="62">
        <v>1963</v>
      </c>
      <c r="F418" s="62">
        <v>92.868059093224659</v>
      </c>
    </row>
    <row r="419" spans="1:6">
      <c r="A419" s="305" t="str">
        <f t="shared" si="40"/>
        <v>Scotland2012-13</v>
      </c>
      <c r="B419" s="62" t="s">
        <v>434</v>
      </c>
      <c r="C419" s="62">
        <v>999</v>
      </c>
      <c r="D419" s="62" t="s">
        <v>46</v>
      </c>
      <c r="E419" s="62">
        <v>51647</v>
      </c>
      <c r="F419" s="62">
        <v>91.922086471624681</v>
      </c>
    </row>
    <row r="420" spans="1:6">
      <c r="A420" s="305" t="str">
        <f t="shared" si="40"/>
        <v>Aberdeen City2011-12</v>
      </c>
      <c r="B420" s="62" t="s">
        <v>435</v>
      </c>
      <c r="C420" s="62">
        <v>100</v>
      </c>
      <c r="D420" s="62" t="s">
        <v>15</v>
      </c>
      <c r="E420" s="62">
        <v>1756</v>
      </c>
      <c r="F420" s="62">
        <v>88.553530751708436</v>
      </c>
    </row>
    <row r="421" spans="1:6">
      <c r="A421" s="305" t="str">
        <f t="shared" si="40"/>
        <v>Aberdeenshire2011-12</v>
      </c>
      <c r="B421" s="62" t="s">
        <v>435</v>
      </c>
      <c r="C421" s="62">
        <v>110</v>
      </c>
      <c r="D421" s="62" t="s">
        <v>16</v>
      </c>
      <c r="E421" s="62">
        <v>2573</v>
      </c>
      <c r="F421" s="62">
        <v>94.053633890400306</v>
      </c>
    </row>
    <row r="422" spans="1:6">
      <c r="A422" s="305" t="str">
        <f t="shared" si="40"/>
        <v>Angus2011-12</v>
      </c>
      <c r="B422" s="62" t="s">
        <v>435</v>
      </c>
      <c r="C422" s="62">
        <v>120</v>
      </c>
      <c r="D422" s="62" t="s">
        <v>17</v>
      </c>
      <c r="E422" s="62">
        <v>1154</v>
      </c>
      <c r="F422" s="62">
        <v>94.280762564991335</v>
      </c>
    </row>
    <row r="423" spans="1:6">
      <c r="A423" s="305" t="str">
        <f t="shared" si="40"/>
        <v>Argyll and Bute2011-12</v>
      </c>
      <c r="B423" s="62" t="s">
        <v>435</v>
      </c>
      <c r="C423" s="62">
        <v>130</v>
      </c>
      <c r="D423" s="62" t="s">
        <v>18</v>
      </c>
      <c r="E423" s="62">
        <v>920</v>
      </c>
      <c r="F423" s="62">
        <v>90.543478260869563</v>
      </c>
    </row>
    <row r="424" spans="1:6">
      <c r="A424" s="305" t="str">
        <f t="shared" si="40"/>
        <v>Clackmannanshire2011-12</v>
      </c>
      <c r="B424" s="62" t="s">
        <v>435</v>
      </c>
      <c r="C424" s="62">
        <v>150</v>
      </c>
      <c r="D424" s="62" t="s">
        <v>19</v>
      </c>
      <c r="E424" s="62">
        <v>531</v>
      </c>
      <c r="F424" s="62">
        <v>89.077212806026367</v>
      </c>
    </row>
    <row r="425" spans="1:6">
      <c r="A425" s="305" t="str">
        <f t="shared" si="40"/>
        <v>Dumfries and Galloway2011-12</v>
      </c>
      <c r="B425" s="62" t="s">
        <v>435</v>
      </c>
      <c r="C425" s="62">
        <v>170</v>
      </c>
      <c r="D425" s="62" t="s">
        <v>20</v>
      </c>
      <c r="E425" s="62">
        <v>1571</v>
      </c>
      <c r="F425" s="62">
        <v>87.969446212603444</v>
      </c>
    </row>
    <row r="426" spans="1:6">
      <c r="A426" s="305" t="str">
        <f t="shared" si="40"/>
        <v>Dundee City2011-12</v>
      </c>
      <c r="B426" s="62" t="s">
        <v>435</v>
      </c>
      <c r="C426" s="62">
        <v>180</v>
      </c>
      <c r="D426" s="62" t="s">
        <v>21</v>
      </c>
      <c r="E426" s="62">
        <v>1177</v>
      </c>
      <c r="F426" s="62">
        <v>90.314358538657601</v>
      </c>
    </row>
    <row r="427" spans="1:6">
      <c r="A427" s="305" t="str">
        <f t="shared" si="40"/>
        <v>East Ayrshire2011-12</v>
      </c>
      <c r="B427" s="62" t="s">
        <v>435</v>
      </c>
      <c r="C427" s="62">
        <v>190</v>
      </c>
      <c r="D427" s="62" t="s">
        <v>22</v>
      </c>
      <c r="E427" s="62">
        <v>1120</v>
      </c>
      <c r="F427" s="62">
        <v>89.285714285714292</v>
      </c>
    </row>
    <row r="428" spans="1:6">
      <c r="A428" s="305" t="str">
        <f t="shared" si="40"/>
        <v>East Dunbartonshire2011-12</v>
      </c>
      <c r="B428" s="62" t="s">
        <v>435</v>
      </c>
      <c r="C428" s="62">
        <v>200</v>
      </c>
      <c r="D428" s="62" t="s">
        <v>23</v>
      </c>
      <c r="E428" s="62">
        <v>1241</v>
      </c>
      <c r="F428" s="62">
        <v>94.923448831587436</v>
      </c>
    </row>
    <row r="429" spans="1:6">
      <c r="A429" s="305" t="str">
        <f t="shared" si="40"/>
        <v>East Lothian2011-12</v>
      </c>
      <c r="B429" s="62" t="s">
        <v>435</v>
      </c>
      <c r="C429" s="62">
        <v>210</v>
      </c>
      <c r="D429" s="62" t="s">
        <v>24</v>
      </c>
      <c r="E429" s="62">
        <v>952</v>
      </c>
      <c r="F429" s="62">
        <v>88.760504201680675</v>
      </c>
    </row>
    <row r="430" spans="1:6">
      <c r="A430" s="305" t="str">
        <f t="shared" si="40"/>
        <v>East Renfrewshire2011-12</v>
      </c>
      <c r="B430" s="62" t="s">
        <v>435</v>
      </c>
      <c r="C430" s="62">
        <v>220</v>
      </c>
      <c r="D430" s="62" t="s">
        <v>25</v>
      </c>
      <c r="E430" s="62">
        <v>1324</v>
      </c>
      <c r="F430" s="62">
        <v>95.241691842900295</v>
      </c>
    </row>
    <row r="431" spans="1:6">
      <c r="A431" s="305" t="str">
        <f t="shared" si="40"/>
        <v>Edinburgh, City of2011-12</v>
      </c>
      <c r="B431" s="62" t="s">
        <v>435</v>
      </c>
      <c r="C431" s="62">
        <v>230</v>
      </c>
      <c r="D431" s="62" t="s">
        <v>126</v>
      </c>
      <c r="E431" s="62">
        <v>3191</v>
      </c>
      <c r="F431" s="62">
        <v>88.718270134753993</v>
      </c>
    </row>
    <row r="432" spans="1:6">
      <c r="A432" s="305" t="str">
        <f t="shared" si="40"/>
        <v>Na h-Eileanan Siar2011-12</v>
      </c>
      <c r="B432" s="62" t="s">
        <v>435</v>
      </c>
      <c r="C432" s="62">
        <v>235</v>
      </c>
      <c r="D432" s="62" t="s">
        <v>33</v>
      </c>
      <c r="E432" s="62">
        <v>307</v>
      </c>
      <c r="F432" s="62">
        <v>95.114006514657973</v>
      </c>
    </row>
    <row r="433" spans="1:6">
      <c r="A433" s="305" t="str">
        <f t="shared" si="40"/>
        <v>Falkirk2011-12</v>
      </c>
      <c r="B433" s="62" t="s">
        <v>435</v>
      </c>
      <c r="C433" s="62">
        <v>240</v>
      </c>
      <c r="D433" s="62" t="s">
        <v>26</v>
      </c>
      <c r="E433" s="62">
        <v>1497</v>
      </c>
      <c r="F433" s="62">
        <v>90.915163660654642</v>
      </c>
    </row>
    <row r="434" spans="1:6">
      <c r="A434" s="305" t="str">
        <f t="shared" si="40"/>
        <v>Fife2011-12</v>
      </c>
      <c r="B434" s="62" t="s">
        <v>435</v>
      </c>
      <c r="C434" s="62">
        <v>250</v>
      </c>
      <c r="D434" s="62" t="s">
        <v>27</v>
      </c>
      <c r="E434" s="62">
        <v>3659</v>
      </c>
      <c r="F434" s="62">
        <v>89.915277398196224</v>
      </c>
    </row>
    <row r="435" spans="1:6">
      <c r="A435" s="305" t="str">
        <f t="shared" si="40"/>
        <v>Glasgow City2011-12</v>
      </c>
      <c r="B435" s="62" t="s">
        <v>435</v>
      </c>
      <c r="C435" s="62">
        <v>260</v>
      </c>
      <c r="D435" s="62" t="s">
        <v>28</v>
      </c>
      <c r="E435" s="62">
        <v>4289</v>
      </c>
      <c r="F435" s="62">
        <v>87.992539053392406</v>
      </c>
    </row>
    <row r="436" spans="1:6">
      <c r="A436" s="305" t="str">
        <f t="shared" si="40"/>
        <v>Highland2011-12</v>
      </c>
      <c r="B436" s="62" t="s">
        <v>435</v>
      </c>
      <c r="C436" s="62">
        <v>270</v>
      </c>
      <c r="D436" s="62" t="s">
        <v>29</v>
      </c>
      <c r="E436" s="62">
        <v>2433</v>
      </c>
      <c r="F436" s="62">
        <v>91.327579120427458</v>
      </c>
    </row>
    <row r="437" spans="1:6">
      <c r="A437" s="305" t="str">
        <f t="shared" si="40"/>
        <v>Inverclyde2011-12</v>
      </c>
      <c r="B437" s="62" t="s">
        <v>435</v>
      </c>
      <c r="C437" s="62">
        <v>280</v>
      </c>
      <c r="D437" s="62" t="s">
        <v>30</v>
      </c>
      <c r="E437" s="62">
        <v>850</v>
      </c>
      <c r="F437" s="62">
        <v>94.588235294117652</v>
      </c>
    </row>
    <row r="438" spans="1:6">
      <c r="A438" s="305" t="str">
        <f t="shared" si="40"/>
        <v>Midlothian2011-12</v>
      </c>
      <c r="B438" s="62" t="s">
        <v>435</v>
      </c>
      <c r="C438" s="62">
        <v>290</v>
      </c>
      <c r="D438" s="62" t="s">
        <v>31</v>
      </c>
      <c r="E438" s="62">
        <v>959</v>
      </c>
      <c r="F438" s="62">
        <v>85.922836287799782</v>
      </c>
    </row>
    <row r="439" spans="1:6">
      <c r="A439" s="305" t="str">
        <f t="shared" si="40"/>
        <v>Moray2011-12</v>
      </c>
      <c r="B439" s="62" t="s">
        <v>435</v>
      </c>
      <c r="C439" s="62">
        <v>300</v>
      </c>
      <c r="D439" s="62" t="s">
        <v>32</v>
      </c>
      <c r="E439" s="62">
        <v>1039</v>
      </c>
      <c r="F439" s="62">
        <v>92.204042348411932</v>
      </c>
    </row>
    <row r="440" spans="1:6">
      <c r="A440" s="305" t="str">
        <f t="shared" si="40"/>
        <v>North Ayrshire2011-12</v>
      </c>
      <c r="B440" s="62" t="s">
        <v>435</v>
      </c>
      <c r="C440" s="62">
        <v>310</v>
      </c>
      <c r="D440" s="62" t="s">
        <v>34</v>
      </c>
      <c r="E440" s="62">
        <v>1367</v>
      </c>
      <c r="F440" s="62">
        <v>90.270665691294809</v>
      </c>
    </row>
    <row r="441" spans="1:6">
      <c r="A441" s="305" t="str">
        <f t="shared" ref="A441:A504" si="41">D441&amp;B441</f>
        <v>North Lanarkshire2011-12</v>
      </c>
      <c r="B441" s="62" t="s">
        <v>435</v>
      </c>
      <c r="C441" s="62">
        <v>320</v>
      </c>
      <c r="D441" s="62" t="s">
        <v>35</v>
      </c>
      <c r="E441" s="62">
        <v>3439</v>
      </c>
      <c r="F441" s="62">
        <v>87.525443442861288</v>
      </c>
    </row>
    <row r="442" spans="1:6">
      <c r="A442" s="305" t="str">
        <f t="shared" si="41"/>
        <v>Orkney Islands2011-12</v>
      </c>
      <c r="B442" s="62" t="s">
        <v>435</v>
      </c>
      <c r="C442" s="62">
        <v>330</v>
      </c>
      <c r="D442" s="62" t="s">
        <v>36</v>
      </c>
      <c r="E442" s="62">
        <v>226</v>
      </c>
      <c r="F442" s="62">
        <v>94.247787610619469</v>
      </c>
    </row>
    <row r="443" spans="1:6">
      <c r="A443" s="305" t="str">
        <f t="shared" si="41"/>
        <v>Perth and Kinross2011-12</v>
      </c>
      <c r="B443" s="62" t="s">
        <v>435</v>
      </c>
      <c r="C443" s="62">
        <v>340</v>
      </c>
      <c r="D443" s="62" t="s">
        <v>37</v>
      </c>
      <c r="E443" s="62">
        <v>1268</v>
      </c>
      <c r="F443" s="62">
        <v>93.454258675078862</v>
      </c>
    </row>
    <row r="444" spans="1:6">
      <c r="A444" s="305" t="str">
        <f t="shared" si="41"/>
        <v>Renfrewshire2011-12</v>
      </c>
      <c r="B444" s="62" t="s">
        <v>435</v>
      </c>
      <c r="C444" s="62">
        <v>350</v>
      </c>
      <c r="D444" s="62" t="s">
        <v>38</v>
      </c>
      <c r="E444" s="62">
        <v>1729</v>
      </c>
      <c r="F444" s="62">
        <v>88.085598611914406</v>
      </c>
    </row>
    <row r="445" spans="1:6">
      <c r="A445" s="305" t="str">
        <f t="shared" si="41"/>
        <v>Scottish Borders2011-12</v>
      </c>
      <c r="B445" s="62" t="s">
        <v>435</v>
      </c>
      <c r="C445" s="62">
        <v>355</v>
      </c>
      <c r="D445" s="62" t="s">
        <v>39</v>
      </c>
      <c r="E445" s="62">
        <v>1151</v>
      </c>
      <c r="F445" s="62">
        <v>91.746307558644659</v>
      </c>
    </row>
    <row r="446" spans="1:6">
      <c r="A446" s="305" t="str">
        <f t="shared" si="41"/>
        <v>Shetland Islands2011-12</v>
      </c>
      <c r="B446" s="62" t="s">
        <v>435</v>
      </c>
      <c r="C446" s="62">
        <v>360</v>
      </c>
      <c r="D446" s="62" t="s">
        <v>40</v>
      </c>
      <c r="E446" s="62">
        <v>267</v>
      </c>
      <c r="F446" s="62">
        <v>91.011235955056179</v>
      </c>
    </row>
    <row r="447" spans="1:6">
      <c r="A447" s="305" t="str">
        <f t="shared" si="41"/>
        <v>South Ayrshire2011-12</v>
      </c>
      <c r="B447" s="62" t="s">
        <v>435</v>
      </c>
      <c r="C447" s="62">
        <v>370</v>
      </c>
      <c r="D447" s="62" t="s">
        <v>41</v>
      </c>
      <c r="E447" s="62">
        <v>1145</v>
      </c>
      <c r="F447" s="62">
        <v>88.995633187772924</v>
      </c>
    </row>
    <row r="448" spans="1:6">
      <c r="A448" s="305" t="str">
        <f t="shared" si="41"/>
        <v>South Lanarkshire2011-12</v>
      </c>
      <c r="B448" s="62" t="s">
        <v>435</v>
      </c>
      <c r="C448" s="62">
        <v>380</v>
      </c>
      <c r="D448" s="62" t="s">
        <v>42</v>
      </c>
      <c r="E448" s="62">
        <v>2862</v>
      </c>
      <c r="F448" s="62">
        <v>90.006988120195658</v>
      </c>
    </row>
    <row r="449" spans="1:6">
      <c r="A449" s="305" t="str">
        <f t="shared" si="41"/>
        <v>Stirling2011-12</v>
      </c>
      <c r="B449" s="62" t="s">
        <v>435</v>
      </c>
      <c r="C449" s="62">
        <v>390</v>
      </c>
      <c r="D449" s="62" t="s">
        <v>43</v>
      </c>
      <c r="E449" s="62">
        <v>933</v>
      </c>
      <c r="F449" s="62">
        <v>88.638799571275456</v>
      </c>
    </row>
    <row r="450" spans="1:6">
      <c r="A450" s="305" t="str">
        <f t="shared" si="41"/>
        <v>West Dunbartonshire2011-12</v>
      </c>
      <c r="B450" s="62" t="s">
        <v>435</v>
      </c>
      <c r="C450" s="62">
        <v>395</v>
      </c>
      <c r="D450" s="62" t="s">
        <v>44</v>
      </c>
      <c r="E450" s="62">
        <v>924</v>
      </c>
      <c r="F450" s="62">
        <v>92.748917748917748</v>
      </c>
    </row>
    <row r="451" spans="1:6">
      <c r="A451" s="305" t="str">
        <f t="shared" si="41"/>
        <v>West Lothian2011-12</v>
      </c>
      <c r="B451" s="62" t="s">
        <v>435</v>
      </c>
      <c r="C451" s="62">
        <v>400</v>
      </c>
      <c r="D451" s="62" t="s">
        <v>45</v>
      </c>
      <c r="E451" s="62">
        <v>1790</v>
      </c>
      <c r="F451" s="62">
        <v>90.44692737430168</v>
      </c>
    </row>
    <row r="452" spans="1:6">
      <c r="A452" s="305" t="str">
        <f t="shared" si="41"/>
        <v>Scotland2011-12</v>
      </c>
      <c r="B452" s="62" t="s">
        <v>435</v>
      </c>
      <c r="C452" s="62">
        <v>999</v>
      </c>
      <c r="D452" s="62" t="s">
        <v>46</v>
      </c>
      <c r="E452" s="62">
        <v>49745</v>
      </c>
      <c r="F452" s="62">
        <v>90.284450698562665</v>
      </c>
    </row>
    <row r="453" spans="1:6">
      <c r="A453" s="305" t="str">
        <f t="shared" si="41"/>
        <v>Aberdeen City2010-11</v>
      </c>
      <c r="B453" s="62" t="s">
        <v>436</v>
      </c>
      <c r="C453" s="62">
        <v>100</v>
      </c>
      <c r="D453" s="62" t="s">
        <v>15</v>
      </c>
      <c r="E453" s="62">
        <v>1732</v>
      </c>
      <c r="F453" s="62">
        <v>86.085450346420316</v>
      </c>
    </row>
    <row r="454" spans="1:6">
      <c r="A454" s="305" t="str">
        <f t="shared" si="41"/>
        <v>Aberdeenshire2010-11</v>
      </c>
      <c r="B454" s="62" t="s">
        <v>436</v>
      </c>
      <c r="C454" s="62">
        <v>110</v>
      </c>
      <c r="D454" s="62" t="s">
        <v>16</v>
      </c>
      <c r="E454" s="62">
        <v>2741</v>
      </c>
      <c r="F454" s="62">
        <v>92.55746078073696</v>
      </c>
    </row>
    <row r="455" spans="1:6">
      <c r="A455" s="305" t="str">
        <f t="shared" si="41"/>
        <v>Angus2010-11</v>
      </c>
      <c r="B455" s="62" t="s">
        <v>436</v>
      </c>
      <c r="C455" s="62">
        <v>120</v>
      </c>
      <c r="D455" s="62" t="s">
        <v>17</v>
      </c>
      <c r="E455" s="62">
        <v>1215</v>
      </c>
      <c r="F455" s="62">
        <v>89.382716049382722</v>
      </c>
    </row>
    <row r="456" spans="1:6">
      <c r="A456" s="305" t="str">
        <f t="shared" si="41"/>
        <v>Argyll and Bute2010-11</v>
      </c>
      <c r="B456" s="62" t="s">
        <v>436</v>
      </c>
      <c r="C456" s="62">
        <v>130</v>
      </c>
      <c r="D456" s="62" t="s">
        <v>18</v>
      </c>
      <c r="E456" s="62">
        <v>986</v>
      </c>
      <c r="F456" s="62">
        <v>89.65517241379311</v>
      </c>
    </row>
    <row r="457" spans="1:6">
      <c r="A457" s="305" t="str">
        <f t="shared" si="41"/>
        <v>Clackmannanshire2010-11</v>
      </c>
      <c r="B457" s="62" t="s">
        <v>436</v>
      </c>
      <c r="C457" s="62">
        <v>150</v>
      </c>
      <c r="D457" s="62" t="s">
        <v>19</v>
      </c>
      <c r="E457" s="62">
        <v>563</v>
      </c>
      <c r="F457" s="62">
        <v>85.612788632326826</v>
      </c>
    </row>
    <row r="458" spans="1:6">
      <c r="A458" s="305" t="str">
        <f t="shared" si="41"/>
        <v>Dumfries and Galloway2010-11</v>
      </c>
      <c r="B458" s="62" t="s">
        <v>436</v>
      </c>
      <c r="C458" s="62">
        <v>170</v>
      </c>
      <c r="D458" s="62" t="s">
        <v>20</v>
      </c>
      <c r="E458" s="62">
        <v>1736</v>
      </c>
      <c r="F458" s="62">
        <v>88.709677419354833</v>
      </c>
    </row>
    <row r="459" spans="1:6">
      <c r="A459" s="305" t="str">
        <f t="shared" si="41"/>
        <v>Dundee City2010-11</v>
      </c>
      <c r="B459" s="62" t="s">
        <v>436</v>
      </c>
      <c r="C459" s="62">
        <v>180</v>
      </c>
      <c r="D459" s="62" t="s">
        <v>21</v>
      </c>
      <c r="E459" s="62">
        <v>1383</v>
      </c>
      <c r="F459" s="62">
        <v>88.430947216196671</v>
      </c>
    </row>
    <row r="460" spans="1:6">
      <c r="A460" s="305" t="str">
        <f t="shared" si="41"/>
        <v>East Ayrshire2010-11</v>
      </c>
      <c r="B460" s="62" t="s">
        <v>436</v>
      </c>
      <c r="C460" s="62">
        <v>190</v>
      </c>
      <c r="D460" s="62" t="s">
        <v>22</v>
      </c>
      <c r="E460" s="62">
        <v>1318</v>
      </c>
      <c r="F460" s="62">
        <v>89.301972685887705</v>
      </c>
    </row>
    <row r="461" spans="1:6">
      <c r="A461" s="305" t="str">
        <f t="shared" si="41"/>
        <v>East Dunbartonshire2010-11</v>
      </c>
      <c r="B461" s="62" t="s">
        <v>436</v>
      </c>
      <c r="C461" s="62">
        <v>200</v>
      </c>
      <c r="D461" s="62" t="s">
        <v>23</v>
      </c>
      <c r="E461" s="62">
        <v>1382</v>
      </c>
      <c r="F461" s="62">
        <v>93.053545586107091</v>
      </c>
    </row>
    <row r="462" spans="1:6">
      <c r="A462" s="305" t="str">
        <f t="shared" si="41"/>
        <v>East Lothian2010-11</v>
      </c>
      <c r="B462" s="62" t="s">
        <v>436</v>
      </c>
      <c r="C462" s="62">
        <v>210</v>
      </c>
      <c r="D462" s="62" t="s">
        <v>24</v>
      </c>
      <c r="E462" s="62">
        <v>1099</v>
      </c>
      <c r="F462" s="62">
        <v>86.897179253867151</v>
      </c>
    </row>
    <row r="463" spans="1:6">
      <c r="A463" s="305" t="str">
        <f t="shared" si="41"/>
        <v>East Renfrewshire2010-11</v>
      </c>
      <c r="B463" s="62" t="s">
        <v>436</v>
      </c>
      <c r="C463" s="62">
        <v>220</v>
      </c>
      <c r="D463" s="62" t="s">
        <v>25</v>
      </c>
      <c r="E463" s="62">
        <v>1348</v>
      </c>
      <c r="F463" s="62">
        <v>93.323442136498514</v>
      </c>
    </row>
    <row r="464" spans="1:6">
      <c r="A464" s="305" t="str">
        <f t="shared" si="41"/>
        <v>Edinburgh, City of2010-11</v>
      </c>
      <c r="B464" s="62" t="s">
        <v>436</v>
      </c>
      <c r="C464" s="62">
        <v>230</v>
      </c>
      <c r="D464" s="62" t="s">
        <v>126</v>
      </c>
      <c r="E464" s="62">
        <v>3322</v>
      </c>
      <c r="F464" s="62">
        <v>88.26008428657434</v>
      </c>
    </row>
    <row r="465" spans="1:6">
      <c r="A465" s="305" t="str">
        <f t="shared" si="41"/>
        <v>Na h-Eileanan Siar2010-11</v>
      </c>
      <c r="B465" s="62" t="s">
        <v>436</v>
      </c>
      <c r="C465" s="62">
        <v>235</v>
      </c>
      <c r="D465" s="62" t="s">
        <v>33</v>
      </c>
      <c r="E465" s="62">
        <v>325</v>
      </c>
      <c r="F465" s="62">
        <v>93.538461538461533</v>
      </c>
    </row>
    <row r="466" spans="1:6">
      <c r="A466" s="305" t="str">
        <f t="shared" si="41"/>
        <v>Falkirk2010-11</v>
      </c>
      <c r="B466" s="62" t="s">
        <v>436</v>
      </c>
      <c r="C466" s="62">
        <v>240</v>
      </c>
      <c r="D466" s="62" t="s">
        <v>26</v>
      </c>
      <c r="E466" s="62">
        <v>1497</v>
      </c>
      <c r="F466" s="62">
        <v>88.109552438209747</v>
      </c>
    </row>
    <row r="467" spans="1:6">
      <c r="A467" s="305" t="str">
        <f t="shared" si="41"/>
        <v>Fife2010-11</v>
      </c>
      <c r="B467" s="62" t="s">
        <v>436</v>
      </c>
      <c r="C467" s="62">
        <v>250</v>
      </c>
      <c r="D467" s="62" t="s">
        <v>27</v>
      </c>
      <c r="E467" s="62">
        <v>3845</v>
      </c>
      <c r="F467" s="62">
        <v>91.833550065019509</v>
      </c>
    </row>
    <row r="468" spans="1:6">
      <c r="A468" s="305" t="str">
        <f t="shared" si="41"/>
        <v>Glasgow City2010-11</v>
      </c>
      <c r="B468" s="62" t="s">
        <v>436</v>
      </c>
      <c r="C468" s="62">
        <v>260</v>
      </c>
      <c r="D468" s="62" t="s">
        <v>28</v>
      </c>
      <c r="E468" s="62">
        <v>4490</v>
      </c>
      <c r="F468" s="62">
        <v>87.126948775055681</v>
      </c>
    </row>
    <row r="469" spans="1:6">
      <c r="A469" s="305" t="str">
        <f t="shared" si="41"/>
        <v>Highland2010-11</v>
      </c>
      <c r="B469" s="62" t="s">
        <v>436</v>
      </c>
      <c r="C469" s="62">
        <v>270</v>
      </c>
      <c r="D469" s="62" t="s">
        <v>29</v>
      </c>
      <c r="E469" s="62">
        <v>2539</v>
      </c>
      <c r="F469" s="62">
        <v>90.271760535643949</v>
      </c>
    </row>
    <row r="470" spans="1:6">
      <c r="A470" s="305" t="str">
        <f t="shared" si="41"/>
        <v>Inverclyde2010-11</v>
      </c>
      <c r="B470" s="62" t="s">
        <v>436</v>
      </c>
      <c r="C470" s="62">
        <v>280</v>
      </c>
      <c r="D470" s="62" t="s">
        <v>30</v>
      </c>
      <c r="E470" s="62">
        <v>823</v>
      </c>
      <c r="F470" s="62">
        <v>88.942891859052253</v>
      </c>
    </row>
    <row r="471" spans="1:6">
      <c r="A471" s="305" t="str">
        <f t="shared" si="41"/>
        <v>Midlothian2010-11</v>
      </c>
      <c r="B471" s="62" t="s">
        <v>436</v>
      </c>
      <c r="C471" s="62">
        <v>290</v>
      </c>
      <c r="D471" s="62" t="s">
        <v>31</v>
      </c>
      <c r="E471" s="62">
        <v>933</v>
      </c>
      <c r="F471" s="62">
        <v>85.101822079314033</v>
      </c>
    </row>
    <row r="472" spans="1:6">
      <c r="A472" s="305" t="str">
        <f t="shared" si="41"/>
        <v>Moray2010-11</v>
      </c>
      <c r="B472" s="62" t="s">
        <v>436</v>
      </c>
      <c r="C472" s="62">
        <v>300</v>
      </c>
      <c r="D472" s="62" t="s">
        <v>32</v>
      </c>
      <c r="E472" s="62">
        <v>1015</v>
      </c>
      <c r="F472" s="62">
        <v>89.162561576354676</v>
      </c>
    </row>
    <row r="473" spans="1:6">
      <c r="A473" s="305" t="str">
        <f t="shared" si="41"/>
        <v>North Ayrshire2010-11</v>
      </c>
      <c r="B473" s="62" t="s">
        <v>436</v>
      </c>
      <c r="C473" s="62">
        <v>310</v>
      </c>
      <c r="D473" s="62" t="s">
        <v>34</v>
      </c>
      <c r="E473" s="62">
        <v>1533</v>
      </c>
      <c r="F473" s="62">
        <v>90.867579908675793</v>
      </c>
    </row>
    <row r="474" spans="1:6">
      <c r="A474" s="305" t="str">
        <f t="shared" si="41"/>
        <v>North Lanarkshire2010-11</v>
      </c>
      <c r="B474" s="62" t="s">
        <v>436</v>
      </c>
      <c r="C474" s="62">
        <v>320</v>
      </c>
      <c r="D474" s="62" t="s">
        <v>35</v>
      </c>
      <c r="E474" s="62">
        <v>3709</v>
      </c>
      <c r="F474" s="62">
        <v>86.249662981935828</v>
      </c>
    </row>
    <row r="475" spans="1:6">
      <c r="A475" s="305" t="str">
        <f t="shared" si="41"/>
        <v>Orkney Islands2010-11</v>
      </c>
      <c r="B475" s="62" t="s">
        <v>436</v>
      </c>
      <c r="C475" s="62">
        <v>330</v>
      </c>
      <c r="D475" s="62" t="s">
        <v>36</v>
      </c>
      <c r="E475" s="62">
        <v>287</v>
      </c>
      <c r="F475" s="62">
        <v>88.850174216027881</v>
      </c>
    </row>
    <row r="476" spans="1:6">
      <c r="A476" s="305" t="str">
        <f t="shared" si="41"/>
        <v>Perth and Kinross2010-11</v>
      </c>
      <c r="B476" s="62" t="s">
        <v>436</v>
      </c>
      <c r="C476" s="62">
        <v>340</v>
      </c>
      <c r="D476" s="62" t="s">
        <v>37</v>
      </c>
      <c r="E476" s="62">
        <v>1368</v>
      </c>
      <c r="F476" s="62">
        <v>91.228070175438589</v>
      </c>
    </row>
    <row r="477" spans="1:6">
      <c r="A477" s="305" t="str">
        <f t="shared" si="41"/>
        <v>Renfrewshire2010-11</v>
      </c>
      <c r="B477" s="62" t="s">
        <v>436</v>
      </c>
      <c r="C477" s="62">
        <v>350</v>
      </c>
      <c r="D477" s="62" t="s">
        <v>38</v>
      </c>
      <c r="E477" s="62">
        <v>1901</v>
      </c>
      <c r="F477" s="62">
        <v>89.268805891635978</v>
      </c>
    </row>
    <row r="478" spans="1:6">
      <c r="A478" s="305" t="str">
        <f t="shared" si="41"/>
        <v>Scottish Borders2010-11</v>
      </c>
      <c r="B478" s="62" t="s">
        <v>436</v>
      </c>
      <c r="C478" s="62">
        <v>355</v>
      </c>
      <c r="D478" s="62" t="s">
        <v>39</v>
      </c>
      <c r="E478" s="62">
        <v>1236</v>
      </c>
      <c r="F478" s="62">
        <v>92.71844660194175</v>
      </c>
    </row>
    <row r="479" spans="1:6">
      <c r="A479" s="305" t="str">
        <f t="shared" si="41"/>
        <v>Shetland Islands2010-11</v>
      </c>
      <c r="B479" s="62" t="s">
        <v>436</v>
      </c>
      <c r="C479" s="62">
        <v>360</v>
      </c>
      <c r="D479" s="62" t="s">
        <v>40</v>
      </c>
      <c r="E479" s="62">
        <v>276</v>
      </c>
      <c r="F479" s="62">
        <v>94.20289855072464</v>
      </c>
    </row>
    <row r="480" spans="1:6">
      <c r="A480" s="305" t="str">
        <f t="shared" si="41"/>
        <v>South Ayrshire2010-11</v>
      </c>
      <c r="B480" s="62" t="s">
        <v>436</v>
      </c>
      <c r="C480" s="62">
        <v>370</v>
      </c>
      <c r="D480" s="62" t="s">
        <v>41</v>
      </c>
      <c r="E480" s="62">
        <v>1218</v>
      </c>
      <c r="F480" s="62">
        <v>89.901477832512313</v>
      </c>
    </row>
    <row r="481" spans="1:6">
      <c r="A481" s="305" t="str">
        <f t="shared" si="41"/>
        <v>South Lanarkshire2010-11</v>
      </c>
      <c r="B481" s="62" t="s">
        <v>436</v>
      </c>
      <c r="C481" s="62">
        <v>380</v>
      </c>
      <c r="D481" s="62" t="s">
        <v>42</v>
      </c>
      <c r="E481" s="62">
        <v>3484</v>
      </c>
      <c r="F481" s="62">
        <v>87.571756601607348</v>
      </c>
    </row>
    <row r="482" spans="1:6">
      <c r="A482" s="305" t="str">
        <f t="shared" si="41"/>
        <v>Stirling2010-11</v>
      </c>
      <c r="B482" s="62" t="s">
        <v>436</v>
      </c>
      <c r="C482" s="62">
        <v>390</v>
      </c>
      <c r="D482" s="62" t="s">
        <v>43</v>
      </c>
      <c r="E482" s="62">
        <v>982</v>
      </c>
      <c r="F482" s="62">
        <v>88.492871690427705</v>
      </c>
    </row>
    <row r="483" spans="1:6">
      <c r="A483" s="305" t="str">
        <f t="shared" si="41"/>
        <v>West Dunbartonshire2010-11</v>
      </c>
      <c r="B483" s="62" t="s">
        <v>436</v>
      </c>
      <c r="C483" s="62">
        <v>395</v>
      </c>
      <c r="D483" s="62" t="s">
        <v>44</v>
      </c>
      <c r="E483" s="62">
        <v>1018</v>
      </c>
      <c r="F483" s="62">
        <v>91.552062868369362</v>
      </c>
    </row>
    <row r="484" spans="1:6">
      <c r="A484" s="305" t="str">
        <f t="shared" si="41"/>
        <v>West Lothian2010-11</v>
      </c>
      <c r="B484" s="62" t="s">
        <v>436</v>
      </c>
      <c r="C484" s="62">
        <v>400</v>
      </c>
      <c r="D484" s="62" t="s">
        <v>45</v>
      </c>
      <c r="E484" s="62">
        <v>1995</v>
      </c>
      <c r="F484" s="62">
        <v>89.473684210526315</v>
      </c>
    </row>
    <row r="485" spans="1:6">
      <c r="A485" s="305" t="str">
        <f t="shared" si="41"/>
        <v>Scotland2010-11</v>
      </c>
      <c r="B485" s="62" t="s">
        <v>436</v>
      </c>
      <c r="C485" s="62">
        <v>999</v>
      </c>
      <c r="D485" s="62" t="s">
        <v>46</v>
      </c>
      <c r="E485" s="62">
        <v>53394</v>
      </c>
      <c r="F485" s="62">
        <v>89.26096565157134</v>
      </c>
    </row>
    <row r="486" spans="1:6">
      <c r="A486" s="305" t="str">
        <f t="shared" si="41"/>
        <v>Aberdeen City2009-10</v>
      </c>
      <c r="B486" s="62" t="s">
        <v>437</v>
      </c>
      <c r="C486" s="62">
        <v>100</v>
      </c>
      <c r="D486" s="62" t="s">
        <v>15</v>
      </c>
      <c r="E486" s="62">
        <v>1773</v>
      </c>
      <c r="F486" s="62">
        <v>85.504794134235766</v>
      </c>
    </row>
    <row r="487" spans="1:6">
      <c r="A487" s="305" t="str">
        <f t="shared" si="41"/>
        <v>Aberdeenshire2009-10</v>
      </c>
      <c r="B487" s="62" t="s">
        <v>437</v>
      </c>
      <c r="C487" s="62">
        <v>110</v>
      </c>
      <c r="D487" s="62" t="s">
        <v>16</v>
      </c>
      <c r="E487" s="62">
        <v>2714</v>
      </c>
      <c r="F487" s="62">
        <v>91.525423728813564</v>
      </c>
    </row>
    <row r="488" spans="1:6">
      <c r="A488" s="305" t="str">
        <f t="shared" si="41"/>
        <v>Angus2009-10</v>
      </c>
      <c r="B488" s="62" t="s">
        <v>437</v>
      </c>
      <c r="C488" s="62">
        <v>120</v>
      </c>
      <c r="D488" s="62" t="s">
        <v>17</v>
      </c>
      <c r="E488" s="62">
        <v>1279</v>
      </c>
      <c r="F488" s="62">
        <v>89.366692728694304</v>
      </c>
    </row>
    <row r="489" spans="1:6">
      <c r="A489" s="305" t="str">
        <f t="shared" si="41"/>
        <v>Argyll and Bute2009-10</v>
      </c>
      <c r="B489" s="62" t="s">
        <v>437</v>
      </c>
      <c r="C489" s="62">
        <v>130</v>
      </c>
      <c r="D489" s="62" t="s">
        <v>18</v>
      </c>
      <c r="E489" s="62">
        <v>929</v>
      </c>
      <c r="F489" s="62">
        <v>88.051668460710445</v>
      </c>
    </row>
    <row r="490" spans="1:6">
      <c r="A490" s="305" t="str">
        <f t="shared" si="41"/>
        <v>Clackmannanshire2009-10</v>
      </c>
      <c r="B490" s="62" t="s">
        <v>437</v>
      </c>
      <c r="C490" s="62">
        <v>150</v>
      </c>
      <c r="D490" s="62" t="s">
        <v>19</v>
      </c>
      <c r="E490" s="62">
        <v>570</v>
      </c>
      <c r="F490" s="62">
        <v>88.245614035087712</v>
      </c>
    </row>
    <row r="491" spans="1:6">
      <c r="A491" s="305" t="str">
        <f t="shared" si="41"/>
        <v>Dumfries and Galloway2009-10</v>
      </c>
      <c r="B491" s="62" t="s">
        <v>437</v>
      </c>
      <c r="C491" s="62">
        <v>170</v>
      </c>
      <c r="D491" s="62" t="s">
        <v>20</v>
      </c>
      <c r="E491" s="62">
        <v>1588</v>
      </c>
      <c r="F491" s="62">
        <v>88.413098236775824</v>
      </c>
    </row>
    <row r="492" spans="1:6">
      <c r="A492" s="305" t="str">
        <f t="shared" si="41"/>
        <v>Dundee City2009-10</v>
      </c>
      <c r="B492" s="62" t="s">
        <v>437</v>
      </c>
      <c r="C492" s="62">
        <v>180</v>
      </c>
      <c r="D492" s="62" t="s">
        <v>21</v>
      </c>
      <c r="E492" s="62">
        <v>1391</v>
      </c>
      <c r="F492" s="62">
        <v>84.615384615384613</v>
      </c>
    </row>
    <row r="493" spans="1:6">
      <c r="A493" s="305" t="str">
        <f t="shared" si="41"/>
        <v>East Ayrshire2009-10</v>
      </c>
      <c r="B493" s="62" t="s">
        <v>437</v>
      </c>
      <c r="C493" s="62">
        <v>190</v>
      </c>
      <c r="D493" s="62" t="s">
        <v>22</v>
      </c>
      <c r="E493" s="62">
        <v>1330</v>
      </c>
      <c r="F493" s="62">
        <v>88.421052631578945</v>
      </c>
    </row>
    <row r="494" spans="1:6">
      <c r="A494" s="305" t="str">
        <f t="shared" si="41"/>
        <v>East Dunbartonshire2009-10</v>
      </c>
      <c r="B494" s="62" t="s">
        <v>437</v>
      </c>
      <c r="C494" s="62">
        <v>200</v>
      </c>
      <c r="D494" s="62" t="s">
        <v>23</v>
      </c>
      <c r="E494" s="62">
        <v>1299</v>
      </c>
      <c r="F494" s="62">
        <v>92.378752886836025</v>
      </c>
    </row>
    <row r="495" spans="1:6">
      <c r="A495" s="305" t="str">
        <f t="shared" si="41"/>
        <v>East Lothian2009-10</v>
      </c>
      <c r="B495" s="62" t="s">
        <v>437</v>
      </c>
      <c r="C495" s="62">
        <v>210</v>
      </c>
      <c r="D495" s="62" t="s">
        <v>24</v>
      </c>
      <c r="E495" s="62">
        <v>1051</v>
      </c>
      <c r="F495" s="62">
        <v>86.584205518553759</v>
      </c>
    </row>
    <row r="496" spans="1:6">
      <c r="A496" s="305" t="str">
        <f t="shared" si="41"/>
        <v>East Renfrewshire2009-10</v>
      </c>
      <c r="B496" s="62" t="s">
        <v>437</v>
      </c>
      <c r="C496" s="62">
        <v>220</v>
      </c>
      <c r="D496" s="62" t="s">
        <v>25</v>
      </c>
      <c r="E496" s="62">
        <v>1306</v>
      </c>
      <c r="F496" s="62">
        <v>94.563552833078106</v>
      </c>
    </row>
    <row r="497" spans="1:6">
      <c r="A497" s="305" t="str">
        <f t="shared" si="41"/>
        <v>Edinburgh, City of2009-10</v>
      </c>
      <c r="B497" s="62" t="s">
        <v>437</v>
      </c>
      <c r="C497" s="62">
        <v>230</v>
      </c>
      <c r="D497" s="62" t="s">
        <v>126</v>
      </c>
      <c r="E497" s="62">
        <v>3349</v>
      </c>
      <c r="F497" s="62">
        <v>83.099432666467592</v>
      </c>
    </row>
    <row r="498" spans="1:6">
      <c r="A498" s="305" t="str">
        <f t="shared" si="41"/>
        <v>Na h-Eileanan Siar2009-10</v>
      </c>
      <c r="B498" s="62" t="s">
        <v>437</v>
      </c>
      <c r="C498" s="62">
        <v>235</v>
      </c>
      <c r="D498" s="62" t="s">
        <v>33</v>
      </c>
      <c r="E498" s="62">
        <v>317</v>
      </c>
      <c r="F498" s="62">
        <v>94.00630914826499</v>
      </c>
    </row>
    <row r="499" spans="1:6">
      <c r="A499" s="305" t="str">
        <f t="shared" si="41"/>
        <v>Falkirk2009-10</v>
      </c>
      <c r="B499" s="62" t="s">
        <v>437</v>
      </c>
      <c r="C499" s="62">
        <v>240</v>
      </c>
      <c r="D499" s="62" t="s">
        <v>26</v>
      </c>
      <c r="E499" s="62">
        <v>1535</v>
      </c>
      <c r="F499" s="62">
        <v>84.625407166123779</v>
      </c>
    </row>
    <row r="500" spans="1:6">
      <c r="A500" s="305" t="str">
        <f t="shared" si="41"/>
        <v>Fife2009-10</v>
      </c>
      <c r="B500" s="62" t="s">
        <v>437</v>
      </c>
      <c r="C500" s="62">
        <v>250</v>
      </c>
      <c r="D500" s="62" t="s">
        <v>27</v>
      </c>
      <c r="E500" s="62">
        <v>3909</v>
      </c>
      <c r="F500" s="62">
        <v>87.720644666155025</v>
      </c>
    </row>
    <row r="501" spans="1:6">
      <c r="A501" s="305" t="str">
        <f t="shared" si="41"/>
        <v>Glasgow City2009-10</v>
      </c>
      <c r="B501" s="62" t="s">
        <v>437</v>
      </c>
      <c r="C501" s="62">
        <v>260</v>
      </c>
      <c r="D501" s="62" t="s">
        <v>28</v>
      </c>
      <c r="E501" s="62">
        <v>4566</v>
      </c>
      <c r="F501" s="62">
        <v>85.501533070521248</v>
      </c>
    </row>
    <row r="502" spans="1:6">
      <c r="A502" s="305" t="str">
        <f t="shared" si="41"/>
        <v>Highland2009-10</v>
      </c>
      <c r="B502" s="62" t="s">
        <v>437</v>
      </c>
      <c r="C502" s="62">
        <v>270</v>
      </c>
      <c r="D502" s="62" t="s">
        <v>29</v>
      </c>
      <c r="E502" s="62">
        <v>2634</v>
      </c>
      <c r="F502" s="62">
        <v>88.078967350037956</v>
      </c>
    </row>
    <row r="503" spans="1:6">
      <c r="A503" s="305" t="str">
        <f t="shared" si="41"/>
        <v>Inverclyde2009-10</v>
      </c>
      <c r="B503" s="62" t="s">
        <v>437</v>
      </c>
      <c r="C503" s="62">
        <v>280</v>
      </c>
      <c r="D503" s="62" t="s">
        <v>30</v>
      </c>
      <c r="E503" s="62">
        <v>938</v>
      </c>
      <c r="F503" s="62">
        <v>90.724946695095952</v>
      </c>
    </row>
    <row r="504" spans="1:6">
      <c r="A504" s="305" t="str">
        <f t="shared" si="41"/>
        <v>Midlothian2009-10</v>
      </c>
      <c r="B504" s="62" t="s">
        <v>437</v>
      </c>
      <c r="C504" s="62">
        <v>290</v>
      </c>
      <c r="D504" s="62" t="s">
        <v>31</v>
      </c>
      <c r="E504" s="62">
        <v>957</v>
      </c>
      <c r="F504" s="62">
        <v>83.803552769070009</v>
      </c>
    </row>
    <row r="505" spans="1:6">
      <c r="A505" s="305" t="str">
        <f t="shared" ref="A505:A518" si="42">D505&amp;B505</f>
        <v>Moray2009-10</v>
      </c>
      <c r="B505" s="62" t="s">
        <v>437</v>
      </c>
      <c r="C505" s="62">
        <v>300</v>
      </c>
      <c r="D505" s="62" t="s">
        <v>32</v>
      </c>
      <c r="E505" s="62">
        <v>1026</v>
      </c>
      <c r="F505" s="62">
        <v>91.033138401559455</v>
      </c>
    </row>
    <row r="506" spans="1:6">
      <c r="A506" s="305" t="str">
        <f t="shared" si="42"/>
        <v>North Ayrshire2009-10</v>
      </c>
      <c r="B506" s="62" t="s">
        <v>437</v>
      </c>
      <c r="C506" s="62">
        <v>310</v>
      </c>
      <c r="D506" s="62" t="s">
        <v>34</v>
      </c>
      <c r="E506" s="62">
        <v>1385</v>
      </c>
      <c r="F506" s="62">
        <v>86.714801444043317</v>
      </c>
    </row>
    <row r="507" spans="1:6">
      <c r="A507" s="305" t="str">
        <f t="shared" si="42"/>
        <v>North Lanarkshire2009-10</v>
      </c>
      <c r="B507" s="62" t="s">
        <v>437</v>
      </c>
      <c r="C507" s="62">
        <v>320</v>
      </c>
      <c r="D507" s="62" t="s">
        <v>35</v>
      </c>
      <c r="E507" s="62">
        <v>3632</v>
      </c>
      <c r="F507" s="62">
        <v>87.059471365638757</v>
      </c>
    </row>
    <row r="508" spans="1:6">
      <c r="A508" s="305" t="str">
        <f t="shared" si="42"/>
        <v>Orkney Islands2009-10</v>
      </c>
      <c r="B508" s="62" t="s">
        <v>437</v>
      </c>
      <c r="C508" s="62">
        <v>330</v>
      </c>
      <c r="D508" s="62" t="s">
        <v>36</v>
      </c>
      <c r="E508" s="62">
        <v>228</v>
      </c>
      <c r="F508" s="62">
        <v>94.73684210526315</v>
      </c>
    </row>
    <row r="509" spans="1:6">
      <c r="A509" s="305" t="str">
        <f t="shared" si="42"/>
        <v>Perth and Kinross2009-10</v>
      </c>
      <c r="B509" s="62" t="s">
        <v>437</v>
      </c>
      <c r="C509" s="62">
        <v>340</v>
      </c>
      <c r="D509" s="62" t="s">
        <v>37</v>
      </c>
      <c r="E509" s="62">
        <v>1389</v>
      </c>
      <c r="F509" s="62">
        <v>89.992800575953922</v>
      </c>
    </row>
    <row r="510" spans="1:6">
      <c r="A510" s="305" t="str">
        <f t="shared" si="42"/>
        <v>Renfrewshire2009-10</v>
      </c>
      <c r="B510" s="62" t="s">
        <v>437</v>
      </c>
      <c r="C510" s="62">
        <v>350</v>
      </c>
      <c r="D510" s="62" t="s">
        <v>38</v>
      </c>
      <c r="E510" s="62">
        <v>1886</v>
      </c>
      <c r="F510" s="62">
        <v>90.031813361611881</v>
      </c>
    </row>
    <row r="511" spans="1:6">
      <c r="A511" s="305" t="str">
        <f t="shared" si="42"/>
        <v>Scottish Borders2009-10</v>
      </c>
      <c r="B511" s="62" t="s">
        <v>437</v>
      </c>
      <c r="C511" s="62">
        <v>355</v>
      </c>
      <c r="D511" s="62" t="s">
        <v>39</v>
      </c>
      <c r="E511" s="62">
        <v>1236</v>
      </c>
      <c r="F511" s="62">
        <v>88.754045307443363</v>
      </c>
    </row>
    <row r="512" spans="1:6">
      <c r="A512" s="305" t="str">
        <f t="shared" si="42"/>
        <v>Shetland Islands2009-10</v>
      </c>
      <c r="B512" s="62" t="s">
        <v>437</v>
      </c>
      <c r="C512" s="62">
        <v>360</v>
      </c>
      <c r="D512" s="62" t="s">
        <v>40</v>
      </c>
      <c r="E512" s="62">
        <v>297</v>
      </c>
      <c r="F512" s="62">
        <v>93.265993265993259</v>
      </c>
    </row>
    <row r="513" spans="1:6">
      <c r="A513" s="305" t="str">
        <f t="shared" si="42"/>
        <v>South Ayrshire2009-10</v>
      </c>
      <c r="B513" s="62" t="s">
        <v>437</v>
      </c>
      <c r="C513" s="62">
        <v>370</v>
      </c>
      <c r="D513" s="62" t="s">
        <v>41</v>
      </c>
      <c r="E513" s="62">
        <v>1190</v>
      </c>
      <c r="F513" s="62">
        <v>87.226890756302524</v>
      </c>
    </row>
    <row r="514" spans="1:6">
      <c r="A514" s="305" t="str">
        <f t="shared" si="42"/>
        <v>South Lanarkshire2009-10</v>
      </c>
      <c r="B514" s="62" t="s">
        <v>437</v>
      </c>
      <c r="C514" s="62">
        <v>380</v>
      </c>
      <c r="D514" s="62" t="s">
        <v>42</v>
      </c>
      <c r="E514" s="62">
        <v>3361</v>
      </c>
      <c r="F514" s="62">
        <v>87.622731329961326</v>
      </c>
    </row>
    <row r="515" spans="1:6">
      <c r="A515" s="305" t="str">
        <f t="shared" si="42"/>
        <v>Stirling2009-10</v>
      </c>
      <c r="B515" s="62" t="s">
        <v>437</v>
      </c>
      <c r="C515" s="62">
        <v>390</v>
      </c>
      <c r="D515" s="62" t="s">
        <v>43</v>
      </c>
      <c r="E515" s="62">
        <v>1029</v>
      </c>
      <c r="F515" s="62">
        <v>87.269193391642375</v>
      </c>
    </row>
    <row r="516" spans="1:6">
      <c r="A516" s="305" t="str">
        <f t="shared" si="42"/>
        <v>West Dunbartonshire2009-10</v>
      </c>
      <c r="B516" s="62" t="s">
        <v>437</v>
      </c>
      <c r="C516" s="62">
        <v>395</v>
      </c>
      <c r="D516" s="62" t="s">
        <v>44</v>
      </c>
      <c r="E516" s="62">
        <v>997</v>
      </c>
      <c r="F516" s="62">
        <v>89.468405215646939</v>
      </c>
    </row>
    <row r="517" spans="1:6">
      <c r="A517" s="305" t="str">
        <f t="shared" si="42"/>
        <v>West Lothian2009-10</v>
      </c>
      <c r="B517" s="62" t="s">
        <v>437</v>
      </c>
      <c r="C517" s="62">
        <v>400</v>
      </c>
      <c r="D517" s="62" t="s">
        <v>45</v>
      </c>
      <c r="E517" s="62">
        <v>1939</v>
      </c>
      <c r="F517" s="62">
        <v>84.424961320268181</v>
      </c>
    </row>
    <row r="518" spans="1:6">
      <c r="A518" s="305" t="str">
        <f t="shared" si="42"/>
        <v>Scotland2009-10</v>
      </c>
      <c r="B518" s="62" t="s">
        <v>437</v>
      </c>
      <c r="C518" s="62">
        <v>999</v>
      </c>
      <c r="D518" s="62" t="s">
        <v>46</v>
      </c>
      <c r="E518" s="62">
        <v>53134</v>
      </c>
      <c r="F518" s="62">
        <v>87.697143072232464</v>
      </c>
    </row>
  </sheetData>
  <pageMargins left="0.70866141732283472" right="0.70866141732283472" top="0.74803149606299213" bottom="0.74803149606299213" header="0.31496062992125984" footer="0.31496062992125984"/>
  <pageSetup paperSize="9" scale="75"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60" min="1"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E29A-014A-4244-A4C3-3B43FA36401C}">
  <sheetPr>
    <pageSetUpPr autoPageBreaks="0"/>
  </sheetPr>
  <dimension ref="A1:R222"/>
  <sheetViews>
    <sheetView zoomScale="70" zoomScaleNormal="70" workbookViewId="0">
      <selection activeCell="T38" sqref="T38"/>
    </sheetView>
  </sheetViews>
  <sheetFormatPr defaultColWidth="8.7109375" defaultRowHeight="15"/>
  <cols>
    <col min="1" max="1" width="23.140625" style="21" customWidth="1" collapsed="1"/>
    <col min="2" max="17" width="14" style="21" customWidth="1" collapsed="1"/>
    <col min="18" max="16384" width="8.7109375" style="21"/>
  </cols>
  <sheetData>
    <row r="1" spans="1:17">
      <c r="A1" s="364" t="s">
        <v>293</v>
      </c>
      <c r="B1" s="365"/>
    </row>
    <row r="2" spans="1:17">
      <c r="A2" s="364" t="s">
        <v>442</v>
      </c>
      <c r="B2" s="365"/>
    </row>
    <row r="3" spans="1:17">
      <c r="A3" s="364" t="s">
        <v>294</v>
      </c>
      <c r="B3" s="365"/>
    </row>
    <row r="4" spans="1:17">
      <c r="A4" s="108"/>
      <c r="B4" s="108"/>
    </row>
    <row r="5" spans="1:17">
      <c r="A5" s="108"/>
      <c r="B5" s="108"/>
    </row>
    <row r="7" spans="1:17" ht="21.95" customHeight="1">
      <c r="A7" s="109" t="s">
        <v>7</v>
      </c>
      <c r="B7" s="356">
        <v>2021</v>
      </c>
      <c r="C7" s="366"/>
      <c r="D7" s="366"/>
      <c r="E7" s="366"/>
      <c r="F7" s="356">
        <v>2022</v>
      </c>
      <c r="G7" s="366"/>
      <c r="H7" s="366"/>
      <c r="I7" s="366"/>
      <c r="J7" s="356">
        <v>2023</v>
      </c>
      <c r="K7" s="366"/>
      <c r="L7" s="366"/>
      <c r="M7" s="366"/>
      <c r="N7" s="356">
        <v>2024</v>
      </c>
      <c r="O7" s="366"/>
      <c r="P7" s="366"/>
      <c r="Q7" s="366"/>
    </row>
    <row r="8" spans="1:17" ht="26.1" customHeight="1">
      <c r="B8" s="110" t="s">
        <v>8</v>
      </c>
      <c r="C8" s="110" t="s">
        <v>9</v>
      </c>
      <c r="D8" s="110" t="s">
        <v>10</v>
      </c>
      <c r="E8" s="110" t="s">
        <v>11</v>
      </c>
      <c r="F8" s="110" t="s">
        <v>8</v>
      </c>
      <c r="G8" s="110" t="s">
        <v>9</v>
      </c>
      <c r="H8" s="110" t="s">
        <v>10</v>
      </c>
      <c r="I8" s="110" t="s">
        <v>11</v>
      </c>
      <c r="J8" s="110" t="s">
        <v>8</v>
      </c>
      <c r="K8" s="110" t="s">
        <v>9</v>
      </c>
      <c r="L8" s="110" t="s">
        <v>10</v>
      </c>
      <c r="M8" s="110" t="s">
        <v>11</v>
      </c>
      <c r="N8" s="110" t="s">
        <v>8</v>
      </c>
      <c r="O8" s="110" t="s">
        <v>9</v>
      </c>
      <c r="P8" s="110" t="s">
        <v>10</v>
      </c>
      <c r="Q8" s="110" t="s">
        <v>11</v>
      </c>
    </row>
    <row r="9" spans="1:17">
      <c r="A9" s="108" t="s">
        <v>15</v>
      </c>
      <c r="B9" s="111" cm="1">
        <f t="array" ref="B9">_xlfn._xlws.FILTER($E$58:$E$222,($A$58:$A$222=B$7)*($B$58:$B$222=$A9))</f>
        <v>5702</v>
      </c>
      <c r="C9" s="111" cm="1">
        <f t="array" ref="C9">_xlfn._xlws.FILTER($D$58:$D$222,($A$58:$A$222=B$7)*($B$58:$B$222=$A9))</f>
        <v>6375</v>
      </c>
      <c r="D9" s="112">
        <f>SUM(B9/C9)*100</f>
        <v>89.443137254901956</v>
      </c>
      <c r="E9" s="112"/>
      <c r="F9" s="111" cm="1">
        <f t="array" ref="F9">_xlfn._xlws.FILTER($E$58:$E$222,($A$58:$A$222=F$7)*($B$58:$B$222=$A9))</f>
        <v>5976</v>
      </c>
      <c r="G9" s="111" cm="1">
        <f t="array" ref="G9">_xlfn._xlws.FILTER($D$58:$D$222,($A$58:$A$222=F$7)*($B$58:$B$222=$A9))</f>
        <v>6551</v>
      </c>
      <c r="H9" s="112">
        <f>SUM(F9/G9)*100</f>
        <v>91.222714089451998</v>
      </c>
      <c r="I9" s="112"/>
      <c r="J9" s="111" cm="1">
        <f t="array" ref="J9">_xlfn._xlws.FILTER($E$58:$E$222,($A$58:$A$222=J$7)*($B$58:$B$222=$A9))</f>
        <v>6209</v>
      </c>
      <c r="K9" s="111" cm="1">
        <f t="array" ref="K9">_xlfn._xlws.FILTER($D$58:$D$222,($A$58:$A$222=J$7)*($B$58:$B$222=$A9))</f>
        <v>6880</v>
      </c>
      <c r="L9" s="112">
        <f>SUM(J9/K9)*100</f>
        <v>90.247093023255815</v>
      </c>
      <c r="M9" s="112"/>
      <c r="N9" s="111" cm="1">
        <f t="array" ref="N9">_xlfn._xlws.FILTER($E$58:$E$222,($A$58:$A$222=N$7)*($B$58:$B$222=$A9))</f>
        <v>6519</v>
      </c>
      <c r="O9" s="111" cm="1">
        <f t="array" ref="O9">_xlfn._xlws.FILTER($D$58:$D$222,($A$58:$A$222=N$7)*($B$58:$B$222=$A9))</f>
        <v>7234</v>
      </c>
      <c r="P9" s="112">
        <f>SUM(N9/O9)*100</f>
        <v>90.116118330107824</v>
      </c>
      <c r="Q9" s="112"/>
    </row>
    <row r="10" spans="1:17">
      <c r="A10" s="108" t="s">
        <v>16</v>
      </c>
      <c r="B10" s="111" cm="1">
        <f t="array" ref="B10">_xlfn._xlws.FILTER($E$58:$E$222,($A$58:$A$222=B$7)*($B$58:$B$222=$A10))</f>
        <v>9782</v>
      </c>
      <c r="C10" s="111" cm="1">
        <f t="array" ref="C10">_xlfn._xlws.FILTER($D$58:$D$222,($A$58:$A$222=B$7)*($B$58:$B$222=$A10))</f>
        <v>10608</v>
      </c>
      <c r="D10" s="112">
        <f t="shared" ref="D10:D40" si="0">SUM(B10/C10)*100</f>
        <v>92.213423831070898</v>
      </c>
      <c r="E10" s="112"/>
      <c r="F10" s="111" cm="1">
        <f t="array" ref="F10">_xlfn._xlws.FILTER($E$58:$E$222,($A$58:$A$222=F$7)*($B$58:$B$222=$A10))</f>
        <v>10067</v>
      </c>
      <c r="G10" s="111" cm="1">
        <f t="array" ref="G10">_xlfn._xlws.FILTER($D$58:$D$222,($A$58:$A$222=F$7)*($B$58:$B$222=$A10))</f>
        <v>10810</v>
      </c>
      <c r="H10" s="112">
        <f t="shared" ref="H10:H40" si="1">SUM(F10/G10)*100</f>
        <v>93.126734505087882</v>
      </c>
      <c r="I10" s="112"/>
      <c r="J10" s="111" cm="1">
        <f t="array" ref="J10">_xlfn._xlws.FILTER($E$58:$E$222,($A$58:$A$222=J$7)*($B$58:$B$222=$A10))</f>
        <v>10187</v>
      </c>
      <c r="K10" s="111" cm="1">
        <f t="array" ref="K10">_xlfn._xlws.FILTER($D$58:$D$222,($A$58:$A$222=J$7)*($B$58:$B$222=$A10))</f>
        <v>10988</v>
      </c>
      <c r="L10" s="112">
        <f t="shared" ref="L10:L40" si="2">SUM(J10/K10)*100</f>
        <v>92.710229341099378</v>
      </c>
      <c r="M10" s="112"/>
      <c r="N10" s="111" cm="1">
        <f t="array" ref="N10">_xlfn._xlws.FILTER($E$58:$E$222,($A$58:$A$222=N$7)*($B$58:$B$222=$A10))</f>
        <v>10430</v>
      </c>
      <c r="O10" s="111" cm="1">
        <f t="array" ref="O10">_xlfn._xlws.FILTER($D$58:$D$222,($A$58:$A$222=N$7)*($B$58:$B$222=$A10))</f>
        <v>11359</v>
      </c>
      <c r="P10" s="112">
        <f t="shared" ref="P10:P40" si="3">SUM(N10/O10)*100</f>
        <v>91.821463156968036</v>
      </c>
      <c r="Q10" s="112"/>
    </row>
    <row r="11" spans="1:17">
      <c r="A11" s="108" t="s">
        <v>17</v>
      </c>
      <c r="B11" s="111" cm="1">
        <f t="array" ref="B11">_xlfn._xlws.FILTER($E$58:$E$222,($A$58:$A$222=B$7)*($B$58:$B$222=$A11))</f>
        <v>4430</v>
      </c>
      <c r="C11" s="111" cm="1">
        <f t="array" ref="C11">_xlfn._xlws.FILTER($D$58:$D$222,($A$58:$A$222=B$7)*($B$58:$B$222=$A11))</f>
        <v>4792</v>
      </c>
      <c r="D11" s="112">
        <f t="shared" si="0"/>
        <v>92.445742904841396</v>
      </c>
      <c r="E11" s="112"/>
      <c r="F11" s="111" cm="1">
        <f t="array" ref="F11">_xlfn._xlws.FILTER($E$58:$E$222,($A$58:$A$222=F$7)*($B$58:$B$222=$A11))</f>
        <v>4447</v>
      </c>
      <c r="G11" s="111" cm="1">
        <f t="array" ref="G11">_xlfn._xlws.FILTER($D$58:$D$222,($A$58:$A$222=F$7)*($B$58:$B$222=$A11))</f>
        <v>4769</v>
      </c>
      <c r="H11" s="112">
        <f t="shared" si="1"/>
        <v>93.248060390018878</v>
      </c>
      <c r="I11" s="112"/>
      <c r="J11" s="111" cm="1">
        <f t="array" ref="J11">_xlfn._xlws.FILTER($E$58:$E$222,($A$58:$A$222=J$7)*($B$58:$B$222=$A11))</f>
        <v>4354</v>
      </c>
      <c r="K11" s="111" cm="1">
        <f t="array" ref="K11">_xlfn._xlws.FILTER($D$58:$D$222,($A$58:$A$222=J$7)*($B$58:$B$222=$A11))</f>
        <v>4765</v>
      </c>
      <c r="L11" s="112">
        <f t="shared" si="2"/>
        <v>91.374606505771254</v>
      </c>
      <c r="M11" s="112"/>
      <c r="N11" s="111" cm="1">
        <f t="array" ref="N11">_xlfn._xlws.FILTER($E$58:$E$222,($A$58:$A$222=N$7)*($B$58:$B$222=$A11))</f>
        <v>4465</v>
      </c>
      <c r="O11" s="111" cm="1">
        <f t="array" ref="O11">_xlfn._xlws.FILTER($D$58:$D$222,($A$58:$A$222=N$7)*($B$58:$B$222=$A11))</f>
        <v>4857</v>
      </c>
      <c r="P11" s="112">
        <f t="shared" si="3"/>
        <v>91.929174387481979</v>
      </c>
      <c r="Q11" s="112"/>
    </row>
    <row r="12" spans="1:17">
      <c r="A12" s="108" t="s">
        <v>18</v>
      </c>
      <c r="B12" s="111" cm="1">
        <f t="array" ref="B12">_xlfn._xlws.FILTER($E$58:$E$222,($A$58:$A$222=B$7)*($B$58:$B$222=$A12))</f>
        <v>2963</v>
      </c>
      <c r="C12" s="111" cm="1">
        <f t="array" ref="C12">_xlfn._xlws.FILTER($D$58:$D$222,($A$58:$A$222=B$7)*($B$58:$B$222=$A12))</f>
        <v>3168</v>
      </c>
      <c r="D12" s="112">
        <f t="shared" si="0"/>
        <v>93.529040404040416</v>
      </c>
      <c r="E12" s="112"/>
      <c r="F12" s="111" cm="1">
        <f t="array" ref="F12">_xlfn._xlws.FILTER($E$58:$E$222,($A$58:$A$222=F$7)*($B$58:$B$222=$A12))</f>
        <v>2979</v>
      </c>
      <c r="G12" s="111" cm="1">
        <f t="array" ref="G12">_xlfn._xlws.FILTER($D$58:$D$222,($A$58:$A$222=F$7)*($B$58:$B$222=$A12))</f>
        <v>3172</v>
      </c>
      <c r="H12" s="112">
        <f t="shared" si="1"/>
        <v>93.915510718789406</v>
      </c>
      <c r="I12" s="112"/>
      <c r="J12" s="111" cm="1">
        <f t="array" ref="J12">_xlfn._xlws.FILTER($E$58:$E$222,($A$58:$A$222=J$7)*($B$58:$B$222=$A12))</f>
        <v>2980</v>
      </c>
      <c r="K12" s="111" cm="1">
        <f t="array" ref="K12">_xlfn._xlws.FILTER($D$58:$D$222,($A$58:$A$222=J$7)*($B$58:$B$222=$A12))</f>
        <v>3156</v>
      </c>
      <c r="L12" s="112">
        <f t="shared" si="2"/>
        <v>94.423320659062099</v>
      </c>
      <c r="M12" s="112"/>
      <c r="N12" s="111" cm="1">
        <f t="array" ref="N12">_xlfn._xlws.FILTER($E$58:$E$222,($A$58:$A$222=N$7)*($B$58:$B$222=$A12))</f>
        <v>3006</v>
      </c>
      <c r="O12" s="111" cm="1">
        <f t="array" ref="O12">_xlfn._xlws.FILTER($D$58:$D$222,($A$58:$A$222=N$7)*($B$58:$B$222=$A12))</f>
        <v>3187</v>
      </c>
      <c r="P12" s="112">
        <f t="shared" si="3"/>
        <v>94.32067775337309</v>
      </c>
      <c r="Q12" s="112"/>
    </row>
    <row r="13" spans="1:17">
      <c r="A13" s="108" t="s">
        <v>126</v>
      </c>
      <c r="B13" s="111" cm="1">
        <f t="array" ref="B13">_xlfn._xlws.FILTER($E$58:$E$222,($A$58:$A$222=B$7)*($B$58:$B$222=$A13))</f>
        <v>12461</v>
      </c>
      <c r="C13" s="111" cm="1">
        <f t="array" ref="C13">_xlfn._xlws.FILTER($D$58:$D$222,($A$58:$A$222=B$7)*($B$58:$B$222=$A13))</f>
        <v>13468</v>
      </c>
      <c r="D13" s="112">
        <f t="shared" si="0"/>
        <v>92.523017523017529</v>
      </c>
      <c r="E13" s="112"/>
      <c r="F13" s="111" cm="1">
        <f t="array" ref="F13">_xlfn._xlws.FILTER($E$58:$E$222,($A$58:$A$222=F$7)*($B$58:$B$222=$A13))</f>
        <v>12533</v>
      </c>
      <c r="G13" s="111" cm="1">
        <f t="array" ref="G13">_xlfn._xlws.FILTER($D$58:$D$222,($A$58:$A$222=F$7)*($B$58:$B$222=$A13))</f>
        <v>13630</v>
      </c>
      <c r="H13" s="112">
        <f t="shared" si="1"/>
        <v>91.951577402787962</v>
      </c>
      <c r="I13" s="112"/>
      <c r="J13" s="111" cm="1">
        <f t="array" ref="J13">_xlfn._xlws.FILTER($E$58:$E$222,($A$58:$A$222=J$7)*($B$58:$B$222=$A13))</f>
        <v>13247</v>
      </c>
      <c r="K13" s="111" cm="1">
        <f t="array" ref="K13">_xlfn._xlws.FILTER($D$58:$D$222,($A$58:$A$222=J$7)*($B$58:$B$222=$A13))</f>
        <v>14194</v>
      </c>
      <c r="L13" s="112">
        <f t="shared" si="2"/>
        <v>93.32816683105537</v>
      </c>
      <c r="M13" s="112"/>
      <c r="N13" s="111" cm="1">
        <f t="array" ref="N13">_xlfn._xlws.FILTER($E$58:$E$222,($A$58:$A$222=N$7)*($B$58:$B$222=$A13))</f>
        <v>14066</v>
      </c>
      <c r="O13" s="111" cm="1">
        <f t="array" ref="O13">_xlfn._xlws.FILTER($D$58:$D$222,($A$58:$A$222=N$7)*($B$58:$B$222=$A13))</f>
        <v>15041</v>
      </c>
      <c r="P13" s="112">
        <f t="shared" si="3"/>
        <v>93.517718236819363</v>
      </c>
      <c r="Q13" s="112"/>
    </row>
    <row r="14" spans="1:17">
      <c r="A14" s="108" t="s">
        <v>19</v>
      </c>
      <c r="B14" s="111" cm="1">
        <f t="array" ref="B14">_xlfn._xlws.FILTER($E$58:$E$222,($A$58:$A$222=B$7)*($B$58:$B$222=$A14))</f>
        <v>1748</v>
      </c>
      <c r="C14" s="111" cm="1">
        <f t="array" ref="C14">_xlfn._xlws.FILTER($D$58:$D$222,($A$58:$A$222=B$7)*($B$58:$B$222=$A14))</f>
        <v>1943</v>
      </c>
      <c r="D14" s="112">
        <f t="shared" si="0"/>
        <v>89.963973237261968</v>
      </c>
      <c r="E14" s="112"/>
      <c r="F14" s="111" cm="1">
        <f t="array" ref="F14">_xlfn._xlws.FILTER($E$58:$E$222,($A$58:$A$222=F$7)*($B$58:$B$222=$A14))</f>
        <v>1741</v>
      </c>
      <c r="G14" s="111" cm="1">
        <f t="array" ref="G14">_xlfn._xlws.FILTER($D$58:$D$222,($A$58:$A$222=F$7)*($B$58:$B$222=$A14))</f>
        <v>1919</v>
      </c>
      <c r="H14" s="112">
        <f t="shared" si="1"/>
        <v>90.72433559145388</v>
      </c>
      <c r="I14" s="112"/>
      <c r="J14" s="111" cm="1">
        <f t="array" ref="J14">_xlfn._xlws.FILTER($E$58:$E$222,($A$58:$A$222=J$7)*($B$58:$B$222=$A14))</f>
        <v>1767</v>
      </c>
      <c r="K14" s="111" cm="1">
        <f t="array" ref="K14">_xlfn._xlws.FILTER($D$58:$D$222,($A$58:$A$222=J$7)*($B$58:$B$222=$A14))</f>
        <v>1955</v>
      </c>
      <c r="L14" s="112">
        <f t="shared" si="2"/>
        <v>90.38363171355499</v>
      </c>
      <c r="M14" s="112"/>
      <c r="N14" s="111" cm="1">
        <f t="array" ref="N14">_xlfn._xlws.FILTER($E$58:$E$222,($A$58:$A$222=N$7)*($B$58:$B$222=$A14))</f>
        <v>1881</v>
      </c>
      <c r="O14" s="111" cm="1">
        <f t="array" ref="O14">_xlfn._xlws.FILTER($D$58:$D$222,($A$58:$A$222=N$7)*($B$58:$B$222=$A14))</f>
        <v>2082</v>
      </c>
      <c r="P14" s="112">
        <f t="shared" si="3"/>
        <v>90.345821325648416</v>
      </c>
      <c r="Q14" s="112"/>
    </row>
    <row r="15" spans="1:17">
      <c r="A15" s="108" t="s">
        <v>20</v>
      </c>
      <c r="B15" s="111" cm="1">
        <f t="array" ref="B15">_xlfn._xlws.FILTER($E$58:$E$222,($A$58:$A$222=B$7)*($B$58:$B$222=$A15))</f>
        <v>5428</v>
      </c>
      <c r="C15" s="111" cm="1">
        <f t="array" ref="C15">_xlfn._xlws.FILTER($D$58:$D$222,($A$58:$A$222=B$7)*($B$58:$B$222=$A15))</f>
        <v>5830</v>
      </c>
      <c r="D15" s="112">
        <f t="shared" si="0"/>
        <v>93.104631217838758</v>
      </c>
      <c r="E15" s="112"/>
      <c r="F15" s="111" cm="1">
        <f t="array" ref="F15">_xlfn._xlws.FILTER($E$58:$E$222,($A$58:$A$222=F$7)*($B$58:$B$222=$A15))</f>
        <v>5622</v>
      </c>
      <c r="G15" s="111" cm="1">
        <f t="array" ref="G15">_xlfn._xlws.FILTER($D$58:$D$222,($A$58:$A$222=F$7)*($B$58:$B$222=$A15))</f>
        <v>6023</v>
      </c>
      <c r="H15" s="112">
        <f t="shared" si="1"/>
        <v>93.342188278266647</v>
      </c>
      <c r="I15" s="112"/>
      <c r="J15" s="111" cm="1">
        <f t="array" ref="J15">_xlfn._xlws.FILTER($E$58:$E$222,($A$58:$A$222=J$7)*($B$58:$B$222=$A15))</f>
        <v>5777</v>
      </c>
      <c r="K15" s="111" cm="1">
        <f t="array" ref="K15">_xlfn._xlws.FILTER($D$58:$D$222,($A$58:$A$222=J$7)*($B$58:$B$222=$A15))</f>
        <v>6146</v>
      </c>
      <c r="L15" s="112">
        <f t="shared" si="2"/>
        <v>93.996095021151973</v>
      </c>
      <c r="M15" s="112"/>
      <c r="N15" s="111" cm="1">
        <f t="array" ref="N15">_xlfn._xlws.FILTER($E$58:$E$222,($A$58:$A$222=N$7)*($B$58:$B$222=$A15))</f>
        <v>6011</v>
      </c>
      <c r="O15" s="111" cm="1">
        <f t="array" ref="O15">_xlfn._xlws.FILTER($D$58:$D$222,($A$58:$A$222=N$7)*($B$58:$B$222=$A15))</f>
        <v>6370</v>
      </c>
      <c r="P15" s="112">
        <f t="shared" si="3"/>
        <v>94.364207221350085</v>
      </c>
      <c r="Q15" s="112"/>
    </row>
    <row r="16" spans="1:17">
      <c r="A16" s="108" t="s">
        <v>21</v>
      </c>
      <c r="B16" s="111" cm="1">
        <f t="array" ref="B16">_xlfn._xlws.FILTER($E$58:$E$222,($A$58:$A$222=B$7)*($B$58:$B$222=$A16))</f>
        <v>4971</v>
      </c>
      <c r="C16" s="111" cm="1">
        <f t="array" ref="C16">_xlfn._xlws.FILTER($D$58:$D$222,($A$58:$A$222=B$7)*($B$58:$B$222=$A16))</f>
        <v>5529</v>
      </c>
      <c r="D16" s="112">
        <f t="shared" si="0"/>
        <v>89.907759088442745</v>
      </c>
      <c r="E16" s="112"/>
      <c r="F16" s="111" cm="1">
        <f t="array" ref="F16">_xlfn._xlws.FILTER($E$58:$E$222,($A$58:$A$222=F$7)*($B$58:$B$222=$A16))</f>
        <v>4942</v>
      </c>
      <c r="G16" s="111" cm="1">
        <f t="array" ref="G16">_xlfn._xlws.FILTER($D$58:$D$222,($A$58:$A$222=F$7)*($B$58:$B$222=$A16))</f>
        <v>5531</v>
      </c>
      <c r="H16" s="112">
        <f t="shared" si="1"/>
        <v>89.350931115530642</v>
      </c>
      <c r="I16" s="112"/>
      <c r="J16" s="111" cm="1">
        <f t="array" ref="J16">_xlfn._xlws.FILTER($E$58:$E$222,($A$58:$A$222=J$7)*($B$58:$B$222=$A16))</f>
        <v>5116</v>
      </c>
      <c r="K16" s="111" cm="1">
        <f t="array" ref="K16">_xlfn._xlws.FILTER($D$58:$D$222,($A$58:$A$222=J$7)*($B$58:$B$222=$A16))</f>
        <v>5725</v>
      </c>
      <c r="L16" s="112">
        <f t="shared" si="2"/>
        <v>89.362445414847159</v>
      </c>
      <c r="M16" s="112"/>
      <c r="N16" s="111" cm="1">
        <f t="array" ref="N16">_xlfn._xlws.FILTER($E$58:$E$222,($A$58:$A$222=N$7)*($B$58:$B$222=$A16))</f>
        <v>5365</v>
      </c>
      <c r="O16" s="111" cm="1">
        <f t="array" ref="O16">_xlfn._xlws.FILTER($D$58:$D$222,($A$58:$A$222=N$7)*($B$58:$B$222=$A16))</f>
        <v>5929</v>
      </c>
      <c r="P16" s="112">
        <f t="shared" si="3"/>
        <v>90.487434643278803</v>
      </c>
      <c r="Q16" s="112"/>
    </row>
    <row r="17" spans="1:18">
      <c r="A17" s="108" t="s">
        <v>22</v>
      </c>
      <c r="B17" s="111" cm="1">
        <f t="array" ref="B17">_xlfn._xlws.FILTER($E$58:$E$222,($A$58:$A$222=B$7)*($B$58:$B$222=$A17))</f>
        <v>4510</v>
      </c>
      <c r="C17" s="111" cm="1">
        <f t="array" ref="C17">_xlfn._xlws.FILTER($D$58:$D$222,($A$58:$A$222=B$7)*($B$58:$B$222=$A17))</f>
        <v>4956</v>
      </c>
      <c r="D17" s="112">
        <f t="shared" si="0"/>
        <v>91.000807102502009</v>
      </c>
      <c r="E17" s="112"/>
      <c r="F17" s="111" cm="1">
        <f t="array" ref="F17">_xlfn._xlws.FILTER($E$58:$E$222,($A$58:$A$222=F$7)*($B$58:$B$222=$A17))</f>
        <v>4554</v>
      </c>
      <c r="G17" s="111" cm="1">
        <f t="array" ref="G17">_xlfn._xlws.FILTER($D$58:$D$222,($A$58:$A$222=F$7)*($B$58:$B$222=$A17))</f>
        <v>4956</v>
      </c>
      <c r="H17" s="112">
        <f t="shared" si="1"/>
        <v>91.888619854721554</v>
      </c>
      <c r="I17" s="112"/>
      <c r="J17" s="111" cm="1">
        <f t="array" ref="J17">_xlfn._xlws.FILTER($E$58:$E$222,($A$58:$A$222=J$7)*($B$58:$B$222=$A17))</f>
        <v>4685</v>
      </c>
      <c r="K17" s="111" cm="1">
        <f t="array" ref="K17">_xlfn._xlws.FILTER($D$58:$D$222,($A$58:$A$222=J$7)*($B$58:$B$222=$A17))</f>
        <v>5070</v>
      </c>
      <c r="L17" s="112">
        <f t="shared" si="2"/>
        <v>92.406311637080861</v>
      </c>
      <c r="M17" s="112"/>
      <c r="N17" s="111" cm="1">
        <f t="array" ref="N17">_xlfn._xlws.FILTER($E$58:$E$222,($A$58:$A$222=N$7)*($B$58:$B$222=$A17))</f>
        <v>4740</v>
      </c>
      <c r="O17" s="111" cm="1">
        <f t="array" ref="O17">_xlfn._xlws.FILTER($D$58:$D$222,($A$58:$A$222=N$7)*($B$58:$B$222=$A17))</f>
        <v>5164</v>
      </c>
      <c r="P17" s="112">
        <f t="shared" si="3"/>
        <v>91.789310611928741</v>
      </c>
      <c r="Q17" s="112"/>
    </row>
    <row r="18" spans="1:18">
      <c r="A18" s="108" t="s">
        <v>23</v>
      </c>
      <c r="B18" s="111" cm="1">
        <f t="array" ref="B18">_xlfn._xlws.FILTER($E$58:$E$222,($A$58:$A$222=B$7)*($B$58:$B$222=$A18))</f>
        <v>4916</v>
      </c>
      <c r="C18" s="111" cm="1">
        <f t="array" ref="C18">_xlfn._xlws.FILTER($D$58:$D$222,($A$58:$A$222=B$7)*($B$58:$B$222=$A18))</f>
        <v>5086</v>
      </c>
      <c r="D18" s="112">
        <f t="shared" si="0"/>
        <v>96.657491152182459</v>
      </c>
      <c r="E18" s="112"/>
      <c r="F18" s="111" cm="1">
        <f t="array" ref="F18">_xlfn._xlws.FILTER($E$58:$E$222,($A$58:$A$222=F$7)*($B$58:$B$222=$A18))</f>
        <v>4964</v>
      </c>
      <c r="G18" s="111" cm="1">
        <f t="array" ref="G18">_xlfn._xlws.FILTER($D$58:$D$222,($A$58:$A$222=F$7)*($B$58:$B$222=$A18))</f>
        <v>5127</v>
      </c>
      <c r="H18" s="112">
        <f t="shared" si="1"/>
        <v>96.820752876926079</v>
      </c>
      <c r="I18" s="112"/>
      <c r="J18" s="111" cm="1">
        <f t="array" ref="J18">_xlfn._xlws.FILTER($E$58:$E$222,($A$58:$A$222=J$7)*($B$58:$B$222=$A18))</f>
        <v>5052</v>
      </c>
      <c r="K18" s="111" cm="1">
        <f t="array" ref="K18">_xlfn._xlws.FILTER($D$58:$D$222,($A$58:$A$222=J$7)*($B$58:$B$222=$A18))</f>
        <v>5231</v>
      </c>
      <c r="L18" s="112">
        <f t="shared" si="2"/>
        <v>96.578092142993683</v>
      </c>
      <c r="M18" s="112"/>
      <c r="N18" s="111" cm="1">
        <f t="array" ref="N18">_xlfn._xlws.FILTER($E$58:$E$222,($A$58:$A$222=N$7)*($B$58:$B$222=$A18))</f>
        <v>5066</v>
      </c>
      <c r="O18" s="111" cm="1">
        <f t="array" ref="O18">_xlfn._xlws.FILTER($D$58:$D$222,($A$58:$A$222=N$7)*($B$58:$B$222=$A18))</f>
        <v>5269</v>
      </c>
      <c r="P18" s="112">
        <f t="shared" si="3"/>
        <v>96.147276523059404</v>
      </c>
      <c r="Q18" s="112"/>
    </row>
    <row r="19" spans="1:18">
      <c r="A19" s="108" t="s">
        <v>24</v>
      </c>
      <c r="B19" s="111" cm="1">
        <f t="array" ref="B19">_xlfn._xlws.FILTER($E$58:$E$222,($A$58:$A$222=B$7)*($B$58:$B$222=$A19))</f>
        <v>3911</v>
      </c>
      <c r="C19" s="111" cm="1">
        <f t="array" ref="C19">_xlfn._xlws.FILTER($D$58:$D$222,($A$58:$A$222=B$7)*($B$58:$B$222=$A19))</f>
        <v>4160</v>
      </c>
      <c r="D19" s="112">
        <f t="shared" si="0"/>
        <v>94.01442307692308</v>
      </c>
      <c r="E19" s="112"/>
      <c r="F19" s="111" cm="1">
        <f t="array" ref="F19">_xlfn._xlws.FILTER($E$58:$E$222,($A$58:$A$222=F$7)*($B$58:$B$222=$A19))</f>
        <v>3988</v>
      </c>
      <c r="G19" s="111" cm="1">
        <f t="array" ref="G19">_xlfn._xlws.FILTER($D$58:$D$222,($A$58:$A$222=F$7)*($B$58:$B$222=$A19))</f>
        <v>4276</v>
      </c>
      <c r="H19" s="112">
        <f t="shared" si="1"/>
        <v>93.264733395696908</v>
      </c>
      <c r="I19" s="112"/>
      <c r="J19" s="111" cm="1">
        <f t="array" ref="J19">_xlfn._xlws.FILTER($E$58:$E$222,($A$58:$A$222=J$7)*($B$58:$B$222=$A19))</f>
        <v>4261</v>
      </c>
      <c r="K19" s="111" cm="1">
        <f t="array" ref="K19">_xlfn._xlws.FILTER($D$58:$D$222,($A$58:$A$222=J$7)*($B$58:$B$222=$A19))</f>
        <v>4489</v>
      </c>
      <c r="L19" s="112">
        <f t="shared" si="2"/>
        <v>94.92091779906437</v>
      </c>
      <c r="M19" s="112"/>
      <c r="N19" s="111" cm="1">
        <f t="array" ref="N19">_xlfn._xlws.FILTER($E$58:$E$222,($A$58:$A$222=N$7)*($B$58:$B$222=$A19))</f>
        <v>4361</v>
      </c>
      <c r="O19" s="111" cm="1">
        <f t="array" ref="O19">_xlfn._xlws.FILTER($D$58:$D$222,($A$58:$A$222=N$7)*($B$58:$B$222=$A19))</f>
        <v>4612</v>
      </c>
      <c r="P19" s="112">
        <f t="shared" si="3"/>
        <v>94.557675628794442</v>
      </c>
      <c r="Q19" s="112"/>
    </row>
    <row r="20" spans="1:18">
      <c r="A20" s="108" t="s">
        <v>25</v>
      </c>
      <c r="B20" s="111" cm="1">
        <f t="array" ref="B20">_xlfn._xlws.FILTER($E$58:$E$222,($A$58:$A$222=B$7)*($B$58:$B$222=$A20))</f>
        <v>5060</v>
      </c>
      <c r="C20" s="111" cm="1">
        <f t="array" ref="C20">_xlfn._xlws.FILTER($D$58:$D$222,($A$58:$A$222=B$7)*($B$58:$B$222=$A20))</f>
        <v>5206</v>
      </c>
      <c r="D20" s="112">
        <f t="shared" si="0"/>
        <v>97.195543603534389</v>
      </c>
      <c r="E20" s="112"/>
      <c r="F20" s="111" cm="1">
        <f t="array" ref="F20">_xlfn._xlws.FILTER($E$58:$E$222,($A$58:$A$222=F$7)*($B$58:$B$222=$A20))</f>
        <v>5051</v>
      </c>
      <c r="G20" s="111" cm="1">
        <f t="array" ref="G20">_xlfn._xlws.FILTER($D$58:$D$222,($A$58:$A$222=F$7)*($B$58:$B$222=$A20))</f>
        <v>5205</v>
      </c>
      <c r="H20" s="112">
        <f t="shared" si="1"/>
        <v>97.041306436119115</v>
      </c>
      <c r="I20" s="112"/>
      <c r="J20" s="111" cm="1">
        <f t="array" ref="J20">_xlfn._xlws.FILTER($E$58:$E$222,($A$58:$A$222=J$7)*($B$58:$B$222=$A20))</f>
        <v>5063</v>
      </c>
      <c r="K20" s="111" cm="1">
        <f t="array" ref="K20">_xlfn._xlws.FILTER($D$58:$D$222,($A$58:$A$222=J$7)*($B$58:$B$222=$A20))</f>
        <v>5215</v>
      </c>
      <c r="L20" s="112">
        <f t="shared" si="2"/>
        <v>97.085330776605943</v>
      </c>
      <c r="M20" s="112"/>
      <c r="N20" s="111" cm="1">
        <f t="array" ref="N20">_xlfn._xlws.FILTER($E$58:$E$222,($A$58:$A$222=N$7)*($B$58:$B$222=$A20))</f>
        <v>5156</v>
      </c>
      <c r="O20" s="111" cm="1">
        <f t="array" ref="O20">_xlfn._xlws.FILTER($D$58:$D$222,($A$58:$A$222=N$7)*($B$58:$B$222=$A20))</f>
        <v>5322</v>
      </c>
      <c r="P20" s="112">
        <f t="shared" si="3"/>
        <v>96.880871852686951</v>
      </c>
      <c r="Q20" s="112"/>
    </row>
    <row r="21" spans="1:18">
      <c r="A21" s="108" t="s">
        <v>26</v>
      </c>
      <c r="B21" s="111" cm="1">
        <f t="array" ref="B21">_xlfn._xlws.FILTER($E$58:$E$222,($A$58:$A$222=B$7)*($B$58:$B$222=$A21))</f>
        <v>5905</v>
      </c>
      <c r="C21" s="111" cm="1">
        <f t="array" ref="C21">_xlfn._xlws.FILTER($D$58:$D$222,($A$58:$A$222=B$7)*($B$58:$B$222=$A21))</f>
        <v>6431</v>
      </c>
      <c r="D21" s="112">
        <f t="shared" si="0"/>
        <v>91.820867672212728</v>
      </c>
      <c r="E21" s="112"/>
      <c r="F21" s="111" cm="1">
        <f t="array" ref="F21">_xlfn._xlws.FILTER($E$58:$E$222,($A$58:$A$222=F$7)*($B$58:$B$222=$A21))</f>
        <v>6041</v>
      </c>
      <c r="G21" s="111" cm="1">
        <f t="array" ref="G21">_xlfn._xlws.FILTER($D$58:$D$222,($A$58:$A$222=F$7)*($B$58:$B$222=$A21))</f>
        <v>6602</v>
      </c>
      <c r="H21" s="112">
        <f t="shared" si="1"/>
        <v>91.502574977279622</v>
      </c>
      <c r="I21" s="112"/>
      <c r="J21" s="111" cm="1">
        <f t="array" ref="J21">_xlfn._xlws.FILTER($E$58:$E$222,($A$58:$A$222=J$7)*($B$58:$B$222=$A21))</f>
        <v>6187</v>
      </c>
      <c r="K21" s="111" cm="1">
        <f t="array" ref="K21">_xlfn._xlws.FILTER($D$58:$D$222,($A$58:$A$222=J$7)*($B$58:$B$222=$A21))</f>
        <v>6773</v>
      </c>
      <c r="L21" s="112">
        <f t="shared" si="2"/>
        <v>91.347999409419756</v>
      </c>
      <c r="M21" s="112"/>
      <c r="N21" s="111" cm="1">
        <f t="array" ref="N21">_xlfn._xlws.FILTER($E$58:$E$222,($A$58:$A$222=N$7)*($B$58:$B$222=$A21))</f>
        <v>6469</v>
      </c>
      <c r="O21" s="111" cm="1">
        <f t="array" ref="O21">_xlfn._xlws.FILTER($D$58:$D$222,($A$58:$A$222=N$7)*($B$58:$B$222=$A21))</f>
        <v>7053</v>
      </c>
      <c r="P21" s="112">
        <f t="shared" si="3"/>
        <v>91.719835530979722</v>
      </c>
      <c r="Q21" s="112"/>
    </row>
    <row r="22" spans="1:18">
      <c r="A22" s="108" t="s">
        <v>27</v>
      </c>
      <c r="B22" s="111" cm="1">
        <f t="array" ref="B22">_xlfn._xlws.FILTER($E$58:$E$222,($A$58:$A$222=B$7)*($B$58:$B$222=$A22))</f>
        <v>13650</v>
      </c>
      <c r="C22" s="111" cm="1">
        <f t="array" ref="C22">_xlfn._xlws.FILTER($D$58:$D$222,($A$58:$A$222=B$7)*($B$58:$B$222=$A22))</f>
        <v>14995</v>
      </c>
      <c r="D22" s="112">
        <f t="shared" si="0"/>
        <v>91.030343447815937</v>
      </c>
      <c r="E22" s="112"/>
      <c r="F22" s="111" cm="1">
        <f t="array" ref="F22">_xlfn._xlws.FILTER($E$58:$E$222,($A$58:$A$222=F$7)*($B$58:$B$222=$A22))</f>
        <v>13787</v>
      </c>
      <c r="G22" s="111" cm="1">
        <f t="array" ref="G22">_xlfn._xlws.FILTER($D$58:$D$222,($A$58:$A$222=F$7)*($B$58:$B$222=$A22))</f>
        <v>15120</v>
      </c>
      <c r="H22" s="112">
        <f t="shared" si="1"/>
        <v>91.183862433862444</v>
      </c>
      <c r="I22" s="112"/>
      <c r="J22" s="111" cm="1">
        <f t="array" ref="J22">_xlfn._xlws.FILTER($E$58:$E$222,($A$58:$A$222=J$7)*($B$58:$B$222=$A22))</f>
        <v>14132</v>
      </c>
      <c r="K22" s="111" cm="1">
        <f t="array" ref="K22">_xlfn._xlws.FILTER($D$58:$D$222,($A$58:$A$222=J$7)*($B$58:$B$222=$A22))</f>
        <v>15501</v>
      </c>
      <c r="L22" s="112">
        <f t="shared" si="2"/>
        <v>91.168311721824409</v>
      </c>
      <c r="M22" s="112"/>
      <c r="N22" s="111" cm="1">
        <f t="array" ref="N22">_xlfn._xlws.FILTER($E$58:$E$222,($A$58:$A$222=N$7)*($B$58:$B$222=$A22))</f>
        <v>14534</v>
      </c>
      <c r="O22" s="111" cm="1">
        <f t="array" ref="O22">_xlfn._xlws.FILTER($D$58:$D$222,($A$58:$A$222=N$7)*($B$58:$B$222=$A22))</f>
        <v>16001</v>
      </c>
      <c r="P22" s="112">
        <f t="shared" si="3"/>
        <v>90.8318230110618</v>
      </c>
      <c r="Q22" s="112"/>
    </row>
    <row r="23" spans="1:18">
      <c r="A23" s="108" t="s">
        <v>28</v>
      </c>
      <c r="B23" s="111" cm="1">
        <f t="array" ref="B23">_xlfn._xlws.FILTER($E$58:$E$222,($A$58:$A$222=B$7)*($B$58:$B$222=$A23))</f>
        <v>18175</v>
      </c>
      <c r="C23" s="111" cm="1">
        <f t="array" ref="C23">_xlfn._xlws.FILTER($D$58:$D$222,($A$58:$A$222=B$7)*($B$58:$B$222=$A23))</f>
        <v>20073</v>
      </c>
      <c r="D23" s="112">
        <f t="shared" si="0"/>
        <v>90.544512529268175</v>
      </c>
      <c r="E23" s="112"/>
      <c r="F23" s="111" cm="1">
        <f t="array" ref="F23">_xlfn._xlws.FILTER($E$58:$E$222,($A$58:$A$222=F$7)*($B$58:$B$222=$A23))</f>
        <v>18627</v>
      </c>
      <c r="G23" s="111" cm="1">
        <f t="array" ref="G23">_xlfn._xlws.FILTER($D$58:$D$222,($A$58:$A$222=F$7)*($B$58:$B$222=$A23))</f>
        <v>20424</v>
      </c>
      <c r="H23" s="112">
        <f t="shared" si="1"/>
        <v>91.201527614571091</v>
      </c>
      <c r="I23" s="112"/>
      <c r="J23" s="111" cm="1">
        <f t="array" ref="J23">_xlfn._xlws.FILTER($E$58:$E$222,($A$58:$A$222=J$7)*($B$58:$B$222=$A23))</f>
        <v>19307</v>
      </c>
      <c r="K23" s="111" cm="1">
        <f t="array" ref="K23">_xlfn._xlws.FILTER($D$58:$D$222,($A$58:$A$222=J$7)*($B$58:$B$222=$A23))</f>
        <v>21261</v>
      </c>
      <c r="L23" s="112">
        <f t="shared" si="2"/>
        <v>90.809463336625754</v>
      </c>
      <c r="M23" s="112"/>
      <c r="N23" s="111" cm="1">
        <f t="array" ref="N23">_xlfn._xlws.FILTER($E$58:$E$222,($A$58:$A$222=N$7)*($B$58:$B$222=$A23))</f>
        <v>20104</v>
      </c>
      <c r="O23" s="111" cm="1">
        <f t="array" ref="O23">_xlfn._xlws.FILTER($D$58:$D$222,($A$58:$A$222=N$7)*($B$58:$B$222=$A23))</f>
        <v>21913</v>
      </c>
      <c r="P23" s="112">
        <f t="shared" si="3"/>
        <v>91.744626477433485</v>
      </c>
      <c r="Q23" s="112"/>
      <c r="R23" s="113"/>
    </row>
    <row r="24" spans="1:18">
      <c r="A24" s="108" t="s">
        <v>29</v>
      </c>
      <c r="B24" s="111" cm="1">
        <f t="array" ref="B24">_xlfn._xlws.FILTER($E$58:$E$222,($A$58:$A$222=B$7)*($B$58:$B$222=$A24))</f>
        <v>8866</v>
      </c>
      <c r="C24" s="111" cm="1">
        <f t="array" ref="C24">_xlfn._xlws.FILTER($D$58:$D$222,($A$58:$A$222=B$7)*($B$58:$B$222=$A24))</f>
        <v>9570</v>
      </c>
      <c r="D24" s="112">
        <f t="shared" si="0"/>
        <v>92.643678160919535</v>
      </c>
      <c r="E24" s="112"/>
      <c r="F24" s="111" cm="1">
        <f t="array" ref="F24">_xlfn._xlws.FILTER($E$58:$E$222,($A$58:$A$222=F$7)*($B$58:$B$222=$A24))</f>
        <v>8924</v>
      </c>
      <c r="G24" s="111" cm="1">
        <f t="array" ref="G24">_xlfn._xlws.FILTER($D$58:$D$222,($A$58:$A$222=F$7)*($B$58:$B$222=$A24))</f>
        <v>9625</v>
      </c>
      <c r="H24" s="112">
        <f t="shared" si="1"/>
        <v>92.716883116883125</v>
      </c>
      <c r="I24" s="112"/>
      <c r="J24" s="111" cm="1">
        <f t="array" ref="J24">_xlfn._xlws.FILTER($E$58:$E$222,($A$58:$A$222=J$7)*($B$58:$B$222=$A24))</f>
        <v>9107</v>
      </c>
      <c r="K24" s="111" cm="1">
        <f t="array" ref="K24">_xlfn._xlws.FILTER($D$58:$D$222,($A$58:$A$222=J$7)*($B$58:$B$222=$A24))</f>
        <v>9793</v>
      </c>
      <c r="L24" s="112">
        <f t="shared" si="2"/>
        <v>92.994996426018588</v>
      </c>
      <c r="M24" s="112"/>
      <c r="N24" s="111" cm="1">
        <f t="array" ref="N24">_xlfn._xlws.FILTER($E$58:$E$222,($A$58:$A$222=N$7)*($B$58:$B$222=$A24))</f>
        <v>9386</v>
      </c>
      <c r="O24" s="111" cm="1">
        <f t="array" ref="O24">_xlfn._xlws.FILTER($D$58:$D$222,($A$58:$A$222=N$7)*($B$58:$B$222=$A24))</f>
        <v>10003</v>
      </c>
      <c r="P24" s="112">
        <f t="shared" si="3"/>
        <v>93.831850444866532</v>
      </c>
      <c r="Q24" s="112"/>
    </row>
    <row r="25" spans="1:18">
      <c r="A25" s="108" t="s">
        <v>30</v>
      </c>
      <c r="B25" s="111" cm="1">
        <f t="array" ref="B25">_xlfn._xlws.FILTER($E$58:$E$222,($A$58:$A$222=B$7)*($B$58:$B$222=$A25))</f>
        <v>2847</v>
      </c>
      <c r="C25" s="111" cm="1">
        <f t="array" ref="C25">_xlfn._xlws.FILTER($D$58:$D$222,($A$58:$A$222=B$7)*($B$58:$B$222=$A25))</f>
        <v>3051</v>
      </c>
      <c r="D25" s="112">
        <f t="shared" si="0"/>
        <v>93.313667649950844</v>
      </c>
      <c r="E25" s="112"/>
      <c r="F25" s="111" cm="1">
        <f t="array" ref="F25">_xlfn._xlws.FILTER($E$58:$E$222,($A$58:$A$222=F$7)*($B$58:$B$222=$A25))</f>
        <v>2935</v>
      </c>
      <c r="G25" s="111" cm="1">
        <f t="array" ref="G25">_xlfn._xlws.FILTER($D$58:$D$222,($A$58:$A$222=F$7)*($B$58:$B$222=$A25))</f>
        <v>3128</v>
      </c>
      <c r="H25" s="112">
        <f t="shared" si="1"/>
        <v>93.829923273657286</v>
      </c>
      <c r="I25" s="112"/>
      <c r="J25" s="111" cm="1">
        <f t="array" ref="J25">_xlfn._xlws.FILTER($E$58:$E$222,($A$58:$A$222=J$7)*($B$58:$B$222=$A25))</f>
        <v>2902</v>
      </c>
      <c r="K25" s="111" cm="1">
        <f t="array" ref="K25">_xlfn._xlws.FILTER($D$58:$D$222,($A$58:$A$222=J$7)*($B$58:$B$222=$A25))</f>
        <v>3135</v>
      </c>
      <c r="L25" s="112">
        <f t="shared" si="2"/>
        <v>92.567783094098885</v>
      </c>
      <c r="M25" s="112"/>
      <c r="N25" s="111" cm="1">
        <f t="array" ref="N25">_xlfn._xlws.FILTER($E$58:$E$222,($A$58:$A$222=N$7)*($B$58:$B$222=$A25))</f>
        <v>3000</v>
      </c>
      <c r="O25" s="111" cm="1">
        <f t="array" ref="O25">_xlfn._xlws.FILTER($D$58:$D$222,($A$58:$A$222=N$7)*($B$58:$B$222=$A25))</f>
        <v>3210</v>
      </c>
      <c r="P25" s="112">
        <f t="shared" si="3"/>
        <v>93.45794392523365</v>
      </c>
      <c r="Q25" s="112"/>
    </row>
    <row r="26" spans="1:18">
      <c r="A26" s="108" t="s">
        <v>31</v>
      </c>
      <c r="B26" s="111" cm="1">
        <f t="array" ref="B26">_xlfn._xlws.FILTER($E$58:$E$222,($A$58:$A$222=B$7)*($B$58:$B$222=$A26))</f>
        <v>3458</v>
      </c>
      <c r="C26" s="111" cm="1">
        <f t="array" ref="C26">_xlfn._xlws.FILTER($D$58:$D$222,($A$58:$A$222=B$7)*($B$58:$B$222=$A26))</f>
        <v>3690</v>
      </c>
      <c r="D26" s="112">
        <f t="shared" si="0"/>
        <v>93.71273712737127</v>
      </c>
      <c r="E26" s="112"/>
      <c r="F26" s="111" cm="1">
        <f t="array" ref="F26">_xlfn._xlws.FILTER($E$58:$E$222,($A$58:$A$222=F$7)*($B$58:$B$222=$A26))</f>
        <v>3541</v>
      </c>
      <c r="G26" s="111" cm="1">
        <f t="array" ref="G26">_xlfn._xlws.FILTER($D$58:$D$222,($A$58:$A$222=F$7)*($B$58:$B$222=$A26))</f>
        <v>3793</v>
      </c>
      <c r="H26" s="112">
        <f t="shared" si="1"/>
        <v>93.356182441339314</v>
      </c>
      <c r="I26" s="112"/>
      <c r="J26" s="111" cm="1">
        <f t="array" ref="J26">_xlfn._xlws.FILTER($E$58:$E$222,($A$58:$A$222=J$7)*($B$58:$B$222=$A26))</f>
        <v>3682</v>
      </c>
      <c r="K26" s="111" cm="1">
        <f t="array" ref="K26">_xlfn._xlws.FILTER($D$58:$D$222,($A$58:$A$222=J$7)*($B$58:$B$222=$A26))</f>
        <v>3895</v>
      </c>
      <c r="L26" s="112">
        <f t="shared" si="2"/>
        <v>94.531450577663662</v>
      </c>
      <c r="M26" s="112"/>
      <c r="N26" s="111" cm="1">
        <f t="array" ref="N26">_xlfn._xlws.FILTER($E$58:$E$222,($A$58:$A$222=N$7)*($B$58:$B$222=$A26))</f>
        <v>3816</v>
      </c>
      <c r="O26" s="111" cm="1">
        <f t="array" ref="O26">_xlfn._xlws.FILTER($D$58:$D$222,($A$58:$A$222=N$7)*($B$58:$B$222=$A26))</f>
        <v>4058</v>
      </c>
      <c r="P26" s="112">
        <f t="shared" si="3"/>
        <v>94.036471168063088</v>
      </c>
      <c r="Q26" s="112"/>
    </row>
    <row r="27" spans="1:18">
      <c r="A27" s="108" t="s">
        <v>32</v>
      </c>
      <c r="B27" s="111" cm="1">
        <f t="array" ref="B27">_xlfn._xlws.FILTER($E$58:$E$222,($A$58:$A$222=B$7)*($B$58:$B$222=$A27))</f>
        <v>3278</v>
      </c>
      <c r="C27" s="111" cm="1">
        <f t="array" ref="C27">_xlfn._xlws.FILTER($D$58:$D$222,($A$58:$A$222=B$7)*($B$58:$B$222=$A27))</f>
        <v>3572</v>
      </c>
      <c r="D27" s="112">
        <f t="shared" si="0"/>
        <v>91.769316909294517</v>
      </c>
      <c r="E27" s="112"/>
      <c r="F27" s="111" cm="1">
        <f t="array" ref="F27">_xlfn._xlws.FILTER($E$58:$E$222,($A$58:$A$222=F$7)*($B$58:$B$222=$A27))</f>
        <v>3313</v>
      </c>
      <c r="G27" s="111" cm="1">
        <f t="array" ref="G27">_xlfn._xlws.FILTER($D$58:$D$222,($A$58:$A$222=F$7)*($B$58:$B$222=$A27))</f>
        <v>3618</v>
      </c>
      <c r="H27" s="112">
        <f t="shared" si="1"/>
        <v>91.569928137092319</v>
      </c>
      <c r="I27" s="112"/>
      <c r="J27" s="111" cm="1">
        <f t="array" ref="J27">_xlfn._xlws.FILTER($E$58:$E$222,($A$58:$A$222=J$7)*($B$58:$B$222=$A27))</f>
        <v>3459</v>
      </c>
      <c r="K27" s="111" cm="1">
        <f t="array" ref="K27">_xlfn._xlws.FILTER($D$58:$D$222,($A$58:$A$222=J$7)*($B$58:$B$222=$A27))</f>
        <v>3659</v>
      </c>
      <c r="L27" s="112">
        <f t="shared" si="2"/>
        <v>94.534025690079261</v>
      </c>
      <c r="M27" s="112"/>
      <c r="N27" s="111" cm="1">
        <f t="array" ref="N27">_xlfn._xlws.FILTER($E$58:$E$222,($A$58:$A$222=N$7)*($B$58:$B$222=$A27))</f>
        <v>3628</v>
      </c>
      <c r="O27" s="111" cm="1">
        <f t="array" ref="O27">_xlfn._xlws.FILTER($D$58:$D$222,($A$58:$A$222=N$7)*($B$58:$B$222=$A27))</f>
        <v>3897</v>
      </c>
      <c r="P27" s="112">
        <f t="shared" si="3"/>
        <v>93.097254298178086</v>
      </c>
      <c r="Q27" s="112"/>
    </row>
    <row r="28" spans="1:18">
      <c r="A28" s="108" t="s">
        <v>33</v>
      </c>
      <c r="B28" s="111" cm="1">
        <f t="array" ref="B28">_xlfn._xlws.FILTER($E$58:$E$222,($A$58:$A$222=B$7)*($B$58:$B$222=$A28))</f>
        <v>1006</v>
      </c>
      <c r="C28" s="111" cm="1">
        <f t="array" ref="C28">_xlfn._xlws.FILTER($D$58:$D$222,($A$58:$A$222=B$7)*($B$58:$B$222=$A28))</f>
        <v>1052</v>
      </c>
      <c r="D28" s="112">
        <f t="shared" si="0"/>
        <v>95.627376425855516</v>
      </c>
      <c r="E28" s="112"/>
      <c r="F28" s="111" cm="1">
        <f t="array" ref="F28">_xlfn._xlws.FILTER($E$58:$E$222,($A$58:$A$222=F$7)*($B$58:$B$222=$A28))</f>
        <v>1019</v>
      </c>
      <c r="G28" s="111" cm="1">
        <f t="array" ref="G28">_xlfn._xlws.FILTER($D$58:$D$222,($A$58:$A$222=F$7)*($B$58:$B$222=$A28))</f>
        <v>1059</v>
      </c>
      <c r="H28" s="112">
        <f t="shared" si="1"/>
        <v>96.22285174693107</v>
      </c>
      <c r="I28" s="112"/>
      <c r="J28" s="111" cm="1">
        <f t="array" ref="J28">_xlfn._xlws.FILTER($E$58:$E$222,($A$58:$A$222=J$7)*($B$58:$B$222=$A28))</f>
        <v>1044</v>
      </c>
      <c r="K28" s="111" cm="1">
        <f t="array" ref="K28">_xlfn._xlws.FILTER($D$58:$D$222,($A$58:$A$222=J$7)*($B$58:$B$222=$A28))</f>
        <v>1074</v>
      </c>
      <c r="L28" s="112">
        <f t="shared" si="2"/>
        <v>97.206703910614522</v>
      </c>
      <c r="M28" s="112"/>
      <c r="N28" s="111" cm="1">
        <f t="array" ref="N28">_xlfn._xlws.FILTER($E$58:$E$222,($A$58:$A$222=N$7)*($B$58:$B$222=$A28))</f>
        <v>1069</v>
      </c>
      <c r="O28" s="111" cm="1">
        <f t="array" ref="O28">_xlfn._xlws.FILTER($D$58:$D$222,($A$58:$A$222=N$7)*($B$58:$B$222=$A28))</f>
        <v>1104</v>
      </c>
      <c r="P28" s="112">
        <f t="shared" si="3"/>
        <v>96.829710144927532</v>
      </c>
      <c r="Q28" s="112"/>
    </row>
    <row r="29" spans="1:18">
      <c r="A29" s="108" t="s">
        <v>34</v>
      </c>
      <c r="B29" s="111" cm="1">
        <f t="array" ref="B29">_xlfn._xlws.FILTER($E$58:$E$222,($A$58:$A$222=B$7)*($B$58:$B$222=$A29))</f>
        <v>5164</v>
      </c>
      <c r="C29" s="111" cm="1">
        <f t="array" ref="C29">_xlfn._xlws.FILTER($D$58:$D$222,($A$58:$A$222=B$7)*($B$58:$B$222=$A29))</f>
        <v>5730</v>
      </c>
      <c r="D29" s="112">
        <f t="shared" si="0"/>
        <v>90.122164048865613</v>
      </c>
      <c r="E29" s="112"/>
      <c r="F29" s="111" cm="1">
        <f t="array" ref="F29">_xlfn._xlws.FILTER($E$58:$E$222,($A$58:$A$222=F$7)*($B$58:$B$222=$A29))</f>
        <v>5255</v>
      </c>
      <c r="G29" s="111" cm="1">
        <f t="array" ref="G29">_xlfn._xlws.FILTER($D$58:$D$222,($A$58:$A$222=F$7)*($B$58:$B$222=$A29))</f>
        <v>5785</v>
      </c>
      <c r="H29" s="112">
        <f t="shared" si="1"/>
        <v>90.838375108038022</v>
      </c>
      <c r="I29" s="112"/>
      <c r="J29" s="111" cm="1">
        <f t="array" ref="J29">_xlfn._xlws.FILTER($E$58:$E$222,($A$58:$A$222=J$7)*($B$58:$B$222=$A29))</f>
        <v>5404</v>
      </c>
      <c r="K29" s="111" cm="1">
        <f t="array" ref="K29">_xlfn._xlws.FILTER($D$58:$D$222,($A$58:$A$222=J$7)*($B$58:$B$222=$A29))</f>
        <v>5872</v>
      </c>
      <c r="L29" s="112">
        <f t="shared" si="2"/>
        <v>92.029972752043605</v>
      </c>
      <c r="M29" s="112"/>
      <c r="N29" s="111" cm="1">
        <f t="array" ref="N29">_xlfn._xlws.FILTER($E$58:$E$222,($A$58:$A$222=N$7)*($B$58:$B$222=$A29))</f>
        <v>5491</v>
      </c>
      <c r="O29" s="111" cm="1">
        <f t="array" ref="O29">_xlfn._xlws.FILTER($D$58:$D$222,($A$58:$A$222=N$7)*($B$58:$B$222=$A29))</f>
        <v>5990</v>
      </c>
      <c r="P29" s="112">
        <f t="shared" si="3"/>
        <v>91.669449081802995</v>
      </c>
      <c r="Q29" s="112"/>
    </row>
    <row r="30" spans="1:18">
      <c r="A30" s="108" t="s">
        <v>35</v>
      </c>
      <c r="B30" s="111" cm="1">
        <f t="array" ref="B30">_xlfn._xlws.FILTER($E$58:$E$222,($A$58:$A$222=B$7)*($B$58:$B$222=$A30))</f>
        <v>13896</v>
      </c>
      <c r="C30" s="111" cm="1">
        <f t="array" ref="C30">_xlfn._xlws.FILTER($D$58:$D$222,($A$58:$A$222=B$7)*($B$58:$B$222=$A30))</f>
        <v>15194</v>
      </c>
      <c r="D30" s="112">
        <f t="shared" si="0"/>
        <v>91.457154139792024</v>
      </c>
      <c r="E30" s="112"/>
      <c r="F30" s="111" cm="1">
        <f t="array" ref="F30">_xlfn._xlws.FILTER($E$58:$E$222,($A$58:$A$222=F$7)*($B$58:$B$222=$A30))</f>
        <v>13828</v>
      </c>
      <c r="G30" s="111" cm="1">
        <f t="array" ref="G30">_xlfn._xlws.FILTER($D$58:$D$222,($A$58:$A$222=F$7)*($B$58:$B$222=$A30))</f>
        <v>15331</v>
      </c>
      <c r="H30" s="112">
        <f t="shared" si="1"/>
        <v>90.196334224773338</v>
      </c>
      <c r="I30" s="112"/>
      <c r="J30" s="111" cm="1">
        <f t="array" ref="J30">_xlfn._xlws.FILTER($E$58:$E$222,($A$58:$A$222=J$7)*($B$58:$B$222=$A30))</f>
        <v>14382</v>
      </c>
      <c r="K30" s="111" cm="1">
        <f t="array" ref="K30">_xlfn._xlws.FILTER($D$58:$D$222,($A$58:$A$222=J$7)*($B$58:$B$222=$A30))</f>
        <v>15811</v>
      </c>
      <c r="L30" s="112">
        <f t="shared" si="2"/>
        <v>90.961988489026623</v>
      </c>
      <c r="M30" s="112"/>
      <c r="N30" s="111" cm="1">
        <f t="array" ref="N30">_xlfn._xlws.FILTER($E$58:$E$222,($A$58:$A$222=N$7)*($B$58:$B$222=$A30))</f>
        <v>14680</v>
      </c>
      <c r="O30" s="111" cm="1">
        <f t="array" ref="O30">_xlfn._xlws.FILTER($D$58:$D$222,($A$58:$A$222=N$7)*($B$58:$B$222=$A30))</f>
        <v>15973</v>
      </c>
      <c r="P30" s="112">
        <f t="shared" si="3"/>
        <v>91.905089839103482</v>
      </c>
      <c r="Q30" s="112"/>
    </row>
    <row r="31" spans="1:18">
      <c r="A31" s="108" t="s">
        <v>36</v>
      </c>
      <c r="B31" s="111" cm="1">
        <f t="array" ref="B31">_xlfn._xlws.FILTER($E$58:$E$222,($A$58:$A$222=B$7)*($B$58:$B$222=$A31))</f>
        <v>774</v>
      </c>
      <c r="C31" s="111" cm="1">
        <f t="array" ref="C31">_xlfn._xlws.FILTER($D$58:$D$222,($A$58:$A$222=B$7)*($B$58:$B$222=$A31))</f>
        <v>829</v>
      </c>
      <c r="D31" s="112">
        <f t="shared" si="0"/>
        <v>93.365500603136311</v>
      </c>
      <c r="E31" s="112"/>
      <c r="F31" s="111" cm="1">
        <f t="array" ref="F31">_xlfn._xlws.FILTER($E$58:$E$222,($A$58:$A$222=F$7)*($B$58:$B$222=$A31))</f>
        <v>807</v>
      </c>
      <c r="G31" s="111" cm="1">
        <f t="array" ref="G31">_xlfn._xlws.FILTER($D$58:$D$222,($A$58:$A$222=F$7)*($B$58:$B$222=$A31))</f>
        <v>859</v>
      </c>
      <c r="H31" s="112">
        <f t="shared" si="1"/>
        <v>93.946449359720603</v>
      </c>
      <c r="I31" s="112"/>
      <c r="J31" s="111" cm="1">
        <f t="array" ref="J31">_xlfn._xlws.FILTER($E$58:$E$222,($A$58:$A$222=J$7)*($B$58:$B$222=$A31))</f>
        <v>844</v>
      </c>
      <c r="K31" s="111" cm="1">
        <f t="array" ref="K31">_xlfn._xlws.FILTER($D$58:$D$222,($A$58:$A$222=J$7)*($B$58:$B$222=$A31))</f>
        <v>896</v>
      </c>
      <c r="L31" s="112">
        <f t="shared" si="2"/>
        <v>94.196428571428569</v>
      </c>
      <c r="M31" s="112"/>
      <c r="N31" s="111" cm="1">
        <f t="array" ref="N31">_xlfn._xlws.FILTER($E$58:$E$222,($A$58:$A$222=N$7)*($B$58:$B$222=$A31))</f>
        <v>860</v>
      </c>
      <c r="O31" s="111" cm="1">
        <f t="array" ref="O31">_xlfn._xlws.FILTER($D$58:$D$222,($A$58:$A$222=N$7)*($B$58:$B$222=$A31))</f>
        <v>920</v>
      </c>
      <c r="P31" s="112">
        <f t="shared" si="3"/>
        <v>93.478260869565219</v>
      </c>
      <c r="Q31" s="112"/>
    </row>
    <row r="32" spans="1:18">
      <c r="A32" s="108" t="s">
        <v>37</v>
      </c>
      <c r="B32" s="111" cm="1">
        <f t="array" ref="B32">_xlfn._xlws.FILTER($E$58:$E$222,($A$58:$A$222=B$7)*($B$58:$B$222=$A32))</f>
        <v>5105</v>
      </c>
      <c r="C32" s="111" cm="1">
        <f t="array" ref="C32">_xlfn._xlws.FILTER($D$58:$D$222,($A$58:$A$222=B$7)*($B$58:$B$222=$A32))</f>
        <v>5454</v>
      </c>
      <c r="D32" s="112">
        <f t="shared" si="0"/>
        <v>93.601026769343605</v>
      </c>
      <c r="E32" s="112"/>
      <c r="F32" s="111" cm="1">
        <f t="array" ref="F32">_xlfn._xlws.FILTER($E$58:$E$222,($A$58:$A$222=F$7)*($B$58:$B$222=$A32))</f>
        <v>5148</v>
      </c>
      <c r="G32" s="111" cm="1">
        <f t="array" ref="G32">_xlfn._xlws.FILTER($D$58:$D$222,($A$58:$A$222=F$7)*($B$58:$B$222=$A32))</f>
        <v>5497</v>
      </c>
      <c r="H32" s="112">
        <f t="shared" si="1"/>
        <v>93.651082408586504</v>
      </c>
      <c r="I32" s="112"/>
      <c r="J32" s="111" cm="1">
        <f t="array" ref="J32">_xlfn._xlws.FILTER($E$58:$E$222,($A$58:$A$222=J$7)*($B$58:$B$222=$A32))</f>
        <v>5142</v>
      </c>
      <c r="K32" s="111" cm="1">
        <f t="array" ref="K32">_xlfn._xlws.FILTER($D$58:$D$222,($A$58:$A$222=J$7)*($B$58:$B$222=$A32))</f>
        <v>5556</v>
      </c>
      <c r="L32" s="112">
        <f t="shared" si="2"/>
        <v>92.548596112311003</v>
      </c>
      <c r="M32" s="112"/>
      <c r="N32" s="111" cm="1">
        <f t="array" ref="N32">_xlfn._xlws.FILTER($E$58:$E$222,($A$58:$A$222=N$7)*($B$58:$B$222=$A32))</f>
        <v>5286</v>
      </c>
      <c r="O32" s="111" cm="1">
        <f t="array" ref="O32">_xlfn._xlws.FILTER($D$58:$D$222,($A$58:$A$222=N$7)*($B$58:$B$222=$A32))</f>
        <v>5712</v>
      </c>
      <c r="P32" s="112">
        <f t="shared" si="3"/>
        <v>92.5420168067227</v>
      </c>
      <c r="Q32" s="112"/>
    </row>
    <row r="33" spans="1:17">
      <c r="A33" s="108" t="s">
        <v>38</v>
      </c>
      <c r="B33" s="111" cm="1">
        <f t="array" ref="B33">_xlfn._xlws.FILTER($E$58:$E$222,($A$58:$A$222=B$7)*($B$58:$B$222=$A33))</f>
        <v>6627</v>
      </c>
      <c r="C33" s="111" cm="1">
        <f t="array" ref="C33">_xlfn._xlws.FILTER($D$58:$D$222,($A$58:$A$222=B$7)*($B$58:$B$222=$A33))</f>
        <v>7126</v>
      </c>
      <c r="D33" s="112">
        <f t="shared" si="0"/>
        <v>92.997474038731411</v>
      </c>
      <c r="E33" s="112"/>
      <c r="F33" s="111" cm="1">
        <f t="array" ref="F33">_xlfn._xlws.FILTER($E$58:$E$222,($A$58:$A$222=F$7)*($B$58:$B$222=$A33))</f>
        <v>6746</v>
      </c>
      <c r="G33" s="111" cm="1">
        <f t="array" ref="G33">_xlfn._xlws.FILTER($D$58:$D$222,($A$58:$A$222=F$7)*($B$58:$B$222=$A33))</f>
        <v>7234</v>
      </c>
      <c r="H33" s="112">
        <f t="shared" si="1"/>
        <v>93.254077965164512</v>
      </c>
      <c r="I33" s="112"/>
      <c r="J33" s="111" cm="1">
        <f t="array" ref="J33">_xlfn._xlws.FILTER($E$58:$E$222,($A$58:$A$222=J$7)*($B$58:$B$222=$A33))</f>
        <v>6913</v>
      </c>
      <c r="K33" s="111" cm="1">
        <f t="array" ref="K33">_xlfn._xlws.FILTER($D$58:$D$222,($A$58:$A$222=J$7)*($B$58:$B$222=$A33))</f>
        <v>7447</v>
      </c>
      <c r="L33" s="112">
        <f t="shared" si="2"/>
        <v>92.829327245870815</v>
      </c>
      <c r="M33" s="112"/>
      <c r="N33" s="111" cm="1">
        <f t="array" ref="N33">_xlfn._xlws.FILTER($E$58:$E$222,($A$58:$A$222=N$7)*($B$58:$B$222=$A33))</f>
        <v>7101</v>
      </c>
      <c r="O33" s="111" cm="1">
        <f t="array" ref="O33">_xlfn._xlws.FILTER($D$58:$D$222,($A$58:$A$222=N$7)*($B$58:$B$222=$A33))</f>
        <v>7683</v>
      </c>
      <c r="P33" s="112">
        <f t="shared" si="3"/>
        <v>92.424834049199532</v>
      </c>
      <c r="Q33" s="112"/>
    </row>
    <row r="34" spans="1:17">
      <c r="A34" s="108" t="s">
        <v>39</v>
      </c>
      <c r="B34" s="111" cm="1">
        <f t="array" ref="B34">_xlfn._xlws.FILTER($E$58:$E$222,($A$58:$A$222=B$7)*($B$58:$B$222=$A34))</f>
        <v>4387</v>
      </c>
      <c r="C34" s="111" cm="1">
        <f t="array" ref="C34">_xlfn._xlws.FILTER($D$58:$D$222,($A$58:$A$222=B$7)*($B$58:$B$222=$A34))</f>
        <v>4677</v>
      </c>
      <c r="D34" s="112">
        <f t="shared" si="0"/>
        <v>93.799444088090652</v>
      </c>
      <c r="E34" s="112"/>
      <c r="F34" s="111" cm="1">
        <f t="array" ref="F34">_xlfn._xlws.FILTER($E$58:$E$222,($A$58:$A$222=F$7)*($B$58:$B$222=$A34))</f>
        <v>4369</v>
      </c>
      <c r="G34" s="111" cm="1">
        <f t="array" ref="G34">_xlfn._xlws.FILTER($D$58:$D$222,($A$58:$A$222=F$7)*($B$58:$B$222=$A34))</f>
        <v>4679</v>
      </c>
      <c r="H34" s="112">
        <f t="shared" si="1"/>
        <v>93.37465270356914</v>
      </c>
      <c r="I34" s="112"/>
      <c r="J34" s="111" cm="1">
        <f t="array" ref="J34">_xlfn._xlws.FILTER($E$58:$E$222,($A$58:$A$222=J$7)*($B$58:$B$222=$A34))</f>
        <v>4462</v>
      </c>
      <c r="K34" s="111" cm="1">
        <f t="array" ref="K34">_xlfn._xlws.FILTER($D$58:$D$222,($A$58:$A$222=J$7)*($B$58:$B$222=$A34))</f>
        <v>4722</v>
      </c>
      <c r="L34" s="112">
        <f t="shared" si="2"/>
        <v>94.493858534519276</v>
      </c>
      <c r="M34" s="112"/>
      <c r="N34" s="111" cm="1">
        <f t="array" ref="N34">_xlfn._xlws.FILTER($E$58:$E$222,($A$58:$A$222=N$7)*($B$58:$B$222=$A34))</f>
        <v>4508</v>
      </c>
      <c r="O34" s="111" cm="1">
        <f t="array" ref="O34">_xlfn._xlws.FILTER($D$58:$D$222,($A$58:$A$222=N$7)*($B$58:$B$222=$A34))</f>
        <v>4786</v>
      </c>
      <c r="P34" s="112">
        <f t="shared" si="3"/>
        <v>94.191391558712908</v>
      </c>
      <c r="Q34" s="112"/>
    </row>
    <row r="35" spans="1:17">
      <c r="A35" s="108" t="s">
        <v>40</v>
      </c>
      <c r="B35" s="111" cm="1">
        <f t="array" ref="B35">_xlfn._xlws.FILTER($E$58:$E$222,($A$58:$A$222=B$7)*($B$58:$B$222=$A35))</f>
        <v>954</v>
      </c>
      <c r="C35" s="111" cm="1">
        <f t="array" ref="C35">_xlfn._xlws.FILTER($D$58:$D$222,($A$58:$A$222=B$7)*($B$58:$B$222=$A35))</f>
        <v>983</v>
      </c>
      <c r="D35" s="112">
        <f t="shared" si="0"/>
        <v>97.049847405900309</v>
      </c>
      <c r="E35" s="112"/>
      <c r="F35" s="111" cm="1">
        <f t="array" ref="F35">_xlfn._xlws.FILTER($E$58:$E$222,($A$58:$A$222=F$7)*($B$58:$B$222=$A35))</f>
        <v>965</v>
      </c>
      <c r="G35" s="111" cm="1">
        <f t="array" ref="G35">_xlfn._xlws.FILTER($D$58:$D$222,($A$58:$A$222=F$7)*($B$58:$B$222=$A35))</f>
        <v>1005</v>
      </c>
      <c r="H35" s="112">
        <f t="shared" si="1"/>
        <v>96.019900497512438</v>
      </c>
      <c r="I35" s="112"/>
      <c r="J35" s="111" cm="1">
        <f t="array" ref="J35">_xlfn._xlws.FILTER($E$58:$E$222,($A$58:$A$222=J$7)*($B$58:$B$222=$A35))</f>
        <v>1009</v>
      </c>
      <c r="K35" s="111" cm="1">
        <f t="array" ref="K35">_xlfn._xlws.FILTER($D$58:$D$222,($A$58:$A$222=J$7)*($B$58:$B$222=$A35))</f>
        <v>1038</v>
      </c>
      <c r="L35" s="112">
        <f t="shared" si="2"/>
        <v>97.206165703275531</v>
      </c>
      <c r="M35" s="112"/>
      <c r="N35" s="111" cm="1">
        <f t="array" ref="N35">_xlfn._xlws.FILTER($E$58:$E$222,($A$58:$A$222=N$7)*($B$58:$B$222=$A35))</f>
        <v>1012</v>
      </c>
      <c r="O35" s="111" cm="1">
        <f t="array" ref="O35">_xlfn._xlws.FILTER($D$58:$D$222,($A$58:$A$222=N$7)*($B$58:$B$222=$A35))</f>
        <v>1035</v>
      </c>
      <c r="P35" s="112">
        <f t="shared" si="3"/>
        <v>97.777777777777771</v>
      </c>
      <c r="Q35" s="112"/>
    </row>
    <row r="36" spans="1:17">
      <c r="A36" s="108" t="s">
        <v>41</v>
      </c>
      <c r="B36" s="111" cm="1">
        <f t="array" ref="B36">_xlfn._xlws.FILTER($E$58:$E$222,($A$58:$A$222=B$7)*($B$58:$B$222=$A36))</f>
        <v>4002</v>
      </c>
      <c r="C36" s="111" cm="1">
        <f t="array" ref="C36">_xlfn._xlws.FILTER($D$58:$D$222,($A$58:$A$222=B$7)*($B$58:$B$222=$A36))</f>
        <v>4360</v>
      </c>
      <c r="D36" s="112">
        <f t="shared" si="0"/>
        <v>91.788990825688074</v>
      </c>
      <c r="E36" s="112"/>
      <c r="F36" s="111" cm="1">
        <f t="array" ref="F36">_xlfn._xlws.FILTER($E$58:$E$222,($A$58:$A$222=F$7)*($B$58:$B$222=$A36))</f>
        <v>4098</v>
      </c>
      <c r="G36" s="111" cm="1">
        <f t="array" ref="G36">_xlfn._xlws.FILTER($D$58:$D$222,($A$58:$A$222=F$7)*($B$58:$B$222=$A36))</f>
        <v>4375</v>
      </c>
      <c r="H36" s="112">
        <f t="shared" si="1"/>
        <v>93.668571428571425</v>
      </c>
      <c r="I36" s="112"/>
      <c r="J36" s="111" cm="1">
        <f t="array" ref="J36">_xlfn._xlws.FILTER($E$58:$E$222,($A$58:$A$222=J$7)*($B$58:$B$222=$A36))</f>
        <v>4320</v>
      </c>
      <c r="K36" s="111" cm="1">
        <f t="array" ref="K36">_xlfn._xlws.FILTER($D$58:$D$222,($A$58:$A$222=J$7)*($B$58:$B$222=$A36))</f>
        <v>4520</v>
      </c>
      <c r="L36" s="112">
        <f t="shared" si="2"/>
        <v>95.575221238938056</v>
      </c>
      <c r="M36" s="112"/>
      <c r="N36" s="111" cm="1">
        <f t="array" ref="N36">_xlfn._xlws.FILTER($E$58:$E$222,($A$58:$A$222=N$7)*($B$58:$B$222=$A36))</f>
        <v>4414</v>
      </c>
      <c r="O36" s="111" cm="1">
        <f t="array" ref="O36">_xlfn._xlws.FILTER($D$58:$D$222,($A$58:$A$222=N$7)*($B$58:$B$222=$A36))</f>
        <v>4632</v>
      </c>
      <c r="P36" s="112">
        <f t="shared" si="3"/>
        <v>95.293609671848017</v>
      </c>
      <c r="Q36" s="112"/>
    </row>
    <row r="37" spans="1:17">
      <c r="A37" s="108" t="s">
        <v>42</v>
      </c>
      <c r="B37" s="111" cm="1">
        <f t="array" ref="B37">_xlfn._xlws.FILTER($E$58:$E$222,($A$58:$A$222=B$7)*($B$58:$B$222=$A37))</f>
        <v>12555</v>
      </c>
      <c r="C37" s="111" cm="1">
        <f t="array" ref="C37">_xlfn._xlws.FILTER($D$58:$D$222,($A$58:$A$222=B$7)*($B$58:$B$222=$A37))</f>
        <v>13530</v>
      </c>
      <c r="D37" s="112">
        <f t="shared" si="0"/>
        <v>92.793791574279382</v>
      </c>
      <c r="E37" s="112"/>
      <c r="F37" s="111" cm="1">
        <f t="array" ref="F37">_xlfn._xlws.FILTER($E$58:$E$222,($A$58:$A$222=F$7)*($B$58:$B$222=$A37))</f>
        <v>12569</v>
      </c>
      <c r="G37" s="111" cm="1">
        <f t="array" ref="G37">_xlfn._xlws.FILTER($D$58:$D$222,($A$58:$A$222=F$7)*($B$58:$B$222=$A37))</f>
        <v>13616</v>
      </c>
      <c r="H37" s="112">
        <f t="shared" si="1"/>
        <v>92.310517038777903</v>
      </c>
      <c r="I37" s="112"/>
      <c r="J37" s="111" cm="1">
        <f t="array" ref="J37">_xlfn._xlws.FILTER($E$58:$E$222,($A$58:$A$222=J$7)*($B$58:$B$222=$A37))</f>
        <v>13031</v>
      </c>
      <c r="K37" s="111" cm="1">
        <f t="array" ref="K37">_xlfn._xlws.FILTER($D$58:$D$222,($A$58:$A$222=J$7)*($B$58:$B$222=$A37))</f>
        <v>13971</v>
      </c>
      <c r="L37" s="112">
        <f t="shared" si="2"/>
        <v>93.271777252880966</v>
      </c>
      <c r="M37" s="112"/>
      <c r="N37" s="111" cm="1">
        <f t="array" ref="N37">_xlfn._xlws.FILTER($E$58:$E$222,($A$58:$A$222=N$7)*($B$58:$B$222=$A37))</f>
        <v>13548</v>
      </c>
      <c r="O37" s="111" cm="1">
        <f t="array" ref="O37">_xlfn._xlws.FILTER($D$58:$D$222,($A$58:$A$222=N$7)*($B$58:$B$222=$A37))</f>
        <v>14449</v>
      </c>
      <c r="P37" s="112">
        <f t="shared" si="3"/>
        <v>93.76427434424528</v>
      </c>
      <c r="Q37" s="112"/>
    </row>
    <row r="38" spans="1:17">
      <c r="A38" s="108" t="s">
        <v>43</v>
      </c>
      <c r="B38" s="111" cm="1">
        <f t="array" ref="B38">_xlfn._xlws.FILTER($E$58:$E$222,($A$58:$A$222=B$7)*($B$58:$B$222=$A38))</f>
        <v>3787</v>
      </c>
      <c r="C38" s="111" cm="1">
        <f t="array" ref="C38">_xlfn._xlws.FILTER($D$58:$D$222,($A$58:$A$222=B$7)*($B$58:$B$222=$A38))</f>
        <v>4041</v>
      </c>
      <c r="D38" s="112">
        <f t="shared" si="0"/>
        <v>93.714427121999506</v>
      </c>
      <c r="E38" s="112"/>
      <c r="F38" s="111" cm="1">
        <f t="array" ref="F38">_xlfn._xlws.FILTER($E$58:$E$222,($A$58:$A$222=F$7)*($B$58:$B$222=$A38))</f>
        <v>3899</v>
      </c>
      <c r="G38" s="111" cm="1">
        <f t="array" ref="G38">_xlfn._xlws.FILTER($D$58:$D$222,($A$58:$A$222=F$7)*($B$58:$B$222=$A38))</f>
        <v>4151</v>
      </c>
      <c r="H38" s="112">
        <f t="shared" si="1"/>
        <v>93.929173693086</v>
      </c>
      <c r="I38" s="112"/>
      <c r="J38" s="111" cm="1">
        <f t="array" ref="J38">_xlfn._xlws.FILTER($E$58:$E$222,($A$58:$A$222=J$7)*($B$58:$B$222=$A38))</f>
        <v>4017</v>
      </c>
      <c r="K38" s="111" cm="1">
        <f t="array" ref="K38">_xlfn._xlws.FILTER($D$58:$D$222,($A$58:$A$222=J$7)*($B$58:$B$222=$A38))</f>
        <v>4256</v>
      </c>
      <c r="L38" s="112">
        <f t="shared" si="2"/>
        <v>94.384398496240607</v>
      </c>
      <c r="M38" s="112"/>
      <c r="N38" s="111" cm="1">
        <f t="array" ref="N38">_xlfn._xlws.FILTER($E$58:$E$222,($A$58:$A$222=N$7)*($B$58:$B$222=$A38))</f>
        <v>4062</v>
      </c>
      <c r="O38" s="111" cm="1">
        <f t="array" ref="O38">_xlfn._xlws.FILTER($D$58:$D$222,($A$58:$A$222=N$7)*($B$58:$B$222=$A38))</f>
        <v>4302</v>
      </c>
      <c r="P38" s="112">
        <f t="shared" si="3"/>
        <v>94.421199442119942</v>
      </c>
      <c r="Q38" s="112"/>
    </row>
    <row r="39" spans="1:17">
      <c r="A39" s="108" t="s">
        <v>44</v>
      </c>
      <c r="B39" s="111" cm="1">
        <f t="array" ref="B39">_xlfn._xlws.FILTER($E$58:$E$222,($A$58:$A$222=B$7)*($B$58:$B$222=$A39))</f>
        <v>3463</v>
      </c>
      <c r="C39" s="111" cm="1">
        <f t="array" ref="C39">_xlfn._xlws.FILTER($D$58:$D$222,($A$58:$A$222=B$7)*($B$58:$B$222=$A39))</f>
        <v>3814</v>
      </c>
      <c r="D39" s="112">
        <f t="shared" si="0"/>
        <v>90.797063450445719</v>
      </c>
      <c r="E39" s="112"/>
      <c r="F39" s="111" cm="1">
        <f t="array" ref="F39">_xlfn._xlws.FILTER($E$58:$E$222,($A$58:$A$222=F$7)*($B$58:$B$222=$A39))</f>
        <v>3469</v>
      </c>
      <c r="G39" s="111" cm="1">
        <f t="array" ref="G39">_xlfn._xlws.FILTER($D$58:$D$222,($A$58:$A$222=F$7)*($B$58:$B$222=$A39))</f>
        <v>3850</v>
      </c>
      <c r="H39" s="112">
        <f t="shared" si="1"/>
        <v>90.103896103896105</v>
      </c>
      <c r="I39" s="112"/>
      <c r="J39" s="111" cm="1">
        <f t="array" ref="J39">_xlfn._xlws.FILTER($E$58:$E$222,($A$58:$A$222=J$7)*($B$58:$B$222=$A39))</f>
        <v>3626</v>
      </c>
      <c r="K39" s="111" cm="1">
        <f t="array" ref="K39">_xlfn._xlws.FILTER($D$58:$D$222,($A$58:$A$222=J$7)*($B$58:$B$222=$A39))</f>
        <v>3976</v>
      </c>
      <c r="L39" s="112">
        <f t="shared" si="2"/>
        <v>91.197183098591552</v>
      </c>
      <c r="M39" s="112"/>
      <c r="N39" s="111" cm="1">
        <f t="array" ref="N39">_xlfn._xlws.FILTER($E$58:$E$222,($A$58:$A$222=N$7)*($B$58:$B$222=$A39))</f>
        <v>3766</v>
      </c>
      <c r="O39" s="111" cm="1">
        <f t="array" ref="O39">_xlfn._xlws.FILTER($D$58:$D$222,($A$58:$A$222=N$7)*($B$58:$B$222=$A39))</f>
        <v>4153</v>
      </c>
      <c r="P39" s="112">
        <f t="shared" si="3"/>
        <v>90.681435107151458</v>
      </c>
      <c r="Q39" s="112"/>
    </row>
    <row r="40" spans="1:17">
      <c r="A40" s="108" t="s">
        <v>45</v>
      </c>
      <c r="B40" s="111" cm="1">
        <f t="array" ref="B40">_xlfn._xlws.FILTER($E$58:$E$222,($A$58:$A$222=B$7)*($B$58:$B$222=$A40))</f>
        <v>7518</v>
      </c>
      <c r="C40" s="111" cm="1">
        <f t="array" ref="C40">_xlfn._xlws.FILTER($D$58:$D$222,($A$58:$A$222=B$7)*($B$58:$B$222=$A40))</f>
        <v>8236</v>
      </c>
      <c r="D40" s="112">
        <f t="shared" si="0"/>
        <v>91.282175813501695</v>
      </c>
      <c r="E40" s="112"/>
      <c r="F40" s="111" cm="1">
        <f t="array" ref="F40">_xlfn._xlws.FILTER($E$58:$E$222,($A$58:$A$222=F$7)*($B$58:$B$222=$A40))</f>
        <v>7721</v>
      </c>
      <c r="G40" s="111" cm="1">
        <f t="array" ref="G40">_xlfn._xlws.FILTER($D$58:$D$222,($A$58:$A$222=F$7)*($B$58:$B$222=$A40))</f>
        <v>8264</v>
      </c>
      <c r="H40" s="112">
        <f t="shared" si="1"/>
        <v>93.429332042594382</v>
      </c>
      <c r="I40" s="112"/>
      <c r="J40" s="111" cm="1">
        <f t="array" ref="J40">_xlfn._xlws.FILTER($E$58:$E$222,($A$58:$A$222=J$7)*($B$58:$B$222=$A40))</f>
        <v>7966</v>
      </c>
      <c r="K40" s="111" cm="1">
        <f t="array" ref="K40">_xlfn._xlws.FILTER($D$58:$D$222,($A$58:$A$222=J$7)*($B$58:$B$222=$A40))</f>
        <v>8509</v>
      </c>
      <c r="L40" s="112">
        <f t="shared" si="2"/>
        <v>93.618521565401338</v>
      </c>
      <c r="M40" s="112"/>
      <c r="N40" s="111" cm="1">
        <f t="array" ref="N40">_xlfn._xlws.FILTER($E$58:$E$222,($A$58:$A$222=N$7)*($B$58:$B$222=$A40))</f>
        <v>8179</v>
      </c>
      <c r="O40" s="111" cm="1">
        <f t="array" ref="O40">_xlfn._xlws.FILTER($D$58:$D$222,($A$58:$A$222=N$7)*($B$58:$B$222=$A40))</f>
        <v>8825</v>
      </c>
      <c r="P40" s="112">
        <f t="shared" si="3"/>
        <v>92.679886685552404</v>
      </c>
      <c r="Q40" s="112"/>
    </row>
    <row r="41" spans="1:17">
      <c r="A41" s="108"/>
      <c r="B41" s="111"/>
      <c r="C41" s="111"/>
      <c r="D41" s="112"/>
      <c r="E41" s="112"/>
      <c r="F41" s="111"/>
      <c r="G41" s="111"/>
      <c r="H41" s="112"/>
      <c r="I41" s="112"/>
      <c r="J41" s="111"/>
      <c r="K41" s="111"/>
      <c r="L41" s="112"/>
      <c r="M41" s="112"/>
      <c r="N41" s="111"/>
      <c r="O41" s="111"/>
      <c r="P41" s="112"/>
      <c r="Q41" s="112"/>
    </row>
    <row r="42" spans="1:17">
      <c r="A42" s="108" t="s">
        <v>46</v>
      </c>
      <c r="B42" s="111" cm="1">
        <f t="array" ref="B42">_xlfn._xlws.FILTER($E$58:$E$222,($A$58:$A$222=B$7)*($B$58:$B$222=$A42))</f>
        <v>191299</v>
      </c>
      <c r="C42" s="111" cm="1">
        <f t="array" ref="C42">_xlfn._xlws.FILTER($D$58:$D$222,($A$58:$A$222=B$7)*($B$58:$B$222=$A42))</f>
        <v>207529</v>
      </c>
      <c r="D42" s="112">
        <f t="shared" ref="D42" si="4">SUM(B42/C42)*100</f>
        <v>92.179406251656388</v>
      </c>
      <c r="E42" s="112"/>
      <c r="F42" s="111" cm="1">
        <f t="array" ref="F42">_xlfn._xlws.FILTER($E$58:$E$222,($A$58:$A$222=F$7)*($B$58:$B$222=$A42))</f>
        <v>193925</v>
      </c>
      <c r="G42" s="111" cm="1">
        <f t="array" ref="G42">_xlfn._xlws.FILTER($D$58:$D$222,($A$58:$A$222=F$7)*($B$58:$B$222=$A42))</f>
        <v>209984</v>
      </c>
      <c r="H42" s="112">
        <f t="shared" ref="H42" si="5">SUM(F42/G42)*100</f>
        <v>92.352274459006395</v>
      </c>
      <c r="I42" s="112"/>
      <c r="J42" s="111" cm="1">
        <f t="array" ref="J42">_xlfn._xlws.FILTER($E$58:$E$222,($A$58:$A$222=J$7)*($B$58:$B$222=$A42))</f>
        <v>199634</v>
      </c>
      <c r="K42" s="111" cm="1">
        <f t="array" ref="K42">_xlfn._xlws.FILTER($D$58:$D$222,($A$58:$A$222=J$7)*($B$58:$B$222=$A42))</f>
        <v>215479</v>
      </c>
      <c r="L42" s="112">
        <f t="shared" ref="L42" si="6">SUM(J42/K42)*100</f>
        <v>92.646615215403813</v>
      </c>
      <c r="M42" s="112"/>
      <c r="N42" s="111" cm="1">
        <f t="array" ref="N42">_xlfn._xlws.FILTER($E$58:$E$222,($A$58:$A$222=N$7)*($B$58:$B$222=$A42))</f>
        <v>205979</v>
      </c>
      <c r="O42" s="111" cm="1">
        <f t="array" ref="O42">_xlfn._xlws.FILTER($D$58:$D$222,($A$58:$A$222=N$7)*($B$58:$B$222=$A42))</f>
        <v>222125</v>
      </c>
      <c r="P42" s="112">
        <f t="shared" ref="P42" si="7">SUM(N42/O42)*100</f>
        <v>92.731119864940908</v>
      </c>
      <c r="Q42" s="112"/>
    </row>
    <row r="43" spans="1:17">
      <c r="A43" s="108" t="s">
        <v>173</v>
      </c>
      <c r="B43" s="111"/>
      <c r="C43" s="111"/>
      <c r="D43" s="112"/>
      <c r="E43" s="112"/>
      <c r="F43" s="111"/>
      <c r="G43" s="111"/>
      <c r="H43" s="112"/>
      <c r="I43" s="112"/>
      <c r="J43" s="111"/>
      <c r="K43" s="111"/>
      <c r="L43" s="112"/>
      <c r="M43" s="112"/>
      <c r="N43" s="111"/>
      <c r="O43" s="111"/>
      <c r="P43" s="112"/>
      <c r="Q43" s="112"/>
    </row>
    <row r="44" spans="1:17" customFormat="1">
      <c r="A44" s="10" t="s">
        <v>156</v>
      </c>
      <c r="B44" s="15" cm="1">
        <f t="array" ref="B44">SUM(SUMIFS(B$9:B$41,$A$9:$A$41,{"Aberdeen City","Aberdeenshire"}))</f>
        <v>15484</v>
      </c>
      <c r="C44" s="15" cm="1">
        <f t="array" ref="C44">SUM(SUMIFS(C$9:C$41,$A$9:$A$41,{"Aberdeen City","Aberdeenshire"}))</f>
        <v>16983</v>
      </c>
      <c r="D44" s="14">
        <f t="shared" ref="D44:D52" si="8">SUM(B44/C44)*100</f>
        <v>91.173526467644123</v>
      </c>
      <c r="E44" s="15"/>
      <c r="F44" s="15" cm="1">
        <f t="array" ref="F44">SUM(SUMIFS(F$9:F$41,$A$9:$A$41,{"Aberdeen City","Aberdeenshire"}))</f>
        <v>16043</v>
      </c>
      <c r="G44" s="15" cm="1">
        <f t="array" ref="G44">SUM(SUMIFS(G$9:G$41,$A$9:$A$41,{"Aberdeen City","Aberdeenshire"}))</f>
        <v>17361</v>
      </c>
      <c r="H44" s="14">
        <f t="shared" ref="H44:H52" si="9">SUM(F44/G44)*100</f>
        <v>92.40827141293704</v>
      </c>
      <c r="I44" s="15"/>
      <c r="J44" s="15" cm="1">
        <f t="array" ref="J44">SUM(SUMIFS(J$9:J$41,$A$9:$A$41,{"Aberdeen City","Aberdeenshire"}))</f>
        <v>16396</v>
      </c>
      <c r="K44" s="15" cm="1">
        <f t="array" ref="K44">SUM(SUMIFS(K$9:K$41,$A$9:$A$41,{"Aberdeen City","Aberdeenshire"}))</f>
        <v>17868</v>
      </c>
      <c r="L44" s="14">
        <f t="shared" ref="L44:L52" si="10">SUM(J44/K44)*100</f>
        <v>91.761808820237306</v>
      </c>
      <c r="M44" s="15"/>
      <c r="N44" s="15" cm="1">
        <f t="array" ref="N44">SUM(SUMIFS(N$9:N$41,$A$9:$A$41,{"Aberdeen City","Aberdeenshire"}))</f>
        <v>16949</v>
      </c>
      <c r="O44" s="15" cm="1">
        <f t="array" ref="O44">SUM(SUMIFS(O$9:O$41,$A$9:$A$41,{"Aberdeen City","Aberdeenshire"}))</f>
        <v>18593</v>
      </c>
      <c r="P44" s="14">
        <f t="shared" ref="P44:P52" si="11">SUM(N44/O44)*100</f>
        <v>91.157962674124676</v>
      </c>
      <c r="Q44" s="15"/>
    </row>
    <row r="45" spans="1:17" customFormat="1">
      <c r="A45" s="10" t="s">
        <v>359</v>
      </c>
      <c r="B45" s="47" cm="1">
        <f t="array" ref="B45">SUM(SUMIFS(B$9:B$41,$A$9:$A$41,{"Falkirk","Stirling","Clackmannanshire"}))</f>
        <v>11440</v>
      </c>
      <c r="C45" s="47" cm="1">
        <f t="array" ref="C45">SUM(SUMIFS(C$9:C$41,$A$9:$A$41,{"Falkirk","Stirling","Clackmannanshire"}))</f>
        <v>12415</v>
      </c>
      <c r="D45" s="13">
        <f t="shared" ref="D45" si="12">SUM(B45/C45)*100</f>
        <v>92.146596858638745</v>
      </c>
      <c r="E45" s="7"/>
      <c r="F45" s="47" cm="1">
        <f t="array" ref="F45">SUM(SUMIFS(F$9:F$41,$A$9:$A$41,{"Falkirk","Stirling","Clackmannanshire"}))</f>
        <v>11681</v>
      </c>
      <c r="G45" s="47" cm="1">
        <f t="array" ref="G45">SUM(SUMIFS(G$9:G$41,$A$9:$A$41,{"Falkirk","Stirling","Clackmannanshire"}))</f>
        <v>12672</v>
      </c>
      <c r="H45" s="13">
        <f t="shared" ref="H45" si="13">SUM(F45/G45)*100</f>
        <v>92.179608585858588</v>
      </c>
      <c r="I45" s="7"/>
      <c r="J45" s="47" cm="1">
        <f t="array" ref="J45">SUM(SUMIFS(J$9:J$41,$A$9:$A$41,{"Falkirk","Stirling","Clackmannanshire"}))</f>
        <v>11971</v>
      </c>
      <c r="K45" s="47" cm="1">
        <f t="array" ref="K45">SUM(SUMIFS(K$9:K$41,$A$9:$A$41,{"Falkirk","Stirling","Clackmannanshire"}))</f>
        <v>12984</v>
      </c>
      <c r="L45" s="13">
        <f t="shared" ref="L45" si="14">SUM(J45/K45)*100</f>
        <v>92.198089956869993</v>
      </c>
      <c r="M45" s="7"/>
      <c r="N45" s="47" cm="1">
        <f t="array" ref="N45">SUM(SUMIFS(N$9:N$41,$A$9:$A$41,{"Falkirk","Stirling","Clackmannanshire"}))</f>
        <v>12412</v>
      </c>
      <c r="O45" s="47" cm="1">
        <f t="array" ref="O45">SUM(SUMIFS(O$9:O$41,$A$9:$A$41,{"Falkirk","Stirling","Clackmannanshire"}))</f>
        <v>13437</v>
      </c>
      <c r="P45" s="13">
        <f t="shared" ref="P45" si="15">SUM(N45/O45)*100</f>
        <v>92.371809183597534</v>
      </c>
      <c r="Q45" s="7"/>
    </row>
    <row r="46" spans="1:17" customFormat="1">
      <c r="A46" s="10" t="s">
        <v>157</v>
      </c>
      <c r="B46" s="47" cm="1">
        <f t="array" ref="B46">SUM(SUMIFS(B$9:B$41,$A$9:$A$41,{"East Lothian","Edinburgh, City of","Fife","Midlothian","Scottish Borders","West Lothian"}))</f>
        <v>45385</v>
      </c>
      <c r="C46" s="47" cm="1">
        <f t="array" ref="C46">SUM(SUMIFS(C$9:C$41,$A$9:$A$41,{"East Lothian","Edinburgh, City of","Fife","Midlothian","Scottish Borders","West Lothian"}))</f>
        <v>49226</v>
      </c>
      <c r="D46" s="14">
        <f t="shared" si="8"/>
        <v>92.197212854995328</v>
      </c>
      <c r="E46" s="15"/>
      <c r="F46" s="47" cm="1">
        <f t="array" ref="F46">SUM(SUMIFS(F$9:F$41,$A$9:$A$41,{"East Lothian","Edinburgh, City of","Fife","Midlothian","Scottish Borders","West Lothian"}))</f>
        <v>45939</v>
      </c>
      <c r="G46" s="47" cm="1">
        <f t="array" ref="G46">SUM(SUMIFS(G$9:G$41,$A$9:$A$41,{"East Lothian","Edinburgh, City of","Fife","Midlothian","Scottish Borders","West Lothian"}))</f>
        <v>49762</v>
      </c>
      <c r="H46" s="14">
        <f t="shared" si="9"/>
        <v>92.317430971423974</v>
      </c>
      <c r="I46" s="15"/>
      <c r="J46" s="47" cm="1">
        <f t="array" ref="J46">SUM(SUMIFS(J$9:J$41,$A$9:$A$41,{"East Lothian","Edinburgh, City of","Fife","Midlothian","Scottish Borders","West Lothian"}))</f>
        <v>47750</v>
      </c>
      <c r="K46" s="47" cm="1">
        <f t="array" ref="K46">SUM(SUMIFS(K$9:K$41,$A$9:$A$41,{"East Lothian","Edinburgh, City of","Fife","Midlothian","Scottish Borders","West Lothian"}))</f>
        <v>51310</v>
      </c>
      <c r="L46" s="14">
        <f t="shared" si="10"/>
        <v>93.061781329175602</v>
      </c>
      <c r="M46" s="15"/>
      <c r="N46" s="47" cm="1">
        <f t="array" ref="N46">SUM(SUMIFS(N$9:N$41,$A$9:$A$41,{"East Lothian","Edinburgh, City of","Fife","Midlothian","Scottish Borders","West Lothian"}))</f>
        <v>49464</v>
      </c>
      <c r="O46" s="47" cm="1">
        <f t="array" ref="O46">SUM(SUMIFS(O$9:O$41,$A$9:$A$41,{"East Lothian","Edinburgh, City of","Fife","Midlothian","Scottish Borders","West Lothian"}))</f>
        <v>53323</v>
      </c>
      <c r="P46" s="14">
        <f t="shared" si="11"/>
        <v>92.762972825985031</v>
      </c>
      <c r="Q46" s="15"/>
    </row>
    <row r="47" spans="1:17" customFormat="1">
      <c r="A47" s="10" t="s">
        <v>158</v>
      </c>
      <c r="B47" s="47" cm="1">
        <f t="array" ref="B47">SUM(SUMIFS(B$9:B$41,$A$9:$A$41,{"Angus","Dundee City","Fife","Perth and Kinross"}))</f>
        <v>28156</v>
      </c>
      <c r="C47" s="47" cm="1">
        <f t="array" ref="C47">SUM(SUMIFS(C$9:C$41,$A$9:$A$41,{"Angus","Dundee City","Fife","Perth and Kinross"}))</f>
        <v>30770</v>
      </c>
      <c r="D47" s="14">
        <f t="shared" si="8"/>
        <v>91.504712382190448</v>
      </c>
      <c r="E47" s="15"/>
      <c r="F47" s="47" cm="1">
        <f t="array" ref="F47">SUM(SUMIFS(F$9:F$41,$A$9:$A$41,{"Angus","Dundee City","Fife","Perth and Kinross"}))</f>
        <v>28324</v>
      </c>
      <c r="G47" s="47" cm="1">
        <f t="array" ref="G47">SUM(SUMIFS(G$9:G$41,$A$9:$A$41,{"Angus","Dundee City","Fife","Perth and Kinross"}))</f>
        <v>30917</v>
      </c>
      <c r="H47" s="14">
        <f t="shared" si="9"/>
        <v>91.613028430960313</v>
      </c>
      <c r="I47" s="15"/>
      <c r="J47" s="47" cm="1">
        <f t="array" ref="J47">SUM(SUMIFS(J$9:J$41,$A$9:$A$41,{"Angus","Dundee City","Fife","Perth and Kinross"}))</f>
        <v>28744</v>
      </c>
      <c r="K47" s="47" cm="1">
        <f t="array" ref="K47">SUM(SUMIFS(K$9:K$41,$A$9:$A$41,{"Angus","Dundee City","Fife","Perth and Kinross"}))</f>
        <v>31547</v>
      </c>
      <c r="L47" s="14">
        <f t="shared" si="10"/>
        <v>91.114844517703744</v>
      </c>
      <c r="M47" s="15"/>
      <c r="N47" s="47" cm="1">
        <f t="array" ref="N47">SUM(SUMIFS(N$9:N$41,$A$9:$A$41,{"Angus","Dundee City","Fife","Perth and Kinross"}))</f>
        <v>29650</v>
      </c>
      <c r="O47" s="47" cm="1">
        <f t="array" ref="O47">SUM(SUMIFS(O$9:O$41,$A$9:$A$41,{"Angus","Dundee City","Fife","Perth and Kinross"}))</f>
        <v>32499</v>
      </c>
      <c r="P47" s="14">
        <f t="shared" si="11"/>
        <v>91.233576417735932</v>
      </c>
      <c r="Q47" s="15"/>
    </row>
    <row r="48" spans="1:17">
      <c r="A48" s="108" t="s">
        <v>246</v>
      </c>
      <c r="B48" s="47" cm="1">
        <f t="array" ref="B48">SUM(SUMIFS(B$9:B$41,$A$9:$A$41,{"Na h-Eileanan Siar","Argyll and Bute","Shetland Islands","Highland","Orkney Islands","Scottish Borders","Dumfries and Galloway","Aberdeenshire"}))</f>
        <v>34160</v>
      </c>
      <c r="C48" s="47">
        <f>SUM(SUMIFS(C$9:C$41,$A$9:$A$41,{"Na h-Eileanan Siar","Argyll and Bute","Shetland Islands","Highland","Orkney Islands","Scottish Borders","Dumfries and Galloway","Aberdeenshire"}))</f>
        <v>36717</v>
      </c>
      <c r="D48" s="13">
        <f t="shared" si="8"/>
        <v>93.035923414222296</v>
      </c>
      <c r="E48" s="7"/>
      <c r="F48" s="47">
        <f>SUM(SUMIFS(F$9:F$41,$A$9:$A$41,{"Na h-Eileanan Siar","Argyll and Bute","Shetland Islands","Highland","Orkney Islands","Scottish Borders","Dumfries and Galloway","Aberdeenshire"}))</f>
        <v>34752</v>
      </c>
      <c r="G48" s="47">
        <f>SUM(SUMIFS(G$9:G$41,$A$9:$A$41,{"Na h-Eileanan Siar","Argyll and Bute","Shetland Islands","Highland","Orkney Islands","Scottish Borders","Dumfries and Galloway","Aberdeenshire"}))</f>
        <v>37232</v>
      </c>
      <c r="H48" s="13">
        <f t="shared" si="9"/>
        <v>93.339063171465412</v>
      </c>
      <c r="I48" s="7"/>
      <c r="J48" s="47">
        <f>SUM(SUMIFS(J$9:J$41,$A$9:$A$41,{"Na h-Eileanan Siar","Argyll and Bute","Shetland Islands","Highland","Orkney Islands","Scottish Borders","Dumfries and Galloway","Aberdeenshire"}))</f>
        <v>35410</v>
      </c>
      <c r="K48" s="47">
        <f>SUM(SUMIFS(K$9:K$41,$A$9:$A$41,{"Na h-Eileanan Siar","Argyll and Bute","Shetland Islands","Highland","Orkney Islands","Scottish Borders","Dumfries and Galloway","Aberdeenshire"}))</f>
        <v>37813</v>
      </c>
      <c r="L48" s="13">
        <f t="shared" si="10"/>
        <v>93.645042710179041</v>
      </c>
      <c r="M48" s="7"/>
      <c r="N48" s="47">
        <f>SUM(SUMIFS(N$9:N$41,$A$9:$A$41,{"Na h-Eileanan Siar","Argyll and Bute","Shetland Islands","Highland","Orkney Islands","Scottish Borders","Dumfries and Galloway","Aberdeenshire"}))</f>
        <v>36282</v>
      </c>
      <c r="O48" s="47">
        <f>SUM(SUMIFS(O$9:O$41,$A$9:$A$41,{"Na h-Eileanan Siar","Argyll and Bute","Shetland Islands","Highland","Orkney Islands","Scottish Borders","Dumfries and Galloway","Aberdeenshire"}))</f>
        <v>38764</v>
      </c>
      <c r="P48" s="13">
        <f t="shared" si="11"/>
        <v>93.597151996697974</v>
      </c>
      <c r="Q48" s="112"/>
    </row>
    <row r="49" spans="1:17">
      <c r="A49" s="108" t="s">
        <v>247</v>
      </c>
      <c r="B49" s="47">
        <f>SUM(SUMIFS(B$9:B$41,$A$9:$A$41,{"Perth and Kinross","Stirling","Moray","South Ayrshire","East Ayrshire","East Lothian","North Ayrshire","Fife"}))</f>
        <v>43407</v>
      </c>
      <c r="C49" s="47">
        <f>SUM(SUMIFS(C$9:C$41,$A$9:$A$41,{"Perth and Kinross","Stirling","Moray","South Ayrshire","East Ayrshire","East Lothian","North Ayrshire","Fife"}))</f>
        <v>47268</v>
      </c>
      <c r="D49" s="13">
        <f t="shared" si="8"/>
        <v>91.831683168316829</v>
      </c>
      <c r="E49" s="7"/>
      <c r="F49" s="47">
        <f>SUM(SUMIFS(F$9:F$41,$A$9:$A$41,{"Perth and Kinross","Stirling","Moray","South Ayrshire","East Ayrshire","East Lothian","North Ayrshire","Fife"}))</f>
        <v>44042</v>
      </c>
      <c r="G49" s="47">
        <f>SUM(SUMIFS(G$9:G$41,$A$9:$A$41,{"Perth and Kinross","Stirling","Moray","South Ayrshire","East Ayrshire","East Lothian","North Ayrshire","Fife"}))</f>
        <v>47778</v>
      </c>
      <c r="H49" s="13">
        <f t="shared" si="9"/>
        <v>92.180501486039603</v>
      </c>
      <c r="I49" s="7"/>
      <c r="J49" s="47">
        <f>SUM(SUMIFS(J$9:J$41,$A$9:$A$41,{"Perth and Kinross","Stirling","Moray","South Ayrshire","East Ayrshire","East Lothian","North Ayrshire","Fife"}))</f>
        <v>45420</v>
      </c>
      <c r="K49" s="47">
        <f>SUM(SUMIFS(K$9:K$41,$A$9:$A$41,{"Perth and Kinross","Stirling","Moray","South Ayrshire","East Ayrshire","East Lothian","North Ayrshire","Fife"}))</f>
        <v>48923</v>
      </c>
      <c r="L49" s="13">
        <f t="shared" si="10"/>
        <v>92.83976861598839</v>
      </c>
      <c r="M49" s="7"/>
      <c r="N49" s="47">
        <f>SUM(SUMIFS(N$9:N$41,$A$9:$A$41,{"Perth and Kinross","Stirling","Moray","South Ayrshire","East Ayrshire","East Lothian","North Ayrshire","Fife"}))</f>
        <v>46516</v>
      </c>
      <c r="O49" s="47">
        <f>SUM(SUMIFS(O$9:O$41,$A$9:$A$41,{"Perth and Kinross","Stirling","Moray","South Ayrshire","East Ayrshire","East Lothian","North Ayrshire","Fife"}))</f>
        <v>50310</v>
      </c>
      <c r="P49" s="13">
        <f t="shared" si="11"/>
        <v>92.458755714569662</v>
      </c>
      <c r="Q49" s="112"/>
    </row>
    <row r="50" spans="1:17">
      <c r="A50" s="108" t="s">
        <v>248</v>
      </c>
      <c r="B50" s="47">
        <f>SUM(SUMIFS(B$9:B$41,$A$9:$A$41,{"Angus","Clackmannanshire","Midlothian","South Lanarkshire","Inverclyde","Renfrewshire","West Lothian","East Renfrewshire"}))</f>
        <v>44243</v>
      </c>
      <c r="C50" s="47">
        <f>SUM(SUMIFS(C$9:C$41,$A$9:$A$41,{"Angus","Clackmannanshire","Midlothian","South Lanarkshire","Inverclyde","Renfrewshire","West Lothian","East Renfrewshire"}))</f>
        <v>47574</v>
      </c>
      <c r="D50" s="13">
        <f t="shared" si="8"/>
        <v>92.998276369445492</v>
      </c>
      <c r="E50" s="7"/>
      <c r="F50" s="47">
        <f>SUM(SUMIFS(F$9:F$41,$A$9:$A$41,{"Angus","Clackmannanshire","Midlothian","South Lanarkshire","Inverclyde","Renfrewshire","West Lothian","East Renfrewshire"}))</f>
        <v>44751</v>
      </c>
      <c r="G50" s="47">
        <f>SUM(SUMIFS(G$9:G$41,$A$9:$A$41,{"Angus","Clackmannanshire","Midlothian","South Lanarkshire","Inverclyde","Renfrewshire","West Lothian","East Renfrewshire"}))</f>
        <v>47928</v>
      </c>
      <c r="H50" s="13">
        <f t="shared" si="9"/>
        <v>93.371306960440663</v>
      </c>
      <c r="I50" s="7"/>
      <c r="J50" s="47">
        <f>SUM(SUMIFS(J$9:J$41,$A$9:$A$41,{"Angus","Clackmannanshire","Midlothian","South Lanarkshire","Inverclyde","Renfrewshire","West Lothian","East Renfrewshire"}))</f>
        <v>45678</v>
      </c>
      <c r="K50" s="47">
        <f>SUM(SUMIFS(K$9:K$41,$A$9:$A$41,{"Angus","Clackmannanshire","Midlothian","South Lanarkshire","Inverclyde","Renfrewshire","West Lothian","East Renfrewshire"}))</f>
        <v>48892</v>
      </c>
      <c r="L50" s="13">
        <f t="shared" si="10"/>
        <v>93.426327415528093</v>
      </c>
      <c r="M50" s="7"/>
      <c r="N50" s="47">
        <f>SUM(SUMIFS(N$9:N$41,$A$9:$A$41,{"Angus","Clackmannanshire","Midlothian","South Lanarkshire","Inverclyde","Renfrewshire","West Lothian","East Renfrewshire"}))</f>
        <v>47146</v>
      </c>
      <c r="O50" s="47">
        <f>SUM(SUMIFS(O$9:O$41,$A$9:$A$41,{"Angus","Clackmannanshire","Midlothian","South Lanarkshire","Inverclyde","Renfrewshire","West Lothian","East Renfrewshire"}))</f>
        <v>50486</v>
      </c>
      <c r="P50" s="13">
        <f t="shared" si="11"/>
        <v>93.384304559679904</v>
      </c>
      <c r="Q50" s="112"/>
    </row>
    <row r="51" spans="1:17">
      <c r="A51" s="108" t="s">
        <v>249</v>
      </c>
      <c r="B51" s="47">
        <f>SUM(SUMIFS(B$9:B$41,$A$9:$A$41,{"North Lanarkshire","Falkirk","East Dunbartonshire","Aberdeen City","Edinburgh, City of","West Dunbartonshire","Dundee City","Glasgow City"}))</f>
        <v>69489</v>
      </c>
      <c r="C51" s="47">
        <f>SUM(SUMIFS(C$9:C$41,$A$9:$A$41,{"North Lanarkshire","Falkirk","East Dunbartonshire","Aberdeen City","Edinburgh, City of","West Dunbartonshire","Dundee City","Glasgow City"}))</f>
        <v>75970</v>
      </c>
      <c r="D51" s="13">
        <f t="shared" si="8"/>
        <v>91.469000921416338</v>
      </c>
      <c r="E51" s="7"/>
      <c r="F51" s="47">
        <f>SUM(SUMIFS(F$9:F$41,$A$9:$A$41,{"North Lanarkshire","Falkirk","East Dunbartonshire","Aberdeen City","Edinburgh, City of","West Dunbartonshire","Dundee City","Glasgow City"}))</f>
        <v>70380</v>
      </c>
      <c r="G51" s="47">
        <f>SUM(SUMIFS(G$9:G$41,$A$9:$A$41,{"North Lanarkshire","Falkirk","East Dunbartonshire","Aberdeen City","Edinburgh, City of","West Dunbartonshire","Dundee City","Glasgow City"}))</f>
        <v>77046</v>
      </c>
      <c r="H51" s="13">
        <f t="shared" si="9"/>
        <v>91.348025854684209</v>
      </c>
      <c r="I51" s="7"/>
      <c r="J51" s="47">
        <f>SUM(SUMIFS(J$9:J$41,$A$9:$A$41,{"North Lanarkshire","Falkirk","East Dunbartonshire","Aberdeen City","Edinburgh, City of","West Dunbartonshire","Dundee City","Glasgow City"}))</f>
        <v>73126</v>
      </c>
      <c r="K51" s="47">
        <f>SUM(SUMIFS(K$9:K$41,$A$9:$A$41,{"North Lanarkshire","Falkirk","East Dunbartonshire","Aberdeen City","Edinburgh, City of","West Dunbartonshire","Dundee City","Glasgow City"}))</f>
        <v>79851</v>
      </c>
      <c r="L51" s="13">
        <f t="shared" si="10"/>
        <v>91.578064144469067</v>
      </c>
      <c r="M51" s="7"/>
      <c r="N51" s="47">
        <f>SUM(SUMIFS(N$9:N$41,$A$9:$A$41,{"North Lanarkshire","Falkirk","East Dunbartonshire","Aberdeen City","Edinburgh, City of","West Dunbartonshire","Dundee City","Glasgow City"}))</f>
        <v>76035</v>
      </c>
      <c r="O51" s="47">
        <f>SUM(SUMIFS(O$9:O$41,$A$9:$A$41,{"North Lanarkshire","Falkirk","East Dunbartonshire","Aberdeen City","Edinburgh, City of","West Dunbartonshire","Dundee City","Glasgow City"}))</f>
        <v>82565</v>
      </c>
      <c r="P51" s="13">
        <f t="shared" si="11"/>
        <v>92.091079755344268</v>
      </c>
      <c r="Q51" s="112"/>
    </row>
    <row r="52" spans="1:17">
      <c r="A52" s="108" t="s">
        <v>48</v>
      </c>
      <c r="B52" s="111">
        <f>SUM(B39+B37+B33+B30+B25+B23+B20+B18)</f>
        <v>67539</v>
      </c>
      <c r="C52" s="111">
        <f>SUM(C39+C37+C33+C30+C25+C23+C20+C18)</f>
        <v>73080</v>
      </c>
      <c r="D52" s="367">
        <f t="shared" si="8"/>
        <v>92.417898193760266</v>
      </c>
      <c r="E52" s="112"/>
      <c r="F52" s="111">
        <f>SUM(F39+F37+F33+F30+F25+F23+F20+F18)</f>
        <v>68189</v>
      </c>
      <c r="G52" s="111">
        <f>SUM(G39+G37+G33+G30+G25+G23+G20+G18)</f>
        <v>73915</v>
      </c>
      <c r="H52" s="367">
        <f t="shared" si="9"/>
        <v>92.253263884191313</v>
      </c>
      <c r="I52" s="112"/>
      <c r="J52" s="111">
        <f>SUM(J39+J37+J33+J30+J25+J23+J20+J18)</f>
        <v>70276</v>
      </c>
      <c r="K52" s="111">
        <f>SUM(K39+K37+K33+K30+K25+K23+K20+K18)</f>
        <v>76047</v>
      </c>
      <c r="L52" s="367">
        <f t="shared" si="10"/>
        <v>92.411271976540817</v>
      </c>
      <c r="M52" s="112"/>
      <c r="N52" s="111">
        <f>SUM(N39+N37+N33+N30+N25+N23+N20+N18)</f>
        <v>72421</v>
      </c>
      <c r="O52" s="111">
        <f>SUM(O39+O37+O33+O30+O25+O23+O20+O18)</f>
        <v>77972</v>
      </c>
      <c r="P52" s="367">
        <f t="shared" si="11"/>
        <v>92.880777715077215</v>
      </c>
      <c r="Q52" s="112"/>
    </row>
    <row r="57" spans="1:17" ht="30">
      <c r="A57" s="369" t="s">
        <v>410</v>
      </c>
      <c r="B57" s="369" t="s">
        <v>153</v>
      </c>
      <c r="C57" s="369" t="s">
        <v>411</v>
      </c>
      <c r="D57" s="369" t="s">
        <v>412</v>
      </c>
      <c r="E57" s="369" t="s">
        <v>413</v>
      </c>
    </row>
    <row r="58" spans="1:17">
      <c r="A58" s="368">
        <v>2024</v>
      </c>
      <c r="B58" s="368" t="s">
        <v>15</v>
      </c>
      <c r="C58" s="368" t="s">
        <v>443</v>
      </c>
      <c r="D58" s="368">
        <v>7234</v>
      </c>
      <c r="E58" s="368">
        <v>6519</v>
      </c>
    </row>
    <row r="59" spans="1:17">
      <c r="A59" s="368">
        <v>2024</v>
      </c>
      <c r="B59" s="368" t="s">
        <v>16</v>
      </c>
      <c r="C59" s="368" t="s">
        <v>444</v>
      </c>
      <c r="D59" s="368">
        <v>11359</v>
      </c>
      <c r="E59" s="368">
        <v>10430</v>
      </c>
    </row>
    <row r="60" spans="1:17">
      <c r="A60" s="368">
        <v>2024</v>
      </c>
      <c r="B60" s="368" t="s">
        <v>17</v>
      </c>
      <c r="C60" s="368" t="s">
        <v>445</v>
      </c>
      <c r="D60" s="368">
        <v>4857</v>
      </c>
      <c r="E60" s="368">
        <v>4465</v>
      </c>
    </row>
    <row r="61" spans="1:17">
      <c r="A61" s="368">
        <v>2024</v>
      </c>
      <c r="B61" s="368" t="s">
        <v>18</v>
      </c>
      <c r="C61" s="368" t="s">
        <v>446</v>
      </c>
      <c r="D61" s="368">
        <v>3187</v>
      </c>
      <c r="E61" s="368">
        <v>3006</v>
      </c>
    </row>
    <row r="62" spans="1:17">
      <c r="A62" s="368">
        <v>2024</v>
      </c>
      <c r="B62" s="368" t="s">
        <v>19</v>
      </c>
      <c r="C62" s="368" t="s">
        <v>447</v>
      </c>
      <c r="D62" s="368">
        <v>2082</v>
      </c>
      <c r="E62" s="368">
        <v>1881</v>
      </c>
    </row>
    <row r="63" spans="1:17">
      <c r="A63" s="368">
        <v>2024</v>
      </c>
      <c r="B63" s="368" t="s">
        <v>20</v>
      </c>
      <c r="C63" s="368" t="s">
        <v>448</v>
      </c>
      <c r="D63" s="368">
        <v>6370</v>
      </c>
      <c r="E63" s="368">
        <v>6011</v>
      </c>
    </row>
    <row r="64" spans="1:17">
      <c r="A64" s="368">
        <v>2024</v>
      </c>
      <c r="B64" s="368" t="s">
        <v>21</v>
      </c>
      <c r="C64" s="368" t="s">
        <v>449</v>
      </c>
      <c r="D64" s="368">
        <v>5929</v>
      </c>
      <c r="E64" s="368">
        <v>5365</v>
      </c>
    </row>
    <row r="65" spans="1:5">
      <c r="A65" s="368">
        <v>2024</v>
      </c>
      <c r="B65" s="368" t="s">
        <v>22</v>
      </c>
      <c r="C65" s="368" t="s">
        <v>450</v>
      </c>
      <c r="D65" s="368">
        <v>5164</v>
      </c>
      <c r="E65" s="368">
        <v>4740</v>
      </c>
    </row>
    <row r="66" spans="1:5">
      <c r="A66" s="368">
        <v>2024</v>
      </c>
      <c r="B66" s="368" t="s">
        <v>23</v>
      </c>
      <c r="C66" s="368" t="s">
        <v>451</v>
      </c>
      <c r="D66" s="368">
        <v>5269</v>
      </c>
      <c r="E66" s="368">
        <v>5066</v>
      </c>
    </row>
    <row r="67" spans="1:5">
      <c r="A67" s="368">
        <v>2024</v>
      </c>
      <c r="B67" s="368" t="s">
        <v>24</v>
      </c>
      <c r="C67" s="368" t="s">
        <v>452</v>
      </c>
      <c r="D67" s="368">
        <v>4612</v>
      </c>
      <c r="E67" s="368">
        <v>4361</v>
      </c>
    </row>
    <row r="68" spans="1:5">
      <c r="A68" s="368">
        <v>2024</v>
      </c>
      <c r="B68" s="368" t="s">
        <v>25</v>
      </c>
      <c r="C68" s="368" t="s">
        <v>453</v>
      </c>
      <c r="D68" s="368">
        <v>5322</v>
      </c>
      <c r="E68" s="368">
        <v>5156</v>
      </c>
    </row>
    <row r="69" spans="1:5">
      <c r="A69" s="368">
        <v>2024</v>
      </c>
      <c r="B69" s="368" t="s">
        <v>126</v>
      </c>
      <c r="C69" s="368" t="s">
        <v>454</v>
      </c>
      <c r="D69" s="368">
        <v>15041</v>
      </c>
      <c r="E69" s="368">
        <v>14066</v>
      </c>
    </row>
    <row r="70" spans="1:5">
      <c r="A70" s="368">
        <v>2024</v>
      </c>
      <c r="B70" s="368" t="s">
        <v>33</v>
      </c>
      <c r="C70" s="368" t="s">
        <v>455</v>
      </c>
      <c r="D70" s="368">
        <v>1104</v>
      </c>
      <c r="E70" s="368">
        <v>1069</v>
      </c>
    </row>
    <row r="71" spans="1:5">
      <c r="A71" s="368">
        <v>2024</v>
      </c>
      <c r="B71" s="368" t="s">
        <v>26</v>
      </c>
      <c r="C71" s="368" t="s">
        <v>456</v>
      </c>
      <c r="D71" s="368">
        <v>7053</v>
      </c>
      <c r="E71" s="368">
        <v>6469</v>
      </c>
    </row>
    <row r="72" spans="1:5">
      <c r="A72" s="368">
        <v>2024</v>
      </c>
      <c r="B72" s="368" t="s">
        <v>27</v>
      </c>
      <c r="C72" s="368" t="s">
        <v>457</v>
      </c>
      <c r="D72" s="368">
        <v>16001</v>
      </c>
      <c r="E72" s="368">
        <v>14534</v>
      </c>
    </row>
    <row r="73" spans="1:5">
      <c r="A73" s="368">
        <v>2024</v>
      </c>
      <c r="B73" s="368" t="s">
        <v>28</v>
      </c>
      <c r="C73" s="368" t="s">
        <v>458</v>
      </c>
      <c r="D73" s="368">
        <v>21913</v>
      </c>
      <c r="E73" s="368">
        <v>20104</v>
      </c>
    </row>
    <row r="74" spans="1:5">
      <c r="A74" s="368">
        <v>2024</v>
      </c>
      <c r="B74" s="368" t="s">
        <v>29</v>
      </c>
      <c r="C74" s="368" t="s">
        <v>459</v>
      </c>
      <c r="D74" s="368">
        <v>10003</v>
      </c>
      <c r="E74" s="368">
        <v>9386</v>
      </c>
    </row>
    <row r="75" spans="1:5">
      <c r="A75" s="368">
        <v>2024</v>
      </c>
      <c r="B75" s="368" t="s">
        <v>30</v>
      </c>
      <c r="C75" s="368" t="s">
        <v>460</v>
      </c>
      <c r="D75" s="368">
        <v>3210</v>
      </c>
      <c r="E75" s="368">
        <v>3000</v>
      </c>
    </row>
    <row r="76" spans="1:5">
      <c r="A76" s="368">
        <v>2024</v>
      </c>
      <c r="B76" s="368" t="s">
        <v>31</v>
      </c>
      <c r="C76" s="368" t="s">
        <v>461</v>
      </c>
      <c r="D76" s="368">
        <v>4058</v>
      </c>
      <c r="E76" s="368">
        <v>3816</v>
      </c>
    </row>
    <row r="77" spans="1:5">
      <c r="A77" s="368">
        <v>2024</v>
      </c>
      <c r="B77" s="368" t="s">
        <v>32</v>
      </c>
      <c r="C77" s="368" t="s">
        <v>462</v>
      </c>
      <c r="D77" s="368">
        <v>3897</v>
      </c>
      <c r="E77" s="368">
        <v>3628</v>
      </c>
    </row>
    <row r="78" spans="1:5">
      <c r="A78" s="368">
        <v>2024</v>
      </c>
      <c r="B78" s="368" t="s">
        <v>34</v>
      </c>
      <c r="C78" s="368" t="s">
        <v>463</v>
      </c>
      <c r="D78" s="368">
        <v>5990</v>
      </c>
      <c r="E78" s="368">
        <v>5491</v>
      </c>
    </row>
    <row r="79" spans="1:5">
      <c r="A79" s="368">
        <v>2024</v>
      </c>
      <c r="B79" s="368" t="s">
        <v>35</v>
      </c>
      <c r="C79" s="368" t="s">
        <v>464</v>
      </c>
      <c r="D79" s="368">
        <v>15973</v>
      </c>
      <c r="E79" s="368">
        <v>14680</v>
      </c>
    </row>
    <row r="80" spans="1:5">
      <c r="A80" s="368">
        <v>2024</v>
      </c>
      <c r="B80" s="368" t="s">
        <v>36</v>
      </c>
      <c r="C80" s="368" t="s">
        <v>465</v>
      </c>
      <c r="D80" s="368">
        <v>920</v>
      </c>
      <c r="E80" s="368">
        <v>860</v>
      </c>
    </row>
    <row r="81" spans="1:5">
      <c r="A81" s="368">
        <v>2024</v>
      </c>
      <c r="B81" s="368" t="s">
        <v>37</v>
      </c>
      <c r="C81" s="368" t="s">
        <v>466</v>
      </c>
      <c r="D81" s="368">
        <v>5712</v>
      </c>
      <c r="E81" s="368">
        <v>5286</v>
      </c>
    </row>
    <row r="82" spans="1:5">
      <c r="A82" s="368">
        <v>2024</v>
      </c>
      <c r="B82" s="368" t="s">
        <v>38</v>
      </c>
      <c r="C82" s="368" t="s">
        <v>467</v>
      </c>
      <c r="D82" s="368">
        <v>7683</v>
      </c>
      <c r="E82" s="368">
        <v>7101</v>
      </c>
    </row>
    <row r="83" spans="1:5">
      <c r="A83" s="368">
        <v>2024</v>
      </c>
      <c r="B83" s="368" t="s">
        <v>39</v>
      </c>
      <c r="C83" s="368" t="s">
        <v>468</v>
      </c>
      <c r="D83" s="368">
        <v>4786</v>
      </c>
      <c r="E83" s="368">
        <v>4508</v>
      </c>
    </row>
    <row r="84" spans="1:5">
      <c r="A84" s="368">
        <v>2024</v>
      </c>
      <c r="B84" s="368" t="s">
        <v>40</v>
      </c>
      <c r="C84" s="368" t="s">
        <v>469</v>
      </c>
      <c r="D84" s="368">
        <v>1035</v>
      </c>
      <c r="E84" s="368">
        <v>1012</v>
      </c>
    </row>
    <row r="85" spans="1:5">
      <c r="A85" s="368">
        <v>2024</v>
      </c>
      <c r="B85" s="368" t="s">
        <v>41</v>
      </c>
      <c r="C85" s="368" t="s">
        <v>470</v>
      </c>
      <c r="D85" s="368">
        <v>4632</v>
      </c>
      <c r="E85" s="368">
        <v>4414</v>
      </c>
    </row>
    <row r="86" spans="1:5">
      <c r="A86" s="368">
        <v>2024</v>
      </c>
      <c r="B86" s="368" t="s">
        <v>42</v>
      </c>
      <c r="C86" s="368" t="s">
        <v>471</v>
      </c>
      <c r="D86" s="368">
        <v>14449</v>
      </c>
      <c r="E86" s="368">
        <v>13548</v>
      </c>
    </row>
    <row r="87" spans="1:5">
      <c r="A87" s="368">
        <v>2024</v>
      </c>
      <c r="B87" s="368" t="s">
        <v>43</v>
      </c>
      <c r="C87" s="368" t="s">
        <v>472</v>
      </c>
      <c r="D87" s="368">
        <v>4302</v>
      </c>
      <c r="E87" s="368">
        <v>4062</v>
      </c>
    </row>
    <row r="88" spans="1:5">
      <c r="A88" s="368">
        <v>2024</v>
      </c>
      <c r="B88" s="368" t="s">
        <v>44</v>
      </c>
      <c r="C88" s="368" t="s">
        <v>473</v>
      </c>
      <c r="D88" s="368">
        <v>4153</v>
      </c>
      <c r="E88" s="368">
        <v>3766</v>
      </c>
    </row>
    <row r="89" spans="1:5">
      <c r="A89" s="368">
        <v>2024</v>
      </c>
      <c r="B89" s="368" t="s">
        <v>45</v>
      </c>
      <c r="C89" s="368" t="s">
        <v>474</v>
      </c>
      <c r="D89" s="368">
        <v>8825</v>
      </c>
      <c r="E89" s="368">
        <v>8179</v>
      </c>
    </row>
    <row r="90" spans="1:5">
      <c r="A90" s="368">
        <v>2024</v>
      </c>
      <c r="B90" s="368" t="s">
        <v>46</v>
      </c>
      <c r="C90" s="368"/>
      <c r="D90" s="368">
        <v>222125</v>
      </c>
      <c r="E90" s="368">
        <v>205979</v>
      </c>
    </row>
    <row r="91" spans="1:5">
      <c r="A91" s="368">
        <v>2023</v>
      </c>
      <c r="B91" s="368" t="s">
        <v>15</v>
      </c>
      <c r="C91" s="368" t="s">
        <v>443</v>
      </c>
      <c r="D91" s="368">
        <v>6880</v>
      </c>
      <c r="E91" s="368">
        <v>6209</v>
      </c>
    </row>
    <row r="92" spans="1:5">
      <c r="A92" s="368">
        <v>2023</v>
      </c>
      <c r="B92" s="368" t="s">
        <v>16</v>
      </c>
      <c r="C92" s="368" t="s">
        <v>444</v>
      </c>
      <c r="D92" s="368">
        <v>10988</v>
      </c>
      <c r="E92" s="368">
        <v>10187</v>
      </c>
    </row>
    <row r="93" spans="1:5">
      <c r="A93" s="368">
        <v>2023</v>
      </c>
      <c r="B93" s="368" t="s">
        <v>17</v>
      </c>
      <c r="C93" s="368" t="s">
        <v>445</v>
      </c>
      <c r="D93" s="368">
        <v>4765</v>
      </c>
      <c r="E93" s="368">
        <v>4354</v>
      </c>
    </row>
    <row r="94" spans="1:5">
      <c r="A94" s="368">
        <v>2023</v>
      </c>
      <c r="B94" s="368" t="s">
        <v>18</v>
      </c>
      <c r="C94" s="368" t="s">
        <v>446</v>
      </c>
      <c r="D94" s="368">
        <v>3156</v>
      </c>
      <c r="E94" s="368">
        <v>2980</v>
      </c>
    </row>
    <row r="95" spans="1:5">
      <c r="A95" s="368">
        <v>2023</v>
      </c>
      <c r="B95" s="368" t="s">
        <v>19</v>
      </c>
      <c r="C95" s="368" t="s">
        <v>447</v>
      </c>
      <c r="D95" s="368">
        <v>1955</v>
      </c>
      <c r="E95" s="368">
        <v>1767</v>
      </c>
    </row>
    <row r="96" spans="1:5">
      <c r="A96" s="368">
        <v>2023</v>
      </c>
      <c r="B96" s="368" t="s">
        <v>20</v>
      </c>
      <c r="C96" s="368" t="s">
        <v>448</v>
      </c>
      <c r="D96" s="368">
        <v>6146</v>
      </c>
      <c r="E96" s="368">
        <v>5777</v>
      </c>
    </row>
    <row r="97" spans="1:5">
      <c r="A97" s="368">
        <v>2023</v>
      </c>
      <c r="B97" s="368" t="s">
        <v>21</v>
      </c>
      <c r="C97" s="368" t="s">
        <v>449</v>
      </c>
      <c r="D97" s="368">
        <v>5725</v>
      </c>
      <c r="E97" s="368">
        <v>5116</v>
      </c>
    </row>
    <row r="98" spans="1:5">
      <c r="A98" s="368">
        <v>2023</v>
      </c>
      <c r="B98" s="368" t="s">
        <v>22</v>
      </c>
      <c r="C98" s="368" t="s">
        <v>450</v>
      </c>
      <c r="D98" s="368">
        <v>5070</v>
      </c>
      <c r="E98" s="368">
        <v>4685</v>
      </c>
    </row>
    <row r="99" spans="1:5">
      <c r="A99" s="368">
        <v>2023</v>
      </c>
      <c r="B99" s="368" t="s">
        <v>23</v>
      </c>
      <c r="C99" s="368" t="s">
        <v>451</v>
      </c>
      <c r="D99" s="368">
        <v>5231</v>
      </c>
      <c r="E99" s="368">
        <v>5052</v>
      </c>
    </row>
    <row r="100" spans="1:5">
      <c r="A100" s="368">
        <v>2023</v>
      </c>
      <c r="B100" s="368" t="s">
        <v>24</v>
      </c>
      <c r="C100" s="368" t="s">
        <v>452</v>
      </c>
      <c r="D100" s="368">
        <v>4489</v>
      </c>
      <c r="E100" s="368">
        <v>4261</v>
      </c>
    </row>
    <row r="101" spans="1:5">
      <c r="A101" s="368">
        <v>2023</v>
      </c>
      <c r="B101" s="368" t="s">
        <v>25</v>
      </c>
      <c r="C101" s="368" t="s">
        <v>453</v>
      </c>
      <c r="D101" s="368">
        <v>5215</v>
      </c>
      <c r="E101" s="368">
        <v>5063</v>
      </c>
    </row>
    <row r="102" spans="1:5">
      <c r="A102" s="368">
        <v>2023</v>
      </c>
      <c r="B102" s="368" t="s">
        <v>126</v>
      </c>
      <c r="C102" s="368" t="s">
        <v>454</v>
      </c>
      <c r="D102" s="368">
        <v>14194</v>
      </c>
      <c r="E102" s="368">
        <v>13247</v>
      </c>
    </row>
    <row r="103" spans="1:5">
      <c r="A103" s="368">
        <v>2023</v>
      </c>
      <c r="B103" s="368" t="s">
        <v>33</v>
      </c>
      <c r="C103" s="368" t="s">
        <v>455</v>
      </c>
      <c r="D103" s="368">
        <v>1074</v>
      </c>
      <c r="E103" s="368">
        <v>1044</v>
      </c>
    </row>
    <row r="104" spans="1:5">
      <c r="A104" s="368">
        <v>2023</v>
      </c>
      <c r="B104" s="368" t="s">
        <v>26</v>
      </c>
      <c r="C104" s="368" t="s">
        <v>456</v>
      </c>
      <c r="D104" s="368">
        <v>6773</v>
      </c>
      <c r="E104" s="368">
        <v>6187</v>
      </c>
    </row>
    <row r="105" spans="1:5">
      <c r="A105" s="368">
        <v>2023</v>
      </c>
      <c r="B105" s="368" t="s">
        <v>27</v>
      </c>
      <c r="C105" s="368" t="s">
        <v>457</v>
      </c>
      <c r="D105" s="368">
        <v>15501</v>
      </c>
      <c r="E105" s="368">
        <v>14132</v>
      </c>
    </row>
    <row r="106" spans="1:5">
      <c r="A106" s="368">
        <v>2023</v>
      </c>
      <c r="B106" s="368" t="s">
        <v>28</v>
      </c>
      <c r="C106" s="368" t="s">
        <v>458</v>
      </c>
      <c r="D106" s="368">
        <v>21261</v>
      </c>
      <c r="E106" s="368">
        <v>19307</v>
      </c>
    </row>
    <row r="107" spans="1:5">
      <c r="A107" s="368">
        <v>2023</v>
      </c>
      <c r="B107" s="368" t="s">
        <v>29</v>
      </c>
      <c r="C107" s="368" t="s">
        <v>459</v>
      </c>
      <c r="D107" s="368">
        <v>9793</v>
      </c>
      <c r="E107" s="368">
        <v>9107</v>
      </c>
    </row>
    <row r="108" spans="1:5">
      <c r="A108" s="368">
        <v>2023</v>
      </c>
      <c r="B108" s="368" t="s">
        <v>30</v>
      </c>
      <c r="C108" s="368" t="s">
        <v>460</v>
      </c>
      <c r="D108" s="368">
        <v>3135</v>
      </c>
      <c r="E108" s="368">
        <v>2902</v>
      </c>
    </row>
    <row r="109" spans="1:5">
      <c r="A109" s="368">
        <v>2023</v>
      </c>
      <c r="B109" s="368" t="s">
        <v>31</v>
      </c>
      <c r="C109" s="368" t="s">
        <v>461</v>
      </c>
      <c r="D109" s="368">
        <v>3895</v>
      </c>
      <c r="E109" s="368">
        <v>3682</v>
      </c>
    </row>
    <row r="110" spans="1:5">
      <c r="A110" s="368">
        <v>2023</v>
      </c>
      <c r="B110" s="368" t="s">
        <v>32</v>
      </c>
      <c r="C110" s="368" t="s">
        <v>462</v>
      </c>
      <c r="D110" s="368">
        <v>3659</v>
      </c>
      <c r="E110" s="368">
        <v>3459</v>
      </c>
    </row>
    <row r="111" spans="1:5">
      <c r="A111" s="368">
        <v>2023</v>
      </c>
      <c r="B111" s="368" t="s">
        <v>34</v>
      </c>
      <c r="C111" s="368" t="s">
        <v>463</v>
      </c>
      <c r="D111" s="368">
        <v>5872</v>
      </c>
      <c r="E111" s="368">
        <v>5404</v>
      </c>
    </row>
    <row r="112" spans="1:5">
      <c r="A112" s="368">
        <v>2023</v>
      </c>
      <c r="B112" s="368" t="s">
        <v>35</v>
      </c>
      <c r="C112" s="368" t="s">
        <v>464</v>
      </c>
      <c r="D112" s="368">
        <v>15811</v>
      </c>
      <c r="E112" s="368">
        <v>14382</v>
      </c>
    </row>
    <row r="113" spans="1:5">
      <c r="A113" s="368">
        <v>2023</v>
      </c>
      <c r="B113" s="368" t="s">
        <v>36</v>
      </c>
      <c r="C113" s="368" t="s">
        <v>465</v>
      </c>
      <c r="D113" s="368">
        <v>896</v>
      </c>
      <c r="E113" s="368">
        <v>844</v>
      </c>
    </row>
    <row r="114" spans="1:5">
      <c r="A114" s="368">
        <v>2023</v>
      </c>
      <c r="B114" s="368" t="s">
        <v>37</v>
      </c>
      <c r="C114" s="368" t="s">
        <v>466</v>
      </c>
      <c r="D114" s="368">
        <v>5556</v>
      </c>
      <c r="E114" s="368">
        <v>5142</v>
      </c>
    </row>
    <row r="115" spans="1:5">
      <c r="A115" s="368">
        <v>2023</v>
      </c>
      <c r="B115" s="368" t="s">
        <v>38</v>
      </c>
      <c r="C115" s="368" t="s">
        <v>467</v>
      </c>
      <c r="D115" s="368">
        <v>7447</v>
      </c>
      <c r="E115" s="368">
        <v>6913</v>
      </c>
    </row>
    <row r="116" spans="1:5">
      <c r="A116" s="368">
        <v>2023</v>
      </c>
      <c r="B116" s="368" t="s">
        <v>39</v>
      </c>
      <c r="C116" s="368" t="s">
        <v>468</v>
      </c>
      <c r="D116" s="368">
        <v>4722</v>
      </c>
      <c r="E116" s="368">
        <v>4462</v>
      </c>
    </row>
    <row r="117" spans="1:5">
      <c r="A117" s="368">
        <v>2023</v>
      </c>
      <c r="B117" s="368" t="s">
        <v>40</v>
      </c>
      <c r="C117" s="368" t="s">
        <v>469</v>
      </c>
      <c r="D117" s="368">
        <v>1038</v>
      </c>
      <c r="E117" s="368">
        <v>1009</v>
      </c>
    </row>
    <row r="118" spans="1:5">
      <c r="A118" s="368">
        <v>2023</v>
      </c>
      <c r="B118" s="368" t="s">
        <v>41</v>
      </c>
      <c r="C118" s="368" t="s">
        <v>470</v>
      </c>
      <c r="D118" s="368">
        <v>4520</v>
      </c>
      <c r="E118" s="368">
        <v>4320</v>
      </c>
    </row>
    <row r="119" spans="1:5">
      <c r="A119" s="368">
        <v>2023</v>
      </c>
      <c r="B119" s="368" t="s">
        <v>42</v>
      </c>
      <c r="C119" s="368" t="s">
        <v>471</v>
      </c>
      <c r="D119" s="368">
        <v>13971</v>
      </c>
      <c r="E119" s="368">
        <v>13031</v>
      </c>
    </row>
    <row r="120" spans="1:5">
      <c r="A120" s="368">
        <v>2023</v>
      </c>
      <c r="B120" s="368" t="s">
        <v>43</v>
      </c>
      <c r="C120" s="368" t="s">
        <v>472</v>
      </c>
      <c r="D120" s="368">
        <v>4256</v>
      </c>
      <c r="E120" s="368">
        <v>4017</v>
      </c>
    </row>
    <row r="121" spans="1:5">
      <c r="A121" s="368">
        <v>2023</v>
      </c>
      <c r="B121" s="368" t="s">
        <v>44</v>
      </c>
      <c r="C121" s="368" t="s">
        <v>473</v>
      </c>
      <c r="D121" s="368">
        <v>3976</v>
      </c>
      <c r="E121" s="368">
        <v>3626</v>
      </c>
    </row>
    <row r="122" spans="1:5">
      <c r="A122" s="368">
        <v>2023</v>
      </c>
      <c r="B122" s="368" t="s">
        <v>45</v>
      </c>
      <c r="C122" s="368" t="s">
        <v>474</v>
      </c>
      <c r="D122" s="368">
        <v>8509</v>
      </c>
      <c r="E122" s="368">
        <v>7966</v>
      </c>
    </row>
    <row r="123" spans="1:5">
      <c r="A123" s="368">
        <v>2023</v>
      </c>
      <c r="B123" s="368" t="s">
        <v>46</v>
      </c>
      <c r="C123" s="368"/>
      <c r="D123" s="368">
        <v>215479</v>
      </c>
      <c r="E123" s="368">
        <v>199634</v>
      </c>
    </row>
    <row r="124" spans="1:5">
      <c r="A124" s="368">
        <v>2022</v>
      </c>
      <c r="B124" s="368" t="s">
        <v>15</v>
      </c>
      <c r="C124" s="368" t="s">
        <v>443</v>
      </c>
      <c r="D124" s="368">
        <v>6551</v>
      </c>
      <c r="E124" s="368">
        <v>5976</v>
      </c>
    </row>
    <row r="125" spans="1:5">
      <c r="A125" s="368">
        <v>2022</v>
      </c>
      <c r="B125" s="368" t="s">
        <v>16</v>
      </c>
      <c r="C125" s="368" t="s">
        <v>444</v>
      </c>
      <c r="D125" s="368">
        <v>10810</v>
      </c>
      <c r="E125" s="368">
        <v>10067</v>
      </c>
    </row>
    <row r="126" spans="1:5">
      <c r="A126" s="368">
        <v>2022</v>
      </c>
      <c r="B126" s="368" t="s">
        <v>17</v>
      </c>
      <c r="C126" s="368" t="s">
        <v>445</v>
      </c>
      <c r="D126" s="368">
        <v>4769</v>
      </c>
      <c r="E126" s="368">
        <v>4447</v>
      </c>
    </row>
    <row r="127" spans="1:5">
      <c r="A127" s="368">
        <v>2022</v>
      </c>
      <c r="B127" s="368" t="s">
        <v>18</v>
      </c>
      <c r="C127" s="368" t="s">
        <v>446</v>
      </c>
      <c r="D127" s="368">
        <v>3172</v>
      </c>
      <c r="E127" s="368">
        <v>2979</v>
      </c>
    </row>
    <row r="128" spans="1:5">
      <c r="A128" s="368">
        <v>2022</v>
      </c>
      <c r="B128" s="368" t="s">
        <v>19</v>
      </c>
      <c r="C128" s="368" t="s">
        <v>447</v>
      </c>
      <c r="D128" s="368">
        <v>1919</v>
      </c>
      <c r="E128" s="368">
        <v>1741</v>
      </c>
    </row>
    <row r="129" spans="1:5">
      <c r="A129" s="368">
        <v>2022</v>
      </c>
      <c r="B129" s="368" t="s">
        <v>20</v>
      </c>
      <c r="C129" s="368" t="s">
        <v>448</v>
      </c>
      <c r="D129" s="368">
        <v>6023</v>
      </c>
      <c r="E129" s="368">
        <v>5622</v>
      </c>
    </row>
    <row r="130" spans="1:5">
      <c r="A130" s="368">
        <v>2022</v>
      </c>
      <c r="B130" s="368" t="s">
        <v>21</v>
      </c>
      <c r="C130" s="368" t="s">
        <v>449</v>
      </c>
      <c r="D130" s="368">
        <v>5531</v>
      </c>
      <c r="E130" s="368">
        <v>4942</v>
      </c>
    </row>
    <row r="131" spans="1:5">
      <c r="A131" s="368">
        <v>2022</v>
      </c>
      <c r="B131" s="368" t="s">
        <v>22</v>
      </c>
      <c r="C131" s="368" t="s">
        <v>450</v>
      </c>
      <c r="D131" s="368">
        <v>4956</v>
      </c>
      <c r="E131" s="368">
        <v>4554</v>
      </c>
    </row>
    <row r="132" spans="1:5">
      <c r="A132" s="368">
        <v>2022</v>
      </c>
      <c r="B132" s="368" t="s">
        <v>23</v>
      </c>
      <c r="C132" s="368" t="s">
        <v>451</v>
      </c>
      <c r="D132" s="368">
        <v>5127</v>
      </c>
      <c r="E132" s="368">
        <v>4964</v>
      </c>
    </row>
    <row r="133" spans="1:5">
      <c r="A133" s="368">
        <v>2022</v>
      </c>
      <c r="B133" s="368" t="s">
        <v>24</v>
      </c>
      <c r="C133" s="368" t="s">
        <v>452</v>
      </c>
      <c r="D133" s="368">
        <v>4276</v>
      </c>
      <c r="E133" s="368">
        <v>3988</v>
      </c>
    </row>
    <row r="134" spans="1:5">
      <c r="A134" s="368">
        <v>2022</v>
      </c>
      <c r="B134" s="368" t="s">
        <v>25</v>
      </c>
      <c r="C134" s="368" t="s">
        <v>453</v>
      </c>
      <c r="D134" s="368">
        <v>5205</v>
      </c>
      <c r="E134" s="368">
        <v>5051</v>
      </c>
    </row>
    <row r="135" spans="1:5">
      <c r="A135" s="368">
        <v>2022</v>
      </c>
      <c r="B135" s="368" t="s">
        <v>126</v>
      </c>
      <c r="C135" s="368" t="s">
        <v>454</v>
      </c>
      <c r="D135" s="368">
        <v>13630</v>
      </c>
      <c r="E135" s="368">
        <v>12533</v>
      </c>
    </row>
    <row r="136" spans="1:5">
      <c r="A136" s="368">
        <v>2022</v>
      </c>
      <c r="B136" s="368" t="s">
        <v>33</v>
      </c>
      <c r="C136" s="368" t="s">
        <v>455</v>
      </c>
      <c r="D136" s="368">
        <v>1059</v>
      </c>
      <c r="E136" s="368">
        <v>1019</v>
      </c>
    </row>
    <row r="137" spans="1:5">
      <c r="A137" s="368">
        <v>2022</v>
      </c>
      <c r="B137" s="368" t="s">
        <v>26</v>
      </c>
      <c r="C137" s="368" t="s">
        <v>456</v>
      </c>
      <c r="D137" s="368">
        <v>6602</v>
      </c>
      <c r="E137" s="368">
        <v>6041</v>
      </c>
    </row>
    <row r="138" spans="1:5">
      <c r="A138" s="368">
        <v>2022</v>
      </c>
      <c r="B138" s="368" t="s">
        <v>27</v>
      </c>
      <c r="C138" s="368" t="s">
        <v>457</v>
      </c>
      <c r="D138" s="368">
        <v>15120</v>
      </c>
      <c r="E138" s="368">
        <v>13787</v>
      </c>
    </row>
    <row r="139" spans="1:5">
      <c r="A139" s="368">
        <v>2022</v>
      </c>
      <c r="B139" s="368" t="s">
        <v>28</v>
      </c>
      <c r="C139" s="368" t="s">
        <v>458</v>
      </c>
      <c r="D139" s="368">
        <v>20424</v>
      </c>
      <c r="E139" s="368">
        <v>18627</v>
      </c>
    </row>
    <row r="140" spans="1:5">
      <c r="A140" s="368">
        <v>2022</v>
      </c>
      <c r="B140" s="368" t="s">
        <v>29</v>
      </c>
      <c r="C140" s="368" t="s">
        <v>459</v>
      </c>
      <c r="D140" s="368">
        <v>9625</v>
      </c>
      <c r="E140" s="368">
        <v>8924</v>
      </c>
    </row>
    <row r="141" spans="1:5">
      <c r="A141" s="368">
        <v>2022</v>
      </c>
      <c r="B141" s="368" t="s">
        <v>30</v>
      </c>
      <c r="C141" s="368" t="s">
        <v>460</v>
      </c>
      <c r="D141" s="368">
        <v>3128</v>
      </c>
      <c r="E141" s="368">
        <v>2935</v>
      </c>
    </row>
    <row r="142" spans="1:5">
      <c r="A142" s="368">
        <v>2022</v>
      </c>
      <c r="B142" s="368" t="s">
        <v>31</v>
      </c>
      <c r="C142" s="368" t="s">
        <v>461</v>
      </c>
      <c r="D142" s="368">
        <v>3793</v>
      </c>
      <c r="E142" s="368">
        <v>3541</v>
      </c>
    </row>
    <row r="143" spans="1:5">
      <c r="A143" s="368">
        <v>2022</v>
      </c>
      <c r="B143" s="368" t="s">
        <v>32</v>
      </c>
      <c r="C143" s="368" t="s">
        <v>462</v>
      </c>
      <c r="D143" s="368">
        <v>3618</v>
      </c>
      <c r="E143" s="368">
        <v>3313</v>
      </c>
    </row>
    <row r="144" spans="1:5">
      <c r="A144" s="368">
        <v>2022</v>
      </c>
      <c r="B144" s="368" t="s">
        <v>34</v>
      </c>
      <c r="C144" s="368" t="s">
        <v>463</v>
      </c>
      <c r="D144" s="368">
        <v>5785</v>
      </c>
      <c r="E144" s="368">
        <v>5255</v>
      </c>
    </row>
    <row r="145" spans="1:5">
      <c r="A145" s="368">
        <v>2022</v>
      </c>
      <c r="B145" s="368" t="s">
        <v>35</v>
      </c>
      <c r="C145" s="368" t="s">
        <v>464</v>
      </c>
      <c r="D145" s="368">
        <v>15331</v>
      </c>
      <c r="E145" s="368">
        <v>13828</v>
      </c>
    </row>
    <row r="146" spans="1:5">
      <c r="A146" s="368">
        <v>2022</v>
      </c>
      <c r="B146" s="368" t="s">
        <v>36</v>
      </c>
      <c r="C146" s="368" t="s">
        <v>465</v>
      </c>
      <c r="D146" s="368">
        <v>859</v>
      </c>
      <c r="E146" s="368">
        <v>807</v>
      </c>
    </row>
    <row r="147" spans="1:5">
      <c r="A147" s="368">
        <v>2022</v>
      </c>
      <c r="B147" s="368" t="s">
        <v>37</v>
      </c>
      <c r="C147" s="368" t="s">
        <v>466</v>
      </c>
      <c r="D147" s="368">
        <v>5497</v>
      </c>
      <c r="E147" s="368">
        <v>5148</v>
      </c>
    </row>
    <row r="148" spans="1:5">
      <c r="A148" s="368">
        <v>2022</v>
      </c>
      <c r="B148" s="368" t="s">
        <v>38</v>
      </c>
      <c r="C148" s="368" t="s">
        <v>467</v>
      </c>
      <c r="D148" s="368">
        <v>7234</v>
      </c>
      <c r="E148" s="368">
        <v>6746</v>
      </c>
    </row>
    <row r="149" spans="1:5">
      <c r="A149" s="368">
        <v>2022</v>
      </c>
      <c r="B149" s="368" t="s">
        <v>39</v>
      </c>
      <c r="C149" s="368" t="s">
        <v>468</v>
      </c>
      <c r="D149" s="368">
        <v>4679</v>
      </c>
      <c r="E149" s="368">
        <v>4369</v>
      </c>
    </row>
    <row r="150" spans="1:5">
      <c r="A150" s="368">
        <v>2022</v>
      </c>
      <c r="B150" s="368" t="s">
        <v>40</v>
      </c>
      <c r="C150" s="368" t="s">
        <v>469</v>
      </c>
      <c r="D150" s="368">
        <v>1005</v>
      </c>
      <c r="E150" s="368">
        <v>965</v>
      </c>
    </row>
    <row r="151" spans="1:5">
      <c r="A151" s="368">
        <v>2022</v>
      </c>
      <c r="B151" s="368" t="s">
        <v>41</v>
      </c>
      <c r="C151" s="368" t="s">
        <v>470</v>
      </c>
      <c r="D151" s="368">
        <v>4375</v>
      </c>
      <c r="E151" s="368">
        <v>4098</v>
      </c>
    </row>
    <row r="152" spans="1:5">
      <c r="A152" s="368">
        <v>2022</v>
      </c>
      <c r="B152" s="368" t="s">
        <v>42</v>
      </c>
      <c r="C152" s="368" t="s">
        <v>471</v>
      </c>
      <c r="D152" s="368">
        <v>13616</v>
      </c>
      <c r="E152" s="368">
        <v>12569</v>
      </c>
    </row>
    <row r="153" spans="1:5">
      <c r="A153" s="368">
        <v>2022</v>
      </c>
      <c r="B153" s="368" t="s">
        <v>43</v>
      </c>
      <c r="C153" s="368" t="s">
        <v>472</v>
      </c>
      <c r="D153" s="368">
        <v>4151</v>
      </c>
      <c r="E153" s="368">
        <v>3899</v>
      </c>
    </row>
    <row r="154" spans="1:5">
      <c r="A154" s="368">
        <v>2022</v>
      </c>
      <c r="B154" s="368" t="s">
        <v>44</v>
      </c>
      <c r="C154" s="368" t="s">
        <v>473</v>
      </c>
      <c r="D154" s="368">
        <v>3850</v>
      </c>
      <c r="E154" s="368">
        <v>3469</v>
      </c>
    </row>
    <row r="155" spans="1:5">
      <c r="A155" s="368">
        <v>2022</v>
      </c>
      <c r="B155" s="368" t="s">
        <v>45</v>
      </c>
      <c r="C155" s="368" t="s">
        <v>474</v>
      </c>
      <c r="D155" s="368">
        <v>8264</v>
      </c>
      <c r="E155" s="368">
        <v>7721</v>
      </c>
    </row>
    <row r="156" spans="1:5">
      <c r="A156" s="368">
        <v>2022</v>
      </c>
      <c r="B156" s="368" t="s">
        <v>46</v>
      </c>
      <c r="C156" s="368"/>
      <c r="D156" s="368">
        <v>209984</v>
      </c>
      <c r="E156" s="368">
        <v>193925</v>
      </c>
    </row>
    <row r="157" spans="1:5">
      <c r="A157" s="368">
        <v>2021</v>
      </c>
      <c r="B157" s="368" t="s">
        <v>15</v>
      </c>
      <c r="C157" s="368" t="s">
        <v>443</v>
      </c>
      <c r="D157" s="368">
        <v>6375</v>
      </c>
      <c r="E157" s="368">
        <v>5702</v>
      </c>
    </row>
    <row r="158" spans="1:5">
      <c r="A158" s="368">
        <v>2021</v>
      </c>
      <c r="B158" s="368" t="s">
        <v>16</v>
      </c>
      <c r="C158" s="368" t="s">
        <v>444</v>
      </c>
      <c r="D158" s="368">
        <v>10608</v>
      </c>
      <c r="E158" s="368">
        <v>9782</v>
      </c>
    </row>
    <row r="159" spans="1:5">
      <c r="A159" s="368">
        <v>2021</v>
      </c>
      <c r="B159" s="368" t="s">
        <v>17</v>
      </c>
      <c r="C159" s="368" t="s">
        <v>445</v>
      </c>
      <c r="D159" s="368">
        <v>4792</v>
      </c>
      <c r="E159" s="368">
        <v>4430</v>
      </c>
    </row>
    <row r="160" spans="1:5">
      <c r="A160" s="368">
        <v>2021</v>
      </c>
      <c r="B160" s="368" t="s">
        <v>18</v>
      </c>
      <c r="C160" s="368" t="s">
        <v>446</v>
      </c>
      <c r="D160" s="368">
        <v>3168</v>
      </c>
      <c r="E160" s="368">
        <v>2963</v>
      </c>
    </row>
    <row r="161" spans="1:5">
      <c r="A161" s="368">
        <v>2021</v>
      </c>
      <c r="B161" s="368" t="s">
        <v>19</v>
      </c>
      <c r="C161" s="368" t="s">
        <v>447</v>
      </c>
      <c r="D161" s="368">
        <v>1943</v>
      </c>
      <c r="E161" s="368">
        <v>1748</v>
      </c>
    </row>
    <row r="162" spans="1:5">
      <c r="A162" s="368">
        <v>2021</v>
      </c>
      <c r="B162" s="368" t="s">
        <v>20</v>
      </c>
      <c r="C162" s="368" t="s">
        <v>448</v>
      </c>
      <c r="D162" s="368">
        <v>5830</v>
      </c>
      <c r="E162" s="368">
        <v>5428</v>
      </c>
    </row>
    <row r="163" spans="1:5">
      <c r="A163" s="368">
        <v>2021</v>
      </c>
      <c r="B163" s="368" t="s">
        <v>21</v>
      </c>
      <c r="C163" s="368" t="s">
        <v>449</v>
      </c>
      <c r="D163" s="368">
        <v>5529</v>
      </c>
      <c r="E163" s="368">
        <v>4971</v>
      </c>
    </row>
    <row r="164" spans="1:5">
      <c r="A164" s="368">
        <v>2021</v>
      </c>
      <c r="B164" s="368" t="s">
        <v>22</v>
      </c>
      <c r="C164" s="368" t="s">
        <v>450</v>
      </c>
      <c r="D164" s="368">
        <v>4956</v>
      </c>
      <c r="E164" s="368">
        <v>4510</v>
      </c>
    </row>
    <row r="165" spans="1:5">
      <c r="A165" s="368">
        <v>2021</v>
      </c>
      <c r="B165" s="368" t="s">
        <v>23</v>
      </c>
      <c r="C165" s="368" t="s">
        <v>451</v>
      </c>
      <c r="D165" s="368">
        <v>5086</v>
      </c>
      <c r="E165" s="368">
        <v>4916</v>
      </c>
    </row>
    <row r="166" spans="1:5">
      <c r="A166" s="368">
        <v>2021</v>
      </c>
      <c r="B166" s="368" t="s">
        <v>24</v>
      </c>
      <c r="C166" s="368" t="s">
        <v>452</v>
      </c>
      <c r="D166" s="368">
        <v>4160</v>
      </c>
      <c r="E166" s="368">
        <v>3911</v>
      </c>
    </row>
    <row r="167" spans="1:5">
      <c r="A167" s="368">
        <v>2021</v>
      </c>
      <c r="B167" s="368" t="s">
        <v>25</v>
      </c>
      <c r="C167" s="368" t="s">
        <v>453</v>
      </c>
      <c r="D167" s="368">
        <v>5206</v>
      </c>
      <c r="E167" s="368">
        <v>5060</v>
      </c>
    </row>
    <row r="168" spans="1:5">
      <c r="A168" s="368">
        <v>2021</v>
      </c>
      <c r="B168" s="368" t="s">
        <v>126</v>
      </c>
      <c r="C168" s="368" t="s">
        <v>454</v>
      </c>
      <c r="D168" s="368">
        <v>13468</v>
      </c>
      <c r="E168" s="368">
        <v>12461</v>
      </c>
    </row>
    <row r="169" spans="1:5">
      <c r="A169" s="368">
        <v>2021</v>
      </c>
      <c r="B169" s="368" t="s">
        <v>33</v>
      </c>
      <c r="C169" s="368" t="s">
        <v>455</v>
      </c>
      <c r="D169" s="368">
        <v>1052</v>
      </c>
      <c r="E169" s="368">
        <v>1006</v>
      </c>
    </row>
    <row r="170" spans="1:5">
      <c r="A170" s="368">
        <v>2021</v>
      </c>
      <c r="B170" s="368" t="s">
        <v>26</v>
      </c>
      <c r="C170" s="368" t="s">
        <v>456</v>
      </c>
      <c r="D170" s="368">
        <v>6431</v>
      </c>
      <c r="E170" s="368">
        <v>5905</v>
      </c>
    </row>
    <row r="171" spans="1:5">
      <c r="A171" s="368">
        <v>2021</v>
      </c>
      <c r="B171" s="368" t="s">
        <v>27</v>
      </c>
      <c r="C171" s="368" t="s">
        <v>457</v>
      </c>
      <c r="D171" s="368">
        <v>14995</v>
      </c>
      <c r="E171" s="368">
        <v>13650</v>
      </c>
    </row>
    <row r="172" spans="1:5">
      <c r="A172" s="368">
        <v>2021</v>
      </c>
      <c r="B172" s="368" t="s">
        <v>28</v>
      </c>
      <c r="C172" s="368" t="s">
        <v>458</v>
      </c>
      <c r="D172" s="368">
        <v>20073</v>
      </c>
      <c r="E172" s="368">
        <v>18175</v>
      </c>
    </row>
    <row r="173" spans="1:5">
      <c r="A173" s="368">
        <v>2021</v>
      </c>
      <c r="B173" s="368" t="s">
        <v>29</v>
      </c>
      <c r="C173" s="368" t="s">
        <v>459</v>
      </c>
      <c r="D173" s="368">
        <v>9570</v>
      </c>
      <c r="E173" s="368">
        <v>8866</v>
      </c>
    </row>
    <row r="174" spans="1:5">
      <c r="A174" s="368">
        <v>2021</v>
      </c>
      <c r="B174" s="368" t="s">
        <v>30</v>
      </c>
      <c r="C174" s="368" t="s">
        <v>460</v>
      </c>
      <c r="D174" s="368">
        <v>3051</v>
      </c>
      <c r="E174" s="368">
        <v>2847</v>
      </c>
    </row>
    <row r="175" spans="1:5">
      <c r="A175" s="368">
        <v>2021</v>
      </c>
      <c r="B175" s="368" t="s">
        <v>31</v>
      </c>
      <c r="C175" s="368" t="s">
        <v>461</v>
      </c>
      <c r="D175" s="368">
        <v>3690</v>
      </c>
      <c r="E175" s="368">
        <v>3458</v>
      </c>
    </row>
    <row r="176" spans="1:5">
      <c r="A176" s="368">
        <v>2021</v>
      </c>
      <c r="B176" s="368" t="s">
        <v>32</v>
      </c>
      <c r="C176" s="368" t="s">
        <v>462</v>
      </c>
      <c r="D176" s="368">
        <v>3572</v>
      </c>
      <c r="E176" s="368">
        <v>3278</v>
      </c>
    </row>
    <row r="177" spans="1:5">
      <c r="A177" s="368">
        <v>2021</v>
      </c>
      <c r="B177" s="368" t="s">
        <v>34</v>
      </c>
      <c r="C177" s="368" t="s">
        <v>463</v>
      </c>
      <c r="D177" s="368">
        <v>5730</v>
      </c>
      <c r="E177" s="368">
        <v>5164</v>
      </c>
    </row>
    <row r="178" spans="1:5">
      <c r="A178" s="368">
        <v>2021</v>
      </c>
      <c r="B178" s="368" t="s">
        <v>35</v>
      </c>
      <c r="C178" s="368" t="s">
        <v>464</v>
      </c>
      <c r="D178" s="368">
        <v>15194</v>
      </c>
      <c r="E178" s="368">
        <v>13896</v>
      </c>
    </row>
    <row r="179" spans="1:5">
      <c r="A179" s="368">
        <v>2021</v>
      </c>
      <c r="B179" s="368" t="s">
        <v>36</v>
      </c>
      <c r="C179" s="368" t="s">
        <v>465</v>
      </c>
      <c r="D179" s="368">
        <v>829</v>
      </c>
      <c r="E179" s="368">
        <v>774</v>
      </c>
    </row>
    <row r="180" spans="1:5">
      <c r="A180" s="368">
        <v>2021</v>
      </c>
      <c r="B180" s="368" t="s">
        <v>37</v>
      </c>
      <c r="C180" s="368" t="s">
        <v>466</v>
      </c>
      <c r="D180" s="368">
        <v>5454</v>
      </c>
      <c r="E180" s="368">
        <v>5105</v>
      </c>
    </row>
    <row r="181" spans="1:5">
      <c r="A181" s="368">
        <v>2021</v>
      </c>
      <c r="B181" s="368" t="s">
        <v>38</v>
      </c>
      <c r="C181" s="368" t="s">
        <v>467</v>
      </c>
      <c r="D181" s="368">
        <v>7126</v>
      </c>
      <c r="E181" s="368">
        <v>6627</v>
      </c>
    </row>
    <row r="182" spans="1:5">
      <c r="A182" s="368">
        <v>2021</v>
      </c>
      <c r="B182" s="368" t="s">
        <v>39</v>
      </c>
      <c r="C182" s="368" t="s">
        <v>468</v>
      </c>
      <c r="D182" s="368">
        <v>4677</v>
      </c>
      <c r="E182" s="368">
        <v>4387</v>
      </c>
    </row>
    <row r="183" spans="1:5">
      <c r="A183" s="368">
        <v>2021</v>
      </c>
      <c r="B183" s="368" t="s">
        <v>40</v>
      </c>
      <c r="C183" s="368" t="s">
        <v>469</v>
      </c>
      <c r="D183" s="368">
        <v>983</v>
      </c>
      <c r="E183" s="368">
        <v>954</v>
      </c>
    </row>
    <row r="184" spans="1:5">
      <c r="A184" s="368">
        <v>2021</v>
      </c>
      <c r="B184" s="368" t="s">
        <v>41</v>
      </c>
      <c r="C184" s="368" t="s">
        <v>470</v>
      </c>
      <c r="D184" s="368">
        <v>4360</v>
      </c>
      <c r="E184" s="368">
        <v>4002</v>
      </c>
    </row>
    <row r="185" spans="1:5">
      <c r="A185" s="368">
        <v>2021</v>
      </c>
      <c r="B185" s="368" t="s">
        <v>42</v>
      </c>
      <c r="C185" s="368" t="s">
        <v>471</v>
      </c>
      <c r="D185" s="368">
        <v>13530</v>
      </c>
      <c r="E185" s="368">
        <v>12555</v>
      </c>
    </row>
    <row r="186" spans="1:5">
      <c r="A186" s="368">
        <v>2021</v>
      </c>
      <c r="B186" s="368" t="s">
        <v>43</v>
      </c>
      <c r="C186" s="368" t="s">
        <v>472</v>
      </c>
      <c r="D186" s="368">
        <v>4041</v>
      </c>
      <c r="E186" s="368">
        <v>3787</v>
      </c>
    </row>
    <row r="187" spans="1:5">
      <c r="A187" s="368">
        <v>2021</v>
      </c>
      <c r="B187" s="368" t="s">
        <v>44</v>
      </c>
      <c r="C187" s="368" t="s">
        <v>473</v>
      </c>
      <c r="D187" s="368">
        <v>3814</v>
      </c>
      <c r="E187" s="368">
        <v>3463</v>
      </c>
    </row>
    <row r="188" spans="1:5">
      <c r="A188" s="368">
        <v>2021</v>
      </c>
      <c r="B188" s="368" t="s">
        <v>45</v>
      </c>
      <c r="C188" s="368" t="s">
        <v>474</v>
      </c>
      <c r="D188" s="368">
        <v>8236</v>
      </c>
      <c r="E188" s="368">
        <v>7518</v>
      </c>
    </row>
    <row r="189" spans="1:5">
      <c r="A189" s="368">
        <v>2021</v>
      </c>
      <c r="B189" s="368" t="s">
        <v>46</v>
      </c>
      <c r="C189" s="368"/>
      <c r="D189" s="368">
        <v>207529</v>
      </c>
      <c r="E189" s="368">
        <v>191299</v>
      </c>
    </row>
    <row r="190" spans="1:5">
      <c r="A190" s="368">
        <v>2020</v>
      </c>
      <c r="B190" s="368" t="s">
        <v>15</v>
      </c>
      <c r="C190" s="368" t="s">
        <v>443</v>
      </c>
      <c r="D190" s="368">
        <v>6378</v>
      </c>
      <c r="E190" s="368">
        <v>5732</v>
      </c>
    </row>
    <row r="191" spans="1:5">
      <c r="A191" s="368">
        <v>2020</v>
      </c>
      <c r="B191" s="368" t="s">
        <v>16</v>
      </c>
      <c r="C191" s="368" t="s">
        <v>444</v>
      </c>
      <c r="D191" s="368">
        <v>10567</v>
      </c>
      <c r="E191" s="368">
        <v>9752</v>
      </c>
    </row>
    <row r="192" spans="1:5">
      <c r="A192" s="368">
        <v>2020</v>
      </c>
      <c r="B192" s="368" t="s">
        <v>17</v>
      </c>
      <c r="C192" s="368" t="s">
        <v>445</v>
      </c>
      <c r="D192" s="368">
        <v>4762</v>
      </c>
      <c r="E192" s="368">
        <v>4354</v>
      </c>
    </row>
    <row r="193" spans="1:5">
      <c r="A193" s="368">
        <v>2020</v>
      </c>
      <c r="B193" s="368" t="s">
        <v>18</v>
      </c>
      <c r="C193" s="368" t="s">
        <v>446</v>
      </c>
      <c r="D193" s="368">
        <v>3185</v>
      </c>
      <c r="E193" s="368">
        <v>2996</v>
      </c>
    </row>
    <row r="194" spans="1:5">
      <c r="A194" s="368">
        <v>2020</v>
      </c>
      <c r="B194" s="368" t="s">
        <v>19</v>
      </c>
      <c r="C194" s="368" t="s">
        <v>447</v>
      </c>
      <c r="D194" s="368">
        <v>1949</v>
      </c>
      <c r="E194" s="368">
        <v>1741</v>
      </c>
    </row>
    <row r="195" spans="1:5">
      <c r="A195" s="368">
        <v>2020</v>
      </c>
      <c r="B195" s="368" t="s">
        <v>20</v>
      </c>
      <c r="C195" s="368" t="s">
        <v>448</v>
      </c>
      <c r="D195" s="368">
        <v>5728</v>
      </c>
      <c r="E195" s="368">
        <v>5264</v>
      </c>
    </row>
    <row r="196" spans="1:5">
      <c r="A196" s="368">
        <v>2020</v>
      </c>
      <c r="B196" s="368" t="s">
        <v>21</v>
      </c>
      <c r="C196" s="368" t="s">
        <v>449</v>
      </c>
      <c r="D196" s="368">
        <v>5397</v>
      </c>
      <c r="E196" s="368">
        <v>4859</v>
      </c>
    </row>
    <row r="197" spans="1:5">
      <c r="A197" s="368">
        <v>2020</v>
      </c>
      <c r="B197" s="368" t="s">
        <v>22</v>
      </c>
      <c r="C197" s="368" t="s">
        <v>450</v>
      </c>
      <c r="D197" s="368">
        <v>4909</v>
      </c>
      <c r="E197" s="368">
        <v>4417</v>
      </c>
    </row>
    <row r="198" spans="1:5">
      <c r="A198" s="368">
        <v>2020</v>
      </c>
      <c r="B198" s="368" t="s">
        <v>23</v>
      </c>
      <c r="C198" s="368" t="s">
        <v>451</v>
      </c>
      <c r="D198" s="368">
        <v>5036</v>
      </c>
      <c r="E198" s="368">
        <v>4842</v>
      </c>
    </row>
    <row r="199" spans="1:5">
      <c r="A199" s="368">
        <v>2020</v>
      </c>
      <c r="B199" s="368" t="s">
        <v>24</v>
      </c>
      <c r="C199" s="368" t="s">
        <v>452</v>
      </c>
      <c r="D199" s="368">
        <v>4082</v>
      </c>
      <c r="E199" s="368">
        <v>3856</v>
      </c>
    </row>
    <row r="200" spans="1:5">
      <c r="A200" s="368">
        <v>2020</v>
      </c>
      <c r="B200" s="368" t="s">
        <v>25</v>
      </c>
      <c r="C200" s="368" t="s">
        <v>453</v>
      </c>
      <c r="D200" s="368">
        <v>5107</v>
      </c>
      <c r="E200" s="368">
        <v>4941</v>
      </c>
    </row>
    <row r="201" spans="1:5">
      <c r="A201" s="368">
        <v>2020</v>
      </c>
      <c r="B201" s="368" t="s">
        <v>126</v>
      </c>
      <c r="C201" s="368" t="s">
        <v>454</v>
      </c>
      <c r="D201" s="368">
        <v>13390</v>
      </c>
      <c r="E201" s="368">
        <v>12372</v>
      </c>
    </row>
    <row r="202" spans="1:5">
      <c r="A202" s="368">
        <v>2020</v>
      </c>
      <c r="B202" s="368" t="s">
        <v>33</v>
      </c>
      <c r="C202" s="368" t="s">
        <v>455</v>
      </c>
      <c r="D202" s="368">
        <v>1068</v>
      </c>
      <c r="E202" s="368">
        <v>1020</v>
      </c>
    </row>
    <row r="203" spans="1:5">
      <c r="A203" s="368">
        <v>2020</v>
      </c>
      <c r="B203" s="368" t="s">
        <v>26</v>
      </c>
      <c r="C203" s="368" t="s">
        <v>456</v>
      </c>
      <c r="D203" s="368">
        <v>6375</v>
      </c>
      <c r="E203" s="368">
        <v>5860</v>
      </c>
    </row>
    <row r="204" spans="1:5">
      <c r="A204" s="368">
        <v>2020</v>
      </c>
      <c r="B204" s="368" t="s">
        <v>27</v>
      </c>
      <c r="C204" s="368" t="s">
        <v>457</v>
      </c>
      <c r="D204" s="368">
        <v>14728</v>
      </c>
      <c r="E204" s="368">
        <v>13509</v>
      </c>
    </row>
    <row r="205" spans="1:5">
      <c r="A205" s="368">
        <v>2020</v>
      </c>
      <c r="B205" s="368" t="s">
        <v>28</v>
      </c>
      <c r="C205" s="368" t="s">
        <v>458</v>
      </c>
      <c r="D205" s="368">
        <v>19930</v>
      </c>
      <c r="E205" s="368">
        <v>17841</v>
      </c>
    </row>
    <row r="206" spans="1:5">
      <c r="A206" s="368">
        <v>2020</v>
      </c>
      <c r="B206" s="368" t="s">
        <v>29</v>
      </c>
      <c r="C206" s="368" t="s">
        <v>459</v>
      </c>
      <c r="D206" s="368">
        <v>9622</v>
      </c>
      <c r="E206" s="368">
        <v>9005</v>
      </c>
    </row>
    <row r="207" spans="1:5">
      <c r="A207" s="368">
        <v>2020</v>
      </c>
      <c r="B207" s="368" t="s">
        <v>30</v>
      </c>
      <c r="C207" s="368" t="s">
        <v>460</v>
      </c>
      <c r="D207" s="368">
        <v>3037</v>
      </c>
      <c r="E207" s="368">
        <v>2822</v>
      </c>
    </row>
    <row r="208" spans="1:5">
      <c r="A208" s="368">
        <v>2020</v>
      </c>
      <c r="B208" s="368" t="s">
        <v>31</v>
      </c>
      <c r="C208" s="368" t="s">
        <v>461</v>
      </c>
      <c r="D208" s="368">
        <v>3708</v>
      </c>
      <c r="E208" s="368">
        <v>3462</v>
      </c>
    </row>
    <row r="209" spans="1:5">
      <c r="A209" s="368">
        <v>2020</v>
      </c>
      <c r="B209" s="368" t="s">
        <v>32</v>
      </c>
      <c r="C209" s="368" t="s">
        <v>462</v>
      </c>
      <c r="D209" s="368">
        <v>3592</v>
      </c>
      <c r="E209" s="368">
        <v>3358</v>
      </c>
    </row>
    <row r="210" spans="1:5">
      <c r="A210" s="368">
        <v>2020</v>
      </c>
      <c r="B210" s="368" t="s">
        <v>34</v>
      </c>
      <c r="C210" s="368" t="s">
        <v>463</v>
      </c>
      <c r="D210" s="368">
        <v>5711</v>
      </c>
      <c r="E210" s="368">
        <v>5172</v>
      </c>
    </row>
    <row r="211" spans="1:5">
      <c r="A211" s="368">
        <v>2020</v>
      </c>
      <c r="B211" s="368" t="s">
        <v>35</v>
      </c>
      <c r="C211" s="368" t="s">
        <v>464</v>
      </c>
      <c r="D211" s="368">
        <v>15139</v>
      </c>
      <c r="E211" s="368">
        <v>13733</v>
      </c>
    </row>
    <row r="212" spans="1:5">
      <c r="A212" s="368">
        <v>2020</v>
      </c>
      <c r="B212" s="368" t="s">
        <v>36</v>
      </c>
      <c r="C212" s="368" t="s">
        <v>465</v>
      </c>
      <c r="D212" s="368">
        <v>831</v>
      </c>
      <c r="E212" s="368">
        <v>787</v>
      </c>
    </row>
    <row r="213" spans="1:5">
      <c r="A213" s="368">
        <v>2020</v>
      </c>
      <c r="B213" s="368" t="s">
        <v>37</v>
      </c>
      <c r="C213" s="368" t="s">
        <v>466</v>
      </c>
      <c r="D213" s="368">
        <v>5458</v>
      </c>
      <c r="E213" s="368">
        <v>5172</v>
      </c>
    </row>
    <row r="214" spans="1:5">
      <c r="A214" s="368">
        <v>2020</v>
      </c>
      <c r="B214" s="368" t="s">
        <v>38</v>
      </c>
      <c r="C214" s="368" t="s">
        <v>467</v>
      </c>
      <c r="D214" s="368">
        <v>7144</v>
      </c>
      <c r="E214" s="368">
        <v>6599</v>
      </c>
    </row>
    <row r="215" spans="1:5">
      <c r="A215" s="368">
        <v>2020</v>
      </c>
      <c r="B215" s="368" t="s">
        <v>39</v>
      </c>
      <c r="C215" s="368" t="s">
        <v>468</v>
      </c>
      <c r="D215" s="368">
        <v>4622</v>
      </c>
      <c r="E215" s="368">
        <v>4370</v>
      </c>
    </row>
    <row r="216" spans="1:5">
      <c r="A216" s="368">
        <v>2020</v>
      </c>
      <c r="B216" s="368" t="s">
        <v>40</v>
      </c>
      <c r="C216" s="368" t="s">
        <v>469</v>
      </c>
      <c r="D216" s="368">
        <v>977</v>
      </c>
      <c r="E216" s="368">
        <v>946</v>
      </c>
    </row>
    <row r="217" spans="1:5">
      <c r="A217" s="368">
        <v>2020</v>
      </c>
      <c r="B217" s="368" t="s">
        <v>41</v>
      </c>
      <c r="C217" s="368" t="s">
        <v>470</v>
      </c>
      <c r="D217" s="368">
        <v>4402</v>
      </c>
      <c r="E217" s="368">
        <v>4022</v>
      </c>
    </row>
    <row r="218" spans="1:5">
      <c r="A218" s="368">
        <v>2020</v>
      </c>
      <c r="B218" s="368" t="s">
        <v>42</v>
      </c>
      <c r="C218" s="368" t="s">
        <v>471</v>
      </c>
      <c r="D218" s="368">
        <v>13416</v>
      </c>
      <c r="E218" s="368">
        <v>12437</v>
      </c>
    </row>
    <row r="219" spans="1:5">
      <c r="A219" s="368">
        <v>2020</v>
      </c>
      <c r="B219" s="368" t="s">
        <v>43</v>
      </c>
      <c r="C219" s="368" t="s">
        <v>472</v>
      </c>
      <c r="D219" s="368">
        <v>3991</v>
      </c>
      <c r="E219" s="368">
        <v>3767</v>
      </c>
    </row>
    <row r="220" spans="1:5">
      <c r="A220" s="368">
        <v>2020</v>
      </c>
      <c r="B220" s="368" t="s">
        <v>44</v>
      </c>
      <c r="C220" s="368" t="s">
        <v>473</v>
      </c>
      <c r="D220" s="368">
        <v>3707</v>
      </c>
      <c r="E220" s="368">
        <v>3344</v>
      </c>
    </row>
    <row r="221" spans="1:5">
      <c r="A221" s="368">
        <v>2020</v>
      </c>
      <c r="B221" s="368" t="s">
        <v>45</v>
      </c>
      <c r="C221" s="368" t="s">
        <v>474</v>
      </c>
      <c r="D221" s="368">
        <v>8033</v>
      </c>
      <c r="E221" s="368">
        <v>7423</v>
      </c>
    </row>
    <row r="222" spans="1:5">
      <c r="A222" s="368">
        <v>2020</v>
      </c>
      <c r="B222" s="368" t="s">
        <v>46</v>
      </c>
      <c r="C222" s="368"/>
      <c r="D222" s="368">
        <v>205981</v>
      </c>
      <c r="E222" s="368">
        <v>189775</v>
      </c>
    </row>
  </sheetData>
  <conditionalFormatting sqref="A1:XFD1048576">
    <cfRule type="expression" dxfId="83"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autoPageBreaks="0"/>
  </sheetPr>
  <dimension ref="A1:Q52"/>
  <sheetViews>
    <sheetView topLeftCell="A17" zoomScale="61" zoomScaleNormal="55" workbookViewId="0">
      <selection activeCell="T38" sqref="T38"/>
    </sheetView>
  </sheetViews>
  <sheetFormatPr defaultColWidth="8.7109375" defaultRowHeight="15"/>
  <cols>
    <col min="1" max="1" width="25" customWidth="1" collapsed="1"/>
    <col min="2" max="17" width="14" customWidth="1" collapsed="1"/>
  </cols>
  <sheetData>
    <row r="1" spans="1:17" ht="15.75">
      <c r="A1" s="1" t="s">
        <v>0</v>
      </c>
    </row>
    <row r="2" spans="1:17">
      <c r="A2" s="2" t="s">
        <v>63</v>
      </c>
    </row>
    <row r="4" spans="1:17">
      <c r="A4" s="10" t="s">
        <v>2</v>
      </c>
      <c r="B4" s="10" t="s">
        <v>3</v>
      </c>
    </row>
    <row r="5" spans="1:17">
      <c r="A5" s="10" t="s">
        <v>4</v>
      </c>
      <c r="B5" s="10" t="s">
        <v>65</v>
      </c>
    </row>
    <row r="7" spans="1:17" ht="21.95" customHeight="1">
      <c r="A7" s="17" t="s">
        <v>7</v>
      </c>
      <c r="B7" s="473" t="s">
        <v>230</v>
      </c>
      <c r="C7" s="475"/>
      <c r="D7" s="475"/>
      <c r="E7" s="475"/>
      <c r="F7" s="473" t="s">
        <v>356</v>
      </c>
      <c r="G7" s="475"/>
      <c r="H7" s="475"/>
      <c r="I7" s="475"/>
      <c r="J7" s="473" t="s">
        <v>398</v>
      </c>
      <c r="K7" s="475"/>
      <c r="L7" s="475"/>
      <c r="M7" s="475"/>
      <c r="N7" s="473" t="s">
        <v>423</v>
      </c>
      <c r="O7" s="475"/>
      <c r="P7" s="475"/>
      <c r="Q7" s="475"/>
    </row>
    <row r="8" spans="1:17" ht="26.1" customHeight="1">
      <c r="B8" s="16" t="s">
        <v>8</v>
      </c>
      <c r="C8" s="16" t="s">
        <v>9</v>
      </c>
      <c r="D8" s="16" t="s">
        <v>10</v>
      </c>
      <c r="E8" s="16" t="s">
        <v>11</v>
      </c>
      <c r="F8" s="16" t="s">
        <v>8</v>
      </c>
      <c r="G8" s="16" t="s">
        <v>9</v>
      </c>
      <c r="H8" s="16" t="s">
        <v>10</v>
      </c>
      <c r="I8" s="16" t="s">
        <v>11</v>
      </c>
      <c r="J8" s="16" t="s">
        <v>8</v>
      </c>
      <c r="K8" s="16" t="s">
        <v>9</v>
      </c>
      <c r="L8" s="16" t="s">
        <v>10</v>
      </c>
      <c r="M8" s="16" t="s">
        <v>11</v>
      </c>
      <c r="N8" s="16" t="s">
        <v>8</v>
      </c>
      <c r="O8" s="16" t="s">
        <v>9</v>
      </c>
      <c r="P8" s="16" t="s">
        <v>10</v>
      </c>
      <c r="Q8" s="16" t="s">
        <v>11</v>
      </c>
    </row>
    <row r="9" spans="1:17">
      <c r="A9" s="10" t="s">
        <v>15</v>
      </c>
      <c r="B9" s="239"/>
      <c r="C9" s="239"/>
      <c r="D9" s="240"/>
      <c r="E9" s="240"/>
      <c r="F9" s="239"/>
      <c r="G9" s="239"/>
      <c r="H9" s="240"/>
      <c r="I9" s="240"/>
      <c r="J9" s="239">
        <v>82400</v>
      </c>
      <c r="K9" s="239">
        <v>153200</v>
      </c>
      <c r="L9" s="239">
        <v>53.8</v>
      </c>
      <c r="M9" s="239">
        <v>5.0999999999999996</v>
      </c>
      <c r="N9" s="239">
        <v>95600</v>
      </c>
      <c r="O9" s="239">
        <v>156700</v>
      </c>
      <c r="P9" s="239">
        <v>61.1</v>
      </c>
      <c r="Q9" s="239">
        <v>5.5</v>
      </c>
    </row>
    <row r="10" spans="1:17">
      <c r="A10" s="10" t="s">
        <v>16</v>
      </c>
      <c r="B10" s="239"/>
      <c r="C10" s="239"/>
      <c r="D10" s="240"/>
      <c r="E10" s="240"/>
      <c r="F10" s="239"/>
      <c r="G10" s="239"/>
      <c r="H10" s="240"/>
      <c r="I10" s="240"/>
      <c r="J10" s="239">
        <v>72800</v>
      </c>
      <c r="K10" s="239">
        <v>156600</v>
      </c>
      <c r="L10" s="239">
        <v>46.5</v>
      </c>
      <c r="M10" s="239">
        <v>5.2</v>
      </c>
      <c r="N10" s="239">
        <v>82600</v>
      </c>
      <c r="O10" s="239">
        <v>164900</v>
      </c>
      <c r="P10" s="239">
        <v>50.1</v>
      </c>
      <c r="Q10" s="239">
        <v>6.2</v>
      </c>
    </row>
    <row r="11" spans="1:17">
      <c r="A11" s="10" t="s">
        <v>17</v>
      </c>
      <c r="B11" s="239"/>
      <c r="C11" s="239"/>
      <c r="D11" s="240"/>
      <c r="E11" s="240"/>
      <c r="F11" s="239"/>
      <c r="G11" s="239"/>
      <c r="H11" s="240"/>
      <c r="I11" s="240"/>
      <c r="J11" s="239">
        <v>34100</v>
      </c>
      <c r="K11" s="239">
        <v>67700</v>
      </c>
      <c r="L11" s="239">
        <v>50.4</v>
      </c>
      <c r="M11" s="239">
        <v>4.9000000000000004</v>
      </c>
      <c r="N11" s="239">
        <v>33000</v>
      </c>
      <c r="O11" s="239">
        <v>69100</v>
      </c>
      <c r="P11" s="239">
        <v>47.7</v>
      </c>
      <c r="Q11" s="239">
        <v>6.5</v>
      </c>
    </row>
    <row r="12" spans="1:17">
      <c r="A12" s="10" t="s">
        <v>18</v>
      </c>
      <c r="B12" s="239"/>
      <c r="C12" s="239"/>
      <c r="D12" s="240"/>
      <c r="E12" s="240"/>
      <c r="F12" s="239"/>
      <c r="G12" s="239"/>
      <c r="H12" s="240"/>
      <c r="I12" s="240"/>
      <c r="J12" s="239">
        <v>25500</v>
      </c>
      <c r="K12" s="239">
        <v>47200</v>
      </c>
      <c r="L12" s="239">
        <v>54.1</v>
      </c>
      <c r="M12" s="239">
        <v>5.8</v>
      </c>
      <c r="N12" s="239">
        <v>23000</v>
      </c>
      <c r="O12" s="239">
        <v>46900</v>
      </c>
      <c r="P12" s="239">
        <v>49</v>
      </c>
      <c r="Q12" s="239">
        <v>7.6</v>
      </c>
    </row>
    <row r="13" spans="1:17">
      <c r="A13" s="10" t="s">
        <v>126</v>
      </c>
      <c r="B13" s="239"/>
      <c r="C13" s="239"/>
      <c r="D13" s="240"/>
      <c r="E13" s="240"/>
      <c r="F13" s="239"/>
      <c r="G13" s="239"/>
      <c r="H13" s="240"/>
      <c r="I13" s="240"/>
      <c r="J13" s="239">
        <v>252200</v>
      </c>
      <c r="K13" s="239">
        <v>344700</v>
      </c>
      <c r="L13" s="239">
        <v>73.2</v>
      </c>
      <c r="M13" s="239">
        <v>4</v>
      </c>
      <c r="N13" s="239">
        <v>244400</v>
      </c>
      <c r="O13" s="239">
        <v>349800</v>
      </c>
      <c r="P13" s="239">
        <v>69.900000000000006</v>
      </c>
      <c r="Q13" s="239">
        <v>4.5</v>
      </c>
    </row>
    <row r="14" spans="1:17">
      <c r="A14" s="10" t="s">
        <v>19</v>
      </c>
      <c r="B14" s="239"/>
      <c r="C14" s="239"/>
      <c r="D14" s="240"/>
      <c r="E14" s="240"/>
      <c r="F14" s="239"/>
      <c r="G14" s="239"/>
      <c r="H14" s="240"/>
      <c r="I14" s="240"/>
      <c r="J14" s="239">
        <v>14900</v>
      </c>
      <c r="K14" s="239">
        <v>30500</v>
      </c>
      <c r="L14" s="239">
        <v>48.9</v>
      </c>
      <c r="M14" s="239">
        <v>6.3</v>
      </c>
      <c r="N14" s="239">
        <v>12800</v>
      </c>
      <c r="O14" s="239">
        <v>31200</v>
      </c>
      <c r="P14" s="239">
        <v>40.9</v>
      </c>
      <c r="Q14" s="239">
        <v>7</v>
      </c>
    </row>
    <row r="15" spans="1:17">
      <c r="A15" s="10" t="s">
        <v>20</v>
      </c>
      <c r="B15" s="239"/>
      <c r="C15" s="239"/>
      <c r="D15" s="240"/>
      <c r="E15" s="240"/>
      <c r="F15" s="239"/>
      <c r="G15" s="239"/>
      <c r="H15" s="240"/>
      <c r="I15" s="240"/>
      <c r="J15" s="239">
        <v>34500</v>
      </c>
      <c r="K15" s="239">
        <v>80300</v>
      </c>
      <c r="L15" s="239">
        <v>42.9</v>
      </c>
      <c r="M15" s="239">
        <v>5.0999999999999996</v>
      </c>
      <c r="N15" s="239">
        <v>44200</v>
      </c>
      <c r="O15" s="239">
        <v>83500</v>
      </c>
      <c r="P15" s="239">
        <v>53</v>
      </c>
      <c r="Q15" s="239">
        <v>7.2</v>
      </c>
    </row>
    <row r="16" spans="1:17">
      <c r="A16" s="10" t="s">
        <v>21</v>
      </c>
      <c r="B16" s="239"/>
      <c r="C16" s="239"/>
      <c r="D16" s="240"/>
      <c r="E16" s="240"/>
      <c r="F16" s="239"/>
      <c r="G16" s="239"/>
      <c r="H16" s="240"/>
      <c r="I16" s="240"/>
      <c r="J16" s="239">
        <v>59500</v>
      </c>
      <c r="K16" s="239">
        <v>90300</v>
      </c>
      <c r="L16" s="239">
        <v>65.8</v>
      </c>
      <c r="M16" s="239">
        <v>4.7</v>
      </c>
      <c r="N16" s="239">
        <v>54100</v>
      </c>
      <c r="O16" s="239">
        <v>95200</v>
      </c>
      <c r="P16" s="239">
        <v>56.8</v>
      </c>
      <c r="Q16" s="239">
        <v>5.6</v>
      </c>
    </row>
    <row r="17" spans="1:17">
      <c r="A17" s="10" t="s">
        <v>22</v>
      </c>
      <c r="B17" s="239"/>
      <c r="C17" s="239"/>
      <c r="D17" s="240"/>
      <c r="E17" s="240"/>
      <c r="F17" s="239"/>
      <c r="G17" s="239"/>
      <c r="H17" s="240"/>
      <c r="I17" s="240"/>
      <c r="J17" s="239">
        <v>34900</v>
      </c>
      <c r="K17" s="239">
        <v>67700</v>
      </c>
      <c r="L17" s="239">
        <v>51.7</v>
      </c>
      <c r="M17" s="239">
        <v>5.0999999999999996</v>
      </c>
      <c r="N17" s="239">
        <v>35300</v>
      </c>
      <c r="O17" s="239">
        <v>68100</v>
      </c>
      <c r="P17" s="239">
        <v>51.9</v>
      </c>
      <c r="Q17" s="239">
        <v>6.5</v>
      </c>
    </row>
    <row r="18" spans="1:17">
      <c r="A18" s="10" t="s">
        <v>23</v>
      </c>
      <c r="B18" s="239"/>
      <c r="C18" s="239"/>
      <c r="D18" s="240"/>
      <c r="E18" s="240"/>
      <c r="F18" s="239"/>
      <c r="G18" s="239"/>
      <c r="H18" s="240"/>
      <c r="I18" s="240"/>
      <c r="J18" s="239">
        <v>40100</v>
      </c>
      <c r="K18" s="239">
        <v>59400</v>
      </c>
      <c r="L18" s="239">
        <v>67.5</v>
      </c>
      <c r="M18" s="239">
        <v>4.3</v>
      </c>
      <c r="N18" s="239">
        <v>38700</v>
      </c>
      <c r="O18" s="239">
        <v>58700</v>
      </c>
      <c r="P18" s="239">
        <v>65.900000000000006</v>
      </c>
      <c r="Q18" s="239">
        <v>5.2</v>
      </c>
    </row>
    <row r="19" spans="1:17">
      <c r="A19" s="10" t="s">
        <v>24</v>
      </c>
      <c r="B19" s="239"/>
      <c r="C19" s="239"/>
      <c r="D19" s="240"/>
      <c r="E19" s="240"/>
      <c r="F19" s="239"/>
      <c r="G19" s="239"/>
      <c r="H19" s="240"/>
      <c r="I19" s="240"/>
      <c r="J19" s="239">
        <v>38500</v>
      </c>
      <c r="K19" s="239">
        <v>59500</v>
      </c>
      <c r="L19" s="239">
        <v>64.599999999999994</v>
      </c>
      <c r="M19" s="239">
        <v>5.5</v>
      </c>
      <c r="N19" s="239">
        <v>36600</v>
      </c>
      <c r="O19" s="239">
        <v>64300</v>
      </c>
      <c r="P19" s="239">
        <v>56.8</v>
      </c>
      <c r="Q19" s="239">
        <v>6.6</v>
      </c>
    </row>
    <row r="20" spans="1:17">
      <c r="A20" s="10" t="s">
        <v>25</v>
      </c>
      <c r="B20" s="239"/>
      <c r="C20" s="239"/>
      <c r="D20" s="240"/>
      <c r="E20" s="240"/>
      <c r="F20" s="239"/>
      <c r="G20" s="239"/>
      <c r="H20" s="240"/>
      <c r="I20" s="240"/>
      <c r="J20" s="239">
        <v>35300</v>
      </c>
      <c r="K20" s="239">
        <v>53900</v>
      </c>
      <c r="L20" s="239">
        <v>65.599999999999994</v>
      </c>
      <c r="M20" s="239">
        <v>5.4</v>
      </c>
      <c r="N20" s="239">
        <v>38000</v>
      </c>
      <c r="O20" s="239">
        <v>54200</v>
      </c>
      <c r="P20" s="239">
        <v>70.099999999999994</v>
      </c>
      <c r="Q20" s="239">
        <v>6.4</v>
      </c>
    </row>
    <row r="21" spans="1:17">
      <c r="A21" s="10" t="s">
        <v>26</v>
      </c>
      <c r="B21" s="239"/>
      <c r="C21" s="239"/>
      <c r="D21" s="240"/>
      <c r="E21" s="240"/>
      <c r="F21" s="239"/>
      <c r="G21" s="239"/>
      <c r="H21" s="240"/>
      <c r="I21" s="240"/>
      <c r="J21" s="239">
        <v>48400</v>
      </c>
      <c r="K21" s="239">
        <v>94600</v>
      </c>
      <c r="L21" s="239">
        <v>51.1</v>
      </c>
      <c r="M21" s="239">
        <v>5.2</v>
      </c>
      <c r="N21" s="239">
        <v>44200</v>
      </c>
      <c r="O21" s="239">
        <v>95500</v>
      </c>
      <c r="P21" s="239">
        <v>46.3</v>
      </c>
      <c r="Q21" s="239">
        <v>5.8</v>
      </c>
    </row>
    <row r="22" spans="1:17">
      <c r="A22" s="10" t="s">
        <v>27</v>
      </c>
      <c r="B22" s="239"/>
      <c r="C22" s="239"/>
      <c r="D22" s="240"/>
      <c r="E22" s="240"/>
      <c r="F22" s="239"/>
      <c r="G22" s="239"/>
      <c r="H22" s="240"/>
      <c r="I22" s="240"/>
      <c r="J22" s="239">
        <v>117500</v>
      </c>
      <c r="K22" s="239">
        <v>217800</v>
      </c>
      <c r="L22" s="239">
        <v>54</v>
      </c>
      <c r="M22" s="239">
        <v>4.4000000000000004</v>
      </c>
      <c r="N22" s="239">
        <v>115300</v>
      </c>
      <c r="O22" s="239">
        <v>219600</v>
      </c>
      <c r="P22" s="239">
        <v>52.5</v>
      </c>
      <c r="Q22" s="239">
        <v>4.5</v>
      </c>
    </row>
    <row r="23" spans="1:17">
      <c r="A23" s="10" t="s">
        <v>28</v>
      </c>
      <c r="B23" s="239"/>
      <c r="C23" s="239"/>
      <c r="D23" s="240"/>
      <c r="E23" s="240"/>
      <c r="F23" s="239"/>
      <c r="G23" s="239"/>
      <c r="H23" s="240"/>
      <c r="I23" s="240"/>
      <c r="J23" s="239">
        <v>220700</v>
      </c>
      <c r="K23" s="239">
        <v>405400</v>
      </c>
      <c r="L23" s="239">
        <v>54.4</v>
      </c>
      <c r="M23" s="239">
        <v>4.2</v>
      </c>
      <c r="N23" s="239">
        <v>231800</v>
      </c>
      <c r="O23" s="239">
        <v>407500</v>
      </c>
      <c r="P23" s="239">
        <v>56.9</v>
      </c>
      <c r="Q23" s="239">
        <v>5.0999999999999996</v>
      </c>
    </row>
    <row r="24" spans="1:17">
      <c r="A24" s="10" t="s">
        <v>29</v>
      </c>
      <c r="B24" s="239"/>
      <c r="C24" s="239"/>
      <c r="D24" s="240"/>
      <c r="E24" s="240"/>
      <c r="F24" s="239"/>
      <c r="G24" s="239"/>
      <c r="H24" s="240"/>
      <c r="I24" s="240"/>
      <c r="J24" s="239">
        <v>62300</v>
      </c>
      <c r="K24" s="239">
        <v>131100</v>
      </c>
      <c r="L24" s="239">
        <v>47.5</v>
      </c>
      <c r="M24" s="239">
        <v>6.8</v>
      </c>
      <c r="N24" s="239">
        <v>69600</v>
      </c>
      <c r="O24" s="239">
        <v>143000</v>
      </c>
      <c r="P24" s="239">
        <v>48.7</v>
      </c>
      <c r="Q24" s="239">
        <v>7.4</v>
      </c>
    </row>
    <row r="25" spans="1:17">
      <c r="A25" s="10" t="s">
        <v>30</v>
      </c>
      <c r="B25" s="239"/>
      <c r="C25" s="239"/>
      <c r="D25" s="240"/>
      <c r="E25" s="240"/>
      <c r="F25" s="239"/>
      <c r="G25" s="239"/>
      <c r="H25" s="240"/>
      <c r="I25" s="240"/>
      <c r="J25" s="239">
        <v>25300</v>
      </c>
      <c r="K25" s="239">
        <v>44600</v>
      </c>
      <c r="L25" s="239">
        <v>56.7</v>
      </c>
      <c r="M25" s="239">
        <v>5.8</v>
      </c>
      <c r="N25" s="239">
        <v>21600</v>
      </c>
      <c r="O25" s="239">
        <v>44500</v>
      </c>
      <c r="P25" s="239">
        <v>48.5</v>
      </c>
      <c r="Q25" s="239">
        <v>7.5</v>
      </c>
    </row>
    <row r="26" spans="1:17">
      <c r="A26" s="10" t="s">
        <v>31</v>
      </c>
      <c r="B26" s="239"/>
      <c r="C26" s="239"/>
      <c r="D26" s="240"/>
      <c r="E26" s="240"/>
      <c r="F26" s="239"/>
      <c r="G26" s="239"/>
      <c r="H26" s="240"/>
      <c r="I26" s="240"/>
      <c r="J26" s="239">
        <v>27900</v>
      </c>
      <c r="K26" s="239">
        <v>55400</v>
      </c>
      <c r="L26" s="239">
        <v>50.4</v>
      </c>
      <c r="M26" s="239">
        <v>6.3</v>
      </c>
      <c r="N26" s="239">
        <v>32500</v>
      </c>
      <c r="O26" s="239">
        <v>54300</v>
      </c>
      <c r="P26" s="239">
        <v>59.8</v>
      </c>
      <c r="Q26" s="239">
        <v>7.6</v>
      </c>
    </row>
    <row r="27" spans="1:17">
      <c r="A27" s="10" t="s">
        <v>32</v>
      </c>
      <c r="B27" s="239"/>
      <c r="C27" s="239"/>
      <c r="D27" s="240"/>
      <c r="E27" s="240"/>
      <c r="F27" s="239"/>
      <c r="G27" s="239"/>
      <c r="H27" s="240"/>
      <c r="I27" s="240"/>
      <c r="J27" s="239">
        <v>27000</v>
      </c>
      <c r="K27" s="239">
        <v>56700</v>
      </c>
      <c r="L27" s="239">
        <v>47.6</v>
      </c>
      <c r="M27" s="239">
        <v>5.3</v>
      </c>
      <c r="N27" s="239">
        <v>30300</v>
      </c>
      <c r="O27" s="239">
        <v>59300</v>
      </c>
      <c r="P27" s="239">
        <v>51.1</v>
      </c>
      <c r="Q27" s="239">
        <v>6.4</v>
      </c>
    </row>
    <row r="28" spans="1:17">
      <c r="A28" s="10" t="s">
        <v>33</v>
      </c>
      <c r="B28" s="239"/>
      <c r="C28" s="239"/>
      <c r="D28" s="240"/>
      <c r="E28" s="240"/>
      <c r="F28" s="239"/>
      <c r="G28" s="239"/>
      <c r="H28" s="240"/>
      <c r="I28" s="240"/>
      <c r="J28" s="239">
        <v>7300</v>
      </c>
      <c r="K28" s="239">
        <v>14400</v>
      </c>
      <c r="L28" s="239">
        <v>50.6</v>
      </c>
      <c r="M28" s="239">
        <v>8.6</v>
      </c>
      <c r="N28" s="239">
        <v>7400</v>
      </c>
      <c r="O28" s="239">
        <v>14400</v>
      </c>
      <c r="P28" s="239">
        <v>51</v>
      </c>
      <c r="Q28" s="239">
        <v>11</v>
      </c>
    </row>
    <row r="29" spans="1:17">
      <c r="A29" s="10" t="s">
        <v>34</v>
      </c>
      <c r="B29" s="239"/>
      <c r="C29" s="239"/>
      <c r="D29" s="240"/>
      <c r="E29" s="240"/>
      <c r="F29" s="239"/>
      <c r="G29" s="239"/>
      <c r="H29" s="240"/>
      <c r="I29" s="240"/>
      <c r="J29" s="239">
        <v>37500</v>
      </c>
      <c r="K29" s="239">
        <v>75000</v>
      </c>
      <c r="L29" s="239">
        <v>50</v>
      </c>
      <c r="M29" s="239">
        <v>5</v>
      </c>
      <c r="N29" s="239">
        <v>41800</v>
      </c>
      <c r="O29" s="239">
        <v>77000</v>
      </c>
      <c r="P29" s="239">
        <v>54.3</v>
      </c>
      <c r="Q29" s="239">
        <v>6.3</v>
      </c>
    </row>
    <row r="30" spans="1:17">
      <c r="A30" s="10" t="s">
        <v>35</v>
      </c>
      <c r="B30" s="239"/>
      <c r="C30" s="239"/>
      <c r="D30" s="240"/>
      <c r="E30" s="240"/>
      <c r="F30" s="239"/>
      <c r="G30" s="239"/>
      <c r="H30" s="240"/>
      <c r="I30" s="240"/>
      <c r="J30" s="239">
        <v>81100</v>
      </c>
      <c r="K30" s="239">
        <v>212200</v>
      </c>
      <c r="L30" s="239">
        <v>38.200000000000003</v>
      </c>
      <c r="M30" s="239">
        <v>5</v>
      </c>
      <c r="N30" s="239">
        <v>92500</v>
      </c>
      <c r="O30" s="239">
        <v>209900</v>
      </c>
      <c r="P30" s="239">
        <v>44.1</v>
      </c>
      <c r="Q30" s="239">
        <v>5.9</v>
      </c>
    </row>
    <row r="31" spans="1:17">
      <c r="A31" s="10" t="s">
        <v>36</v>
      </c>
      <c r="B31" s="239"/>
      <c r="C31" s="239"/>
      <c r="D31" s="240"/>
      <c r="E31" s="240"/>
      <c r="F31" s="239"/>
      <c r="G31" s="239"/>
      <c r="H31" s="240"/>
      <c r="I31" s="240"/>
      <c r="J31" s="239">
        <v>6300</v>
      </c>
      <c r="K31" s="239">
        <v>12100</v>
      </c>
      <c r="L31" s="239">
        <v>52.4</v>
      </c>
      <c r="M31" s="239">
        <v>17.600000000000001</v>
      </c>
      <c r="N31" s="239">
        <v>4500</v>
      </c>
      <c r="O31" s="239">
        <v>13000</v>
      </c>
      <c r="P31" s="239">
        <v>34.6</v>
      </c>
      <c r="Q31" s="239" t="s">
        <v>12</v>
      </c>
    </row>
    <row r="32" spans="1:17">
      <c r="A32" s="10" t="s">
        <v>37</v>
      </c>
      <c r="B32" s="239"/>
      <c r="C32" s="239"/>
      <c r="D32" s="240"/>
      <c r="E32" s="240"/>
      <c r="F32" s="239"/>
      <c r="G32" s="239"/>
      <c r="H32" s="240"/>
      <c r="I32" s="240"/>
      <c r="J32" s="239">
        <v>52100</v>
      </c>
      <c r="K32" s="239">
        <v>88200</v>
      </c>
      <c r="L32" s="239">
        <v>59</v>
      </c>
      <c r="M32" s="239">
        <v>4.8</v>
      </c>
      <c r="N32" s="239">
        <v>58000</v>
      </c>
      <c r="O32" s="239">
        <v>90300</v>
      </c>
      <c r="P32" s="239">
        <v>64.2</v>
      </c>
      <c r="Q32" s="239">
        <v>5.6</v>
      </c>
    </row>
    <row r="33" spans="1:17">
      <c r="A33" s="10" t="s">
        <v>38</v>
      </c>
      <c r="B33" s="239"/>
      <c r="C33" s="239"/>
      <c r="D33" s="240"/>
      <c r="E33" s="240"/>
      <c r="F33" s="239"/>
      <c r="G33" s="239"/>
      <c r="H33" s="240"/>
      <c r="I33" s="240"/>
      <c r="J33" s="239">
        <v>58200</v>
      </c>
      <c r="K33" s="239">
        <v>106100</v>
      </c>
      <c r="L33" s="239">
        <v>54.8</v>
      </c>
      <c r="M33" s="239">
        <v>5.5</v>
      </c>
      <c r="N33" s="239">
        <v>67300</v>
      </c>
      <c r="O33" s="239">
        <v>107100</v>
      </c>
      <c r="P33" s="239">
        <v>62.9</v>
      </c>
      <c r="Q33" s="239">
        <v>5.9</v>
      </c>
    </row>
    <row r="34" spans="1:17">
      <c r="A34" s="10" t="s">
        <v>39</v>
      </c>
      <c r="B34" s="239"/>
      <c r="C34" s="239"/>
      <c r="D34" s="240"/>
      <c r="E34" s="240"/>
      <c r="F34" s="239"/>
      <c r="G34" s="239"/>
      <c r="H34" s="240"/>
      <c r="I34" s="240"/>
      <c r="J34" s="239">
        <v>31800</v>
      </c>
      <c r="K34" s="239">
        <v>63900</v>
      </c>
      <c r="L34" s="239">
        <v>49.7</v>
      </c>
      <c r="M34" s="239">
        <v>5.0999999999999996</v>
      </c>
      <c r="N34" s="239">
        <v>30400</v>
      </c>
      <c r="O34" s="239">
        <v>63700</v>
      </c>
      <c r="P34" s="239">
        <v>47.6</v>
      </c>
      <c r="Q34" s="239">
        <v>6.5</v>
      </c>
    </row>
    <row r="35" spans="1:17">
      <c r="A35" s="10" t="s">
        <v>40</v>
      </c>
      <c r="B35" s="239"/>
      <c r="C35" s="239"/>
      <c r="D35" s="240"/>
      <c r="E35" s="240"/>
      <c r="F35" s="239"/>
      <c r="G35" s="239"/>
      <c r="H35" s="240"/>
      <c r="I35" s="240"/>
      <c r="J35" s="239">
        <v>6400</v>
      </c>
      <c r="K35" s="239">
        <v>14000</v>
      </c>
      <c r="L35" s="239">
        <v>45.8</v>
      </c>
      <c r="M35" s="239">
        <v>16.7</v>
      </c>
      <c r="N35" s="239">
        <v>5500</v>
      </c>
      <c r="O35" s="239">
        <v>14200</v>
      </c>
      <c r="P35" s="239">
        <v>39.1</v>
      </c>
      <c r="Q35" s="239">
        <v>17.2</v>
      </c>
    </row>
    <row r="36" spans="1:17">
      <c r="A36" s="10" t="s">
        <v>41</v>
      </c>
      <c r="B36" s="239"/>
      <c r="C36" s="239"/>
      <c r="D36" s="240"/>
      <c r="E36" s="240"/>
      <c r="F36" s="239"/>
      <c r="G36" s="239"/>
      <c r="H36" s="240"/>
      <c r="I36" s="240"/>
      <c r="J36" s="239">
        <v>31000</v>
      </c>
      <c r="K36" s="239">
        <v>60800</v>
      </c>
      <c r="L36" s="239">
        <v>51</v>
      </c>
      <c r="M36" s="239">
        <v>5.5</v>
      </c>
      <c r="N36" s="239">
        <v>30500</v>
      </c>
      <c r="O36" s="239">
        <v>61800</v>
      </c>
      <c r="P36" s="239">
        <v>49.4</v>
      </c>
      <c r="Q36" s="239">
        <v>6.7</v>
      </c>
    </row>
    <row r="37" spans="1:17">
      <c r="A37" s="10" t="s">
        <v>42</v>
      </c>
      <c r="B37" s="239"/>
      <c r="C37" s="239"/>
      <c r="D37" s="240"/>
      <c r="E37" s="240"/>
      <c r="F37" s="239"/>
      <c r="G37" s="239"/>
      <c r="H37" s="240"/>
      <c r="I37" s="240"/>
      <c r="J37" s="239">
        <v>92000</v>
      </c>
      <c r="K37" s="239">
        <v>186900</v>
      </c>
      <c r="L37" s="239">
        <v>49.2</v>
      </c>
      <c r="M37" s="239">
        <v>4.8</v>
      </c>
      <c r="N37" s="239">
        <v>91600</v>
      </c>
      <c r="O37" s="239">
        <v>187500</v>
      </c>
      <c r="P37" s="239">
        <v>48.9</v>
      </c>
      <c r="Q37" s="239">
        <v>5.8</v>
      </c>
    </row>
    <row r="38" spans="1:17">
      <c r="A38" s="10" t="s">
        <v>43</v>
      </c>
      <c r="B38" s="239"/>
      <c r="C38" s="239"/>
      <c r="D38" s="240"/>
      <c r="E38" s="240"/>
      <c r="F38" s="239"/>
      <c r="G38" s="239"/>
      <c r="H38" s="240"/>
      <c r="I38" s="240"/>
      <c r="J38" s="239">
        <v>33600</v>
      </c>
      <c r="K38" s="239">
        <v>55700</v>
      </c>
      <c r="L38" s="239">
        <v>60.3</v>
      </c>
      <c r="M38" s="239">
        <v>4.7</v>
      </c>
      <c r="N38" s="239">
        <v>37800</v>
      </c>
      <c r="O38" s="239">
        <v>58600</v>
      </c>
      <c r="P38" s="239">
        <v>64.5</v>
      </c>
      <c r="Q38" s="239">
        <v>5.2</v>
      </c>
    </row>
    <row r="39" spans="1:17">
      <c r="A39" s="10" t="s">
        <v>44</v>
      </c>
      <c r="B39" s="239"/>
      <c r="C39" s="239"/>
      <c r="D39" s="240"/>
      <c r="E39" s="240"/>
      <c r="F39" s="239"/>
      <c r="G39" s="239"/>
      <c r="H39" s="240"/>
      <c r="I39" s="240"/>
      <c r="J39" s="239">
        <v>24500</v>
      </c>
      <c r="K39" s="239">
        <v>52100</v>
      </c>
      <c r="L39" s="239">
        <v>46.9</v>
      </c>
      <c r="M39" s="239">
        <v>5.0999999999999996</v>
      </c>
      <c r="N39" s="239">
        <v>22300</v>
      </c>
      <c r="O39" s="239">
        <v>50600</v>
      </c>
      <c r="P39" s="239">
        <v>44.1</v>
      </c>
      <c r="Q39" s="239">
        <v>5.6</v>
      </c>
    </row>
    <row r="40" spans="1:17">
      <c r="A40" s="10" t="s">
        <v>45</v>
      </c>
      <c r="B40" s="239"/>
      <c r="C40" s="239"/>
      <c r="D40" s="240"/>
      <c r="E40" s="240"/>
      <c r="F40" s="239"/>
      <c r="G40" s="239"/>
      <c r="H40" s="240"/>
      <c r="I40" s="240"/>
      <c r="J40" s="239">
        <v>54700</v>
      </c>
      <c r="K40" s="239">
        <v>106800</v>
      </c>
      <c r="L40" s="239">
        <v>51.2</v>
      </c>
      <c r="M40" s="239">
        <v>5.0999999999999996</v>
      </c>
      <c r="N40" s="239">
        <v>58500</v>
      </c>
      <c r="O40" s="239">
        <v>112200</v>
      </c>
      <c r="P40" s="239">
        <v>52.1</v>
      </c>
      <c r="Q40" s="239">
        <v>5.9</v>
      </c>
    </row>
    <row r="41" spans="1:17">
      <c r="A41" s="10"/>
      <c r="B41" s="239"/>
      <c r="C41" s="239"/>
      <c r="D41" s="240"/>
      <c r="E41" s="240"/>
      <c r="F41" s="239"/>
      <c r="G41" s="239"/>
      <c r="H41" s="240"/>
      <c r="I41" s="240"/>
      <c r="J41" s="239"/>
      <c r="K41" s="239"/>
      <c r="L41" s="240"/>
      <c r="M41" s="240"/>
      <c r="N41" s="239"/>
      <c r="O41" s="239"/>
      <c r="P41" s="240"/>
      <c r="Q41" s="240"/>
    </row>
    <row r="42" spans="1:17">
      <c r="A42" s="10" t="s">
        <v>46</v>
      </c>
      <c r="B42" s="314"/>
      <c r="C42" s="314"/>
      <c r="D42" s="315"/>
      <c r="E42" s="315"/>
      <c r="F42" s="314"/>
      <c r="G42" s="314"/>
      <c r="H42" s="315"/>
      <c r="I42" s="315"/>
      <c r="J42" s="239">
        <v>1770300</v>
      </c>
      <c r="K42" s="239">
        <v>3264800</v>
      </c>
      <c r="L42" s="239">
        <v>54.2</v>
      </c>
      <c r="M42" s="239">
        <v>0.9</v>
      </c>
      <c r="N42" s="239">
        <v>1831700</v>
      </c>
      <c r="O42" s="239">
        <v>3326500</v>
      </c>
      <c r="P42" s="239">
        <v>55.1</v>
      </c>
      <c r="Q42" s="239">
        <v>1.1000000000000001</v>
      </c>
    </row>
    <row r="43" spans="1:17">
      <c r="A43" s="10" t="s">
        <v>47</v>
      </c>
      <c r="B43" s="314"/>
      <c r="C43" s="314"/>
      <c r="D43" s="315"/>
      <c r="E43" s="315"/>
      <c r="F43" s="314"/>
      <c r="G43" s="314"/>
      <c r="H43" s="315"/>
      <c r="I43" s="315"/>
      <c r="J43" s="239">
        <v>18067600</v>
      </c>
      <c r="K43" s="239">
        <v>39690400</v>
      </c>
      <c r="L43" s="239">
        <v>45.5</v>
      </c>
      <c r="M43" s="239">
        <v>0.3</v>
      </c>
      <c r="N43" s="239">
        <v>19134600</v>
      </c>
      <c r="O43" s="239">
        <v>40657400</v>
      </c>
      <c r="P43" s="239">
        <v>47.1</v>
      </c>
      <c r="Q43" s="239">
        <v>0.4</v>
      </c>
    </row>
    <row r="44" spans="1:17">
      <c r="A44" s="10" t="s">
        <v>156</v>
      </c>
      <c r="B44" s="15"/>
      <c r="C44" s="15"/>
      <c r="D44" s="14"/>
      <c r="E44" s="15"/>
      <c r="F44" s="15"/>
      <c r="G44" s="15"/>
      <c r="H44" s="14"/>
      <c r="I44" s="15"/>
      <c r="J44" s="15" cm="1">
        <f t="array" ref="J44">SUM(SUMIFS(J$9:J$40,$A$9:$A$40,{"Aberdeen City","Aberdeenshire"}))</f>
        <v>155200</v>
      </c>
      <c r="K44" s="15" cm="1">
        <f t="array" ref="K44">SUM(SUMIFS(K$9:K$40,$A$9:$A$40,{"Aberdeen City","Aberdeenshire"}))</f>
        <v>309800</v>
      </c>
      <c r="L44" s="14">
        <f t="shared" ref="L44" si="0">SUM(J44/K44)*100</f>
        <v>50.09683666881859</v>
      </c>
      <c r="M44" s="15"/>
      <c r="N44" s="15" cm="1">
        <f t="array" ref="N44">SUM(SUMIFS(N$9:N$40,$A$9:$A$40,{"Aberdeen City","Aberdeenshire"}))</f>
        <v>178200</v>
      </c>
      <c r="O44" s="15" cm="1">
        <f t="array" ref="O44">SUM(SUMIFS(O$9:O$40,$A$9:$A$40,{"Aberdeen City","Aberdeenshire"}))</f>
        <v>321600</v>
      </c>
      <c r="P44" s="14">
        <f t="shared" ref="P44" si="1">SUM(N44/O44)*100</f>
        <v>55.410447761194028</v>
      </c>
      <c r="Q44" s="15"/>
    </row>
    <row r="45" spans="1:17">
      <c r="A45" s="10" t="s">
        <v>359</v>
      </c>
      <c r="B45" s="125"/>
      <c r="C45" s="125"/>
      <c r="D45" s="316"/>
      <c r="E45" s="14"/>
      <c r="F45" s="125"/>
      <c r="G45" s="125"/>
      <c r="H45" s="316"/>
      <c r="I45" s="14"/>
      <c r="J45" s="125" cm="1">
        <f t="array" ref="J45">SUM(SUMIFS(J$9:J$41,$A$9:$A$41,{"Falkirk","Stirling","Clackmannanshire"}))</f>
        <v>96900</v>
      </c>
      <c r="K45" s="125" cm="1">
        <f t="array" ref="K45">SUM(SUMIFS(K$9:K$41,$A$9:$A$41,{"Falkirk","Stirling","Clackmannanshire"}))</f>
        <v>180800</v>
      </c>
      <c r="L45" s="316">
        <f t="shared" ref="L45" si="2">SUM(J45/K45)*100</f>
        <v>53.595132743362825</v>
      </c>
      <c r="M45" s="14"/>
      <c r="N45" s="125" cm="1">
        <f t="array" ref="N45">SUM(SUMIFS(N$9:N$41,$A$9:$A$41,{"Falkirk","Stirling","Clackmannanshire"}))</f>
        <v>94800</v>
      </c>
      <c r="O45" s="125" cm="1">
        <f t="array" ref="O45">SUM(SUMIFS(O$9:O$41,$A$9:$A$41,{"Falkirk","Stirling","Clackmannanshire"}))</f>
        <v>185300</v>
      </c>
      <c r="P45" s="316">
        <f t="shared" ref="P45" si="3">SUM(N45/O45)*100</f>
        <v>51.160280626011875</v>
      </c>
      <c r="Q45" s="14"/>
    </row>
    <row r="46" spans="1:17">
      <c r="A46" s="10" t="s">
        <v>157</v>
      </c>
      <c r="B46" s="125"/>
      <c r="C46" s="125"/>
      <c r="D46" s="14"/>
      <c r="E46" s="15"/>
      <c r="F46" s="125"/>
      <c r="G46" s="125"/>
      <c r="H46" s="14"/>
      <c r="I46" s="15"/>
      <c r="J46" s="125" cm="1">
        <f t="array" ref="J46">SUM(SUMIFS(J$9:J$40,$A$9:$A$40,{"East Lothian","Edinburgh, City of","Fife","Midlothian","Scottish Borders","West Lothian"}))</f>
        <v>522600</v>
      </c>
      <c r="K46" s="125" cm="1">
        <f t="array" ref="K46">SUM(SUMIFS(K$9:K$40,$A$9:$A$40,{"East Lothian","Edinburgh, City of","Fife","Midlothian","Scottish Borders","West Lothian"}))</f>
        <v>848100</v>
      </c>
      <c r="L46" s="14">
        <f t="shared" ref="L46:L47" si="4">SUM(J46/K46)*100</f>
        <v>61.620091970286531</v>
      </c>
      <c r="M46" s="15"/>
      <c r="N46" s="125" cm="1">
        <f t="array" ref="N46">SUM(SUMIFS(N$9:N$40,$A$9:$A$40,{"East Lothian","Edinburgh, City of","Fife","Midlothian","Scottish Borders","West Lothian"}))</f>
        <v>517700</v>
      </c>
      <c r="O46" s="125" cm="1">
        <f t="array" ref="O46">SUM(SUMIFS(O$9:O$40,$A$9:$A$40,{"East Lothian","Edinburgh, City of","Fife","Midlothian","Scottish Borders","West Lothian"}))</f>
        <v>863900</v>
      </c>
      <c r="P46" s="14">
        <f t="shared" ref="P46:P47" si="5">SUM(N46/O46)*100</f>
        <v>59.925917351545323</v>
      </c>
      <c r="Q46" s="15"/>
    </row>
    <row r="47" spans="1:17">
      <c r="A47" s="10" t="s">
        <v>158</v>
      </c>
      <c r="B47" s="125"/>
      <c r="C47" s="125"/>
      <c r="D47" s="14"/>
      <c r="E47" s="15"/>
      <c r="F47" s="125"/>
      <c r="G47" s="125"/>
      <c r="H47" s="14"/>
      <c r="I47" s="15"/>
      <c r="J47" s="125" cm="1">
        <f t="array" ref="J47">SUM(SUMIFS(J$9:J$40,$A$9:$A$40,{"Angus","Dundee City","Fife","Perth and Kinross"}))</f>
        <v>263200</v>
      </c>
      <c r="K47" s="125" cm="1">
        <f t="array" ref="K47">SUM(SUMIFS(K$9:K$40,$A$9:$A$40,{"Angus","Dundee City","Fife","Perth and Kinross"}))</f>
        <v>464000</v>
      </c>
      <c r="L47" s="14">
        <f t="shared" si="4"/>
        <v>56.724137931034477</v>
      </c>
      <c r="M47" s="15"/>
      <c r="N47" s="125" cm="1">
        <f t="array" ref="N47">SUM(SUMIFS(N$9:N$40,$A$9:$A$40,{"Angus","Dundee City","Fife","Perth and Kinross"}))</f>
        <v>260400</v>
      </c>
      <c r="O47" s="125" cm="1">
        <f t="array" ref="O47">SUM(SUMIFS(O$9:O$40,$A$9:$A$40,{"Angus","Dundee City","Fife","Perth and Kinross"}))</f>
        <v>474200</v>
      </c>
      <c r="P47" s="14">
        <f t="shared" si="5"/>
        <v>54.913538591311685</v>
      </c>
      <c r="Q47" s="15"/>
    </row>
    <row r="48" spans="1:17">
      <c r="A48" s="10" t="s">
        <v>246</v>
      </c>
      <c r="B48" s="125"/>
      <c r="C48" s="125"/>
      <c r="D48" s="316"/>
      <c r="E48" s="14"/>
      <c r="F48" s="125"/>
      <c r="G48" s="125"/>
      <c r="H48" s="316"/>
      <c r="I48" s="14"/>
      <c r="J48" s="125">
        <f>SUM(SUMIFS(J$9:J$41,$A$9:$A$41,{"Na h-Eileanan Siar","Argyll and Bute","Shetland Islands","Highland","Orkney Islands","Scottish Borders","Dumfries and Galloway","Aberdeenshire"}))</f>
        <v>246900</v>
      </c>
      <c r="K48" s="125">
        <f>SUM(SUMIFS(K$9:K$41,$A$9:$A$41,{"Na h-Eileanan Siar","Argyll and Bute","Shetland Islands","Highland","Orkney Islands","Scottish Borders","Dumfries and Galloway","Aberdeenshire"}))</f>
        <v>519600</v>
      </c>
      <c r="L48" s="316">
        <f t="shared" ref="L48:L51" si="6">SUM(J48/K48)*100</f>
        <v>47.517321016166278</v>
      </c>
      <c r="M48" s="14"/>
      <c r="N48" s="125">
        <f>SUM(SUMIFS(N$9:N$41,$A$9:$A$41,{"Na h-Eileanan Siar","Argyll and Bute","Shetland Islands","Highland","Orkney Islands","Scottish Borders","Dumfries and Galloway","Aberdeenshire"}))</f>
        <v>267200</v>
      </c>
      <c r="O48" s="125">
        <f>SUM(SUMIFS(O$9:O$41,$A$9:$A$41,{"Na h-Eileanan Siar","Argyll and Bute","Shetland Islands","Highland","Orkney Islands","Scottish Borders","Dumfries and Galloway","Aberdeenshire"}))</f>
        <v>543600</v>
      </c>
      <c r="P48" s="316">
        <f t="shared" ref="P48:P51" si="7">SUM(N48/O48)*100</f>
        <v>49.153789551140541</v>
      </c>
      <c r="Q48" s="14"/>
    </row>
    <row r="49" spans="1:17">
      <c r="A49" s="10" t="s">
        <v>247</v>
      </c>
      <c r="B49" s="125"/>
      <c r="C49" s="125"/>
      <c r="D49" s="316"/>
      <c r="E49" s="14"/>
      <c r="F49" s="125"/>
      <c r="G49" s="125"/>
      <c r="H49" s="316"/>
      <c r="I49" s="14"/>
      <c r="J49" s="125">
        <f>SUM(SUMIFS(J$9:J$41,$A$9:$A$41,{"Perth and Kinross","Stirling","Moray","South Ayrshire","East Ayrshire","East Lothian","North Ayrshire","Fife"}))</f>
        <v>372100</v>
      </c>
      <c r="K49" s="125">
        <f>SUM(SUMIFS(K$9:K$41,$A$9:$A$41,{"Perth and Kinross","Stirling","Moray","South Ayrshire","East Ayrshire","East Lothian","North Ayrshire","Fife"}))</f>
        <v>681400</v>
      </c>
      <c r="L49" s="316">
        <f t="shared" si="6"/>
        <v>54.608159671265042</v>
      </c>
      <c r="M49" s="14"/>
      <c r="N49" s="125">
        <f>SUM(SUMIFS(N$9:N$41,$A$9:$A$41,{"Perth and Kinross","Stirling","Moray","South Ayrshire","East Ayrshire","East Lothian","North Ayrshire","Fife"}))</f>
        <v>385600</v>
      </c>
      <c r="O49" s="125">
        <f>SUM(SUMIFS(O$9:O$41,$A$9:$A$41,{"Perth and Kinross","Stirling","Moray","South Ayrshire","East Ayrshire","East Lothian","North Ayrshire","Fife"}))</f>
        <v>699000</v>
      </c>
      <c r="P49" s="316">
        <f t="shared" si="7"/>
        <v>55.164520743919887</v>
      </c>
      <c r="Q49" s="14"/>
    </row>
    <row r="50" spans="1:17">
      <c r="A50" s="10" t="s">
        <v>248</v>
      </c>
      <c r="B50" s="125"/>
      <c r="C50" s="125"/>
      <c r="D50" s="316"/>
      <c r="E50" s="14"/>
      <c r="F50" s="125"/>
      <c r="G50" s="125"/>
      <c r="H50" s="316"/>
      <c r="I50" s="14"/>
      <c r="J50" s="125">
        <f>SUM(SUMIFS(J$9:J$41,$A$9:$A$41,{"Angus","Clackmannanshire","Midlothian","South Lanarkshire","Inverclyde","Renfrewshire","West Lothian","East Renfrewshire"}))</f>
        <v>342400</v>
      </c>
      <c r="K50" s="125">
        <f>SUM(SUMIFS(K$9:K$41,$A$9:$A$41,{"Angus","Clackmannanshire","Midlothian","South Lanarkshire","Inverclyde","Renfrewshire","West Lothian","East Renfrewshire"}))</f>
        <v>651900</v>
      </c>
      <c r="L50" s="316">
        <f t="shared" si="6"/>
        <v>52.523393158459882</v>
      </c>
      <c r="M50" s="14"/>
      <c r="N50" s="125">
        <f>SUM(SUMIFS(N$9:N$41,$A$9:$A$41,{"Angus","Clackmannanshire","Midlothian","South Lanarkshire","Inverclyde","Renfrewshire","West Lothian","East Renfrewshire"}))</f>
        <v>355300</v>
      </c>
      <c r="O50" s="125">
        <f>SUM(SUMIFS(O$9:O$41,$A$9:$A$41,{"Angus","Clackmannanshire","Midlothian","South Lanarkshire","Inverclyde","Renfrewshire","West Lothian","East Renfrewshire"}))</f>
        <v>660100</v>
      </c>
      <c r="P50" s="316">
        <f t="shared" si="7"/>
        <v>53.82517800333283</v>
      </c>
      <c r="Q50" s="14"/>
    </row>
    <row r="51" spans="1:17">
      <c r="A51" s="10" t="s">
        <v>249</v>
      </c>
      <c r="B51" s="125"/>
      <c r="C51" s="125"/>
      <c r="D51" s="316"/>
      <c r="E51" s="14"/>
      <c r="F51" s="125"/>
      <c r="G51" s="125"/>
      <c r="H51" s="316"/>
      <c r="I51" s="14"/>
      <c r="J51" s="125">
        <f>SUM(SUMIFS(J$9:J$41,$A$9:$A$41,{"North Lanarkshire","Falkirk","East Dunbartonshire","Aberdeen City","Edinburgh, City of","West Dunbartonshire","Dundee City","Glasgow City"}))</f>
        <v>808900</v>
      </c>
      <c r="K51" s="125">
        <f>SUM(SUMIFS(K$9:K$41,$A$9:$A$41,{"North Lanarkshire","Falkirk","East Dunbartonshire","Aberdeen City","Edinburgh, City of","West Dunbartonshire","Dundee City","Glasgow City"}))</f>
        <v>1411900</v>
      </c>
      <c r="L51" s="316">
        <f t="shared" si="6"/>
        <v>57.291592889014794</v>
      </c>
      <c r="M51" s="14"/>
      <c r="N51" s="125">
        <f>SUM(SUMIFS(N$9:N$41,$A$9:$A$41,{"North Lanarkshire","Falkirk","East Dunbartonshire","Aberdeen City","Edinburgh, City of","West Dunbartonshire","Dundee City","Glasgow City"}))</f>
        <v>823600</v>
      </c>
      <c r="O51" s="125">
        <f>SUM(SUMIFS(O$9:O$41,$A$9:$A$41,{"North Lanarkshire","Falkirk","East Dunbartonshire","Aberdeen City","Edinburgh, City of","West Dunbartonshire","Dundee City","Glasgow City"}))</f>
        <v>1423900</v>
      </c>
      <c r="P51" s="316">
        <f t="shared" si="7"/>
        <v>57.841140529531565</v>
      </c>
      <c r="Q51" s="14"/>
    </row>
    <row r="52" spans="1:17">
      <c r="A52" s="10" t="s">
        <v>48</v>
      </c>
      <c r="B52" s="314"/>
      <c r="C52" s="314"/>
      <c r="D52" s="315"/>
      <c r="E52" s="315"/>
      <c r="F52" s="314"/>
      <c r="G52" s="314"/>
      <c r="H52" s="315"/>
      <c r="I52" s="315">
        <v>2.6</v>
      </c>
      <c r="J52" s="239">
        <v>577100</v>
      </c>
      <c r="K52" s="239">
        <v>1120600</v>
      </c>
      <c r="L52" s="239">
        <v>51.5</v>
      </c>
      <c r="M52" s="239">
        <v>1.8</v>
      </c>
      <c r="N52" s="239">
        <v>603900</v>
      </c>
      <c r="O52" s="239">
        <v>1119900</v>
      </c>
      <c r="P52" s="239">
        <v>53.9</v>
      </c>
      <c r="Q52" s="315">
        <v>2.1</v>
      </c>
    </row>
  </sheetData>
  <mergeCells count="4">
    <mergeCell ref="B7:E7"/>
    <mergeCell ref="F7:I7"/>
    <mergeCell ref="J7:M7"/>
    <mergeCell ref="N7:Q7"/>
  </mergeCells>
  <conditionalFormatting sqref="A1:XFD1048576">
    <cfRule type="expression" dxfId="82"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autoPageBreaks="0"/>
  </sheetPr>
  <dimension ref="A1:Q59"/>
  <sheetViews>
    <sheetView topLeftCell="A14" zoomScale="60" zoomScaleNormal="60" workbookViewId="0">
      <selection activeCell="T38" sqref="T38"/>
    </sheetView>
  </sheetViews>
  <sheetFormatPr defaultColWidth="8.7109375" defaultRowHeight="15"/>
  <cols>
    <col min="1" max="1" width="25.28515625" customWidth="1"/>
    <col min="2" max="17" width="14" customWidth="1" collapsed="1"/>
  </cols>
  <sheetData>
    <row r="1" spans="1:17" ht="15.75">
      <c r="A1" s="1" t="s">
        <v>0</v>
      </c>
    </row>
    <row r="2" spans="1:17">
      <c r="A2" s="2" t="s">
        <v>1</v>
      </c>
    </row>
    <row r="4" spans="1:17">
      <c r="A4" s="10" t="s">
        <v>2</v>
      </c>
      <c r="B4" s="10" t="s">
        <v>3</v>
      </c>
    </row>
    <row r="5" spans="1:17">
      <c r="A5" s="10" t="s">
        <v>4</v>
      </c>
      <c r="B5" s="10" t="s">
        <v>141</v>
      </c>
    </row>
    <row r="7" spans="1:17" ht="21.95" customHeight="1">
      <c r="A7" s="17" t="s">
        <v>7</v>
      </c>
      <c r="B7" s="473" t="s">
        <v>230</v>
      </c>
      <c r="C7" s="475"/>
      <c r="D7" s="475"/>
      <c r="E7" s="475"/>
      <c r="F7" s="473" t="s">
        <v>356</v>
      </c>
      <c r="G7" s="475"/>
      <c r="H7" s="475"/>
      <c r="I7" s="475"/>
      <c r="J7" s="473" t="s">
        <v>398</v>
      </c>
      <c r="K7" s="475"/>
      <c r="L7" s="475"/>
      <c r="M7" s="475"/>
      <c r="N7" s="473" t="s">
        <v>423</v>
      </c>
      <c r="O7" s="475"/>
      <c r="P7" s="475"/>
      <c r="Q7" s="475"/>
    </row>
    <row r="8" spans="1:17" ht="26.1" customHeight="1">
      <c r="B8" s="16" t="s">
        <v>8</v>
      </c>
      <c r="C8" s="16" t="s">
        <v>9</v>
      </c>
      <c r="D8" s="16" t="s">
        <v>10</v>
      </c>
      <c r="E8" s="16" t="s">
        <v>11</v>
      </c>
      <c r="F8" s="16" t="s">
        <v>8</v>
      </c>
      <c r="G8" s="16" t="s">
        <v>9</v>
      </c>
      <c r="H8" s="16" t="s">
        <v>10</v>
      </c>
      <c r="I8" s="16" t="s">
        <v>11</v>
      </c>
      <c r="J8" s="16" t="s">
        <v>8</v>
      </c>
      <c r="K8" s="16" t="s">
        <v>9</v>
      </c>
      <c r="L8" s="16" t="s">
        <v>10</v>
      </c>
      <c r="M8" s="16" t="s">
        <v>11</v>
      </c>
      <c r="N8" s="16" t="s">
        <v>8</v>
      </c>
      <c r="O8" s="16" t="s">
        <v>9</v>
      </c>
      <c r="P8" s="16" t="s">
        <v>10</v>
      </c>
      <c r="Q8" s="16" t="s">
        <v>11</v>
      </c>
    </row>
    <row r="9" spans="1:17">
      <c r="A9" s="10" t="s">
        <v>15</v>
      </c>
      <c r="B9" s="239"/>
      <c r="C9" s="239"/>
      <c r="D9" s="240"/>
      <c r="E9" s="240"/>
      <c r="F9" s="239"/>
      <c r="G9" s="239"/>
      <c r="H9" s="240"/>
      <c r="I9" s="240"/>
      <c r="J9" s="239">
        <v>7000</v>
      </c>
      <c r="K9" s="239">
        <v>153200</v>
      </c>
      <c r="L9" s="239">
        <v>4.5999999999999996</v>
      </c>
      <c r="M9" s="239">
        <v>2.2000000000000002</v>
      </c>
      <c r="N9" s="239">
        <v>3300</v>
      </c>
      <c r="O9" s="239">
        <v>156700</v>
      </c>
      <c r="P9" s="239">
        <v>2.1</v>
      </c>
      <c r="Q9" s="239" t="s">
        <v>12</v>
      </c>
    </row>
    <row r="10" spans="1:17">
      <c r="A10" s="10" t="s">
        <v>16</v>
      </c>
      <c r="B10" s="239"/>
      <c r="C10" s="239"/>
      <c r="D10" s="240"/>
      <c r="E10" s="240"/>
      <c r="F10" s="239"/>
      <c r="G10" s="239"/>
      <c r="H10" s="240"/>
      <c r="I10" s="240"/>
      <c r="J10" s="239">
        <v>11800</v>
      </c>
      <c r="K10" s="239">
        <v>156600</v>
      </c>
      <c r="L10" s="239">
        <v>7.5</v>
      </c>
      <c r="M10" s="239">
        <v>2.7</v>
      </c>
      <c r="N10" s="239">
        <v>11300</v>
      </c>
      <c r="O10" s="239">
        <v>164900</v>
      </c>
      <c r="P10" s="239">
        <v>6.9</v>
      </c>
      <c r="Q10" s="239">
        <v>3.1</v>
      </c>
    </row>
    <row r="11" spans="1:17">
      <c r="A11" s="10" t="s">
        <v>17</v>
      </c>
      <c r="B11" s="239"/>
      <c r="C11" s="239"/>
      <c r="D11" s="240"/>
      <c r="E11" s="240"/>
      <c r="F11" s="239"/>
      <c r="G11" s="239"/>
      <c r="H11" s="240"/>
      <c r="I11" s="240"/>
      <c r="J11" s="239">
        <v>3500</v>
      </c>
      <c r="K11" s="239">
        <v>67700</v>
      </c>
      <c r="L11" s="239">
        <v>5.2</v>
      </c>
      <c r="M11" s="239">
        <v>2.2000000000000002</v>
      </c>
      <c r="N11" s="239">
        <v>4900</v>
      </c>
      <c r="O11" s="239">
        <v>69100</v>
      </c>
      <c r="P11" s="239">
        <v>7.1</v>
      </c>
      <c r="Q11" s="239">
        <v>3.3</v>
      </c>
    </row>
    <row r="12" spans="1:17">
      <c r="A12" s="10" t="s">
        <v>18</v>
      </c>
      <c r="B12" s="239"/>
      <c r="C12" s="239"/>
      <c r="D12" s="240"/>
      <c r="E12" s="240"/>
      <c r="F12" s="239"/>
      <c r="G12" s="239"/>
      <c r="H12" s="240"/>
      <c r="I12" s="240"/>
      <c r="J12" s="239">
        <v>1900</v>
      </c>
      <c r="K12" s="239">
        <v>47200</v>
      </c>
      <c r="L12" s="239">
        <v>4</v>
      </c>
      <c r="M12" s="239">
        <v>2.2999999999999998</v>
      </c>
      <c r="N12" s="239">
        <v>2900</v>
      </c>
      <c r="O12" s="239">
        <v>46900</v>
      </c>
      <c r="P12" s="239">
        <v>6.2</v>
      </c>
      <c r="Q12" s="239">
        <v>3.6</v>
      </c>
    </row>
    <row r="13" spans="1:17">
      <c r="A13" s="10" t="s">
        <v>126</v>
      </c>
      <c r="B13" s="239"/>
      <c r="C13" s="239"/>
      <c r="D13" s="240"/>
      <c r="E13" s="240"/>
      <c r="F13" s="239"/>
      <c r="G13" s="239"/>
      <c r="H13" s="240"/>
      <c r="I13" s="240"/>
      <c r="J13" s="239">
        <v>19100</v>
      </c>
      <c r="K13" s="239">
        <v>344700</v>
      </c>
      <c r="L13" s="239">
        <v>5.5</v>
      </c>
      <c r="M13" s="239">
        <v>2</v>
      </c>
      <c r="N13" s="239">
        <v>14700</v>
      </c>
      <c r="O13" s="239">
        <v>349800</v>
      </c>
      <c r="P13" s="239">
        <v>4.2</v>
      </c>
      <c r="Q13" s="239">
        <v>2</v>
      </c>
    </row>
    <row r="14" spans="1:17">
      <c r="A14" s="10" t="s">
        <v>19</v>
      </c>
      <c r="B14" s="239"/>
      <c r="C14" s="239"/>
      <c r="D14" s="240"/>
      <c r="E14" s="240"/>
      <c r="F14" s="239"/>
      <c r="G14" s="239"/>
      <c r="H14" s="240"/>
      <c r="I14" s="240"/>
      <c r="J14" s="239">
        <v>1800</v>
      </c>
      <c r="K14" s="239">
        <v>30500</v>
      </c>
      <c r="L14" s="239">
        <v>5.9</v>
      </c>
      <c r="M14" s="239">
        <v>3</v>
      </c>
      <c r="N14" s="239">
        <v>2200</v>
      </c>
      <c r="O14" s="239">
        <v>31200</v>
      </c>
      <c r="P14" s="239">
        <v>7.2</v>
      </c>
      <c r="Q14" s="239">
        <v>3.7</v>
      </c>
    </row>
    <row r="15" spans="1:17">
      <c r="A15" s="10" t="s">
        <v>20</v>
      </c>
      <c r="B15" s="239"/>
      <c r="C15" s="239"/>
      <c r="D15" s="240"/>
      <c r="E15" s="240"/>
      <c r="F15" s="239"/>
      <c r="G15" s="239"/>
      <c r="H15" s="240"/>
      <c r="I15" s="240"/>
      <c r="J15" s="239">
        <v>7800</v>
      </c>
      <c r="K15" s="239">
        <v>80300</v>
      </c>
      <c r="L15" s="239">
        <v>9.6999999999999993</v>
      </c>
      <c r="M15" s="239">
        <v>3.1</v>
      </c>
      <c r="N15" s="239">
        <v>5800</v>
      </c>
      <c r="O15" s="239">
        <v>83500</v>
      </c>
      <c r="P15" s="239">
        <v>7</v>
      </c>
      <c r="Q15" s="239">
        <v>3.7</v>
      </c>
    </row>
    <row r="16" spans="1:17">
      <c r="A16" s="10" t="s">
        <v>21</v>
      </c>
      <c r="B16" s="239"/>
      <c r="C16" s="239"/>
      <c r="D16" s="240"/>
      <c r="E16" s="240"/>
      <c r="F16" s="239"/>
      <c r="G16" s="239"/>
      <c r="H16" s="240"/>
      <c r="I16" s="240"/>
      <c r="J16" s="239">
        <v>3100</v>
      </c>
      <c r="K16" s="239">
        <v>90300</v>
      </c>
      <c r="L16" s="239">
        <v>3.4</v>
      </c>
      <c r="M16" s="239">
        <v>1.8</v>
      </c>
      <c r="N16" s="239">
        <v>7400</v>
      </c>
      <c r="O16" s="239">
        <v>95200</v>
      </c>
      <c r="P16" s="239">
        <v>7.7</v>
      </c>
      <c r="Q16" s="239">
        <v>3</v>
      </c>
    </row>
    <row r="17" spans="1:17">
      <c r="A17" s="10" t="s">
        <v>22</v>
      </c>
      <c r="B17" s="239"/>
      <c r="C17" s="239"/>
      <c r="D17" s="240"/>
      <c r="E17" s="240"/>
      <c r="F17" s="239"/>
      <c r="G17" s="239"/>
      <c r="H17" s="240"/>
      <c r="I17" s="240"/>
      <c r="J17" s="239">
        <v>7500</v>
      </c>
      <c r="K17" s="239">
        <v>67700</v>
      </c>
      <c r="L17" s="239">
        <v>11.1</v>
      </c>
      <c r="M17" s="239">
        <v>3.2</v>
      </c>
      <c r="N17" s="239">
        <v>8600</v>
      </c>
      <c r="O17" s="239">
        <v>68100</v>
      </c>
      <c r="P17" s="239">
        <v>12.6</v>
      </c>
      <c r="Q17" s="239">
        <v>4.3</v>
      </c>
    </row>
    <row r="18" spans="1:17">
      <c r="A18" s="10" t="s">
        <v>23</v>
      </c>
      <c r="B18" s="239"/>
      <c r="C18" s="239"/>
      <c r="D18" s="240"/>
      <c r="E18" s="240"/>
      <c r="F18" s="239"/>
      <c r="G18" s="239"/>
      <c r="H18" s="240"/>
      <c r="I18" s="240"/>
      <c r="J18" s="239">
        <v>2600</v>
      </c>
      <c r="K18" s="239">
        <v>59400</v>
      </c>
      <c r="L18" s="239">
        <v>4.4000000000000004</v>
      </c>
      <c r="M18" s="239">
        <v>1.9</v>
      </c>
      <c r="N18" s="239">
        <v>3100</v>
      </c>
      <c r="O18" s="239">
        <v>58700</v>
      </c>
      <c r="P18" s="239">
        <v>5.3</v>
      </c>
      <c r="Q18" s="239">
        <v>2.4</v>
      </c>
    </row>
    <row r="19" spans="1:17">
      <c r="A19" s="10" t="s">
        <v>24</v>
      </c>
      <c r="B19" s="239"/>
      <c r="C19" s="239"/>
      <c r="D19" s="240"/>
      <c r="E19" s="240"/>
      <c r="F19" s="239"/>
      <c r="G19" s="239"/>
      <c r="H19" s="240"/>
      <c r="I19" s="240"/>
      <c r="J19" s="239">
        <v>4800</v>
      </c>
      <c r="K19" s="239">
        <v>59500</v>
      </c>
      <c r="L19" s="239">
        <v>8.1</v>
      </c>
      <c r="M19" s="239">
        <v>3.1</v>
      </c>
      <c r="N19" s="239">
        <v>4200</v>
      </c>
      <c r="O19" s="239">
        <v>64300</v>
      </c>
      <c r="P19" s="239">
        <v>6.6</v>
      </c>
      <c r="Q19" s="239">
        <v>3.3</v>
      </c>
    </row>
    <row r="20" spans="1:17">
      <c r="A20" s="10" t="s">
        <v>25</v>
      </c>
      <c r="B20" s="239"/>
      <c r="C20" s="239"/>
      <c r="D20" s="240"/>
      <c r="E20" s="240"/>
      <c r="F20" s="239"/>
      <c r="G20" s="239"/>
      <c r="H20" s="240"/>
      <c r="I20" s="240"/>
      <c r="J20" s="239">
        <v>3100</v>
      </c>
      <c r="K20" s="239">
        <v>53900</v>
      </c>
      <c r="L20" s="239">
        <v>5.7</v>
      </c>
      <c r="M20" s="239">
        <v>2.7</v>
      </c>
      <c r="N20" s="239">
        <v>2400</v>
      </c>
      <c r="O20" s="239">
        <v>54200</v>
      </c>
      <c r="P20" s="239">
        <v>4.4000000000000004</v>
      </c>
      <c r="Q20" s="239">
        <v>2.9</v>
      </c>
    </row>
    <row r="21" spans="1:17">
      <c r="A21" s="10" t="s">
        <v>26</v>
      </c>
      <c r="B21" s="239"/>
      <c r="C21" s="239"/>
      <c r="D21" s="240"/>
      <c r="E21" s="240"/>
      <c r="F21" s="239"/>
      <c r="G21" s="239"/>
      <c r="H21" s="240"/>
      <c r="I21" s="240"/>
      <c r="J21" s="239">
        <v>8600</v>
      </c>
      <c r="K21" s="239">
        <v>94600</v>
      </c>
      <c r="L21" s="239">
        <v>9.1</v>
      </c>
      <c r="M21" s="239">
        <v>3</v>
      </c>
      <c r="N21" s="239">
        <v>12400</v>
      </c>
      <c r="O21" s="239">
        <v>95500</v>
      </c>
      <c r="P21" s="239">
        <v>13</v>
      </c>
      <c r="Q21" s="239">
        <v>3.9</v>
      </c>
    </row>
    <row r="22" spans="1:17">
      <c r="A22" s="10" t="s">
        <v>27</v>
      </c>
      <c r="B22" s="239"/>
      <c r="C22" s="239"/>
      <c r="D22" s="240"/>
      <c r="E22" s="240"/>
      <c r="F22" s="239"/>
      <c r="G22" s="239"/>
      <c r="H22" s="240"/>
      <c r="I22" s="240"/>
      <c r="J22" s="239">
        <v>16700</v>
      </c>
      <c r="K22" s="239">
        <v>217800</v>
      </c>
      <c r="L22" s="239">
        <v>7.7</v>
      </c>
      <c r="M22" s="239">
        <v>2.2999999999999998</v>
      </c>
      <c r="N22" s="239">
        <v>13200</v>
      </c>
      <c r="O22" s="239">
        <v>219600</v>
      </c>
      <c r="P22" s="239">
        <v>6</v>
      </c>
      <c r="Q22" s="239">
        <v>2.2000000000000002</v>
      </c>
    </row>
    <row r="23" spans="1:17">
      <c r="A23" s="10" t="s">
        <v>28</v>
      </c>
      <c r="B23" s="239"/>
      <c r="C23" s="239"/>
      <c r="D23" s="240"/>
      <c r="E23" s="240"/>
      <c r="F23" s="239"/>
      <c r="G23" s="239"/>
      <c r="H23" s="240"/>
      <c r="I23" s="240"/>
      <c r="J23" s="239">
        <v>45500</v>
      </c>
      <c r="K23" s="239">
        <v>405400</v>
      </c>
      <c r="L23" s="239">
        <v>11.2</v>
      </c>
      <c r="M23" s="239">
        <v>2.6</v>
      </c>
      <c r="N23" s="239">
        <v>48600</v>
      </c>
      <c r="O23" s="239">
        <v>407500</v>
      </c>
      <c r="P23" s="239">
        <v>11.9</v>
      </c>
      <c r="Q23" s="239">
        <v>3.4</v>
      </c>
    </row>
    <row r="24" spans="1:17">
      <c r="A24" s="10" t="s">
        <v>29</v>
      </c>
      <c r="B24" s="239"/>
      <c r="C24" s="239"/>
      <c r="D24" s="240"/>
      <c r="E24" s="240"/>
      <c r="F24" s="239"/>
      <c r="G24" s="239"/>
      <c r="H24" s="240"/>
      <c r="I24" s="240"/>
      <c r="J24" s="239">
        <v>11000</v>
      </c>
      <c r="K24" s="239">
        <v>131100</v>
      </c>
      <c r="L24" s="239">
        <v>8.4</v>
      </c>
      <c r="M24" s="239">
        <v>3.8</v>
      </c>
      <c r="N24" s="239">
        <v>12500</v>
      </c>
      <c r="O24" s="239">
        <v>143000</v>
      </c>
      <c r="P24" s="239">
        <v>8.6999999999999993</v>
      </c>
      <c r="Q24" s="239">
        <v>4.2</v>
      </c>
    </row>
    <row r="25" spans="1:17">
      <c r="A25" s="10" t="s">
        <v>30</v>
      </c>
      <c r="B25" s="239"/>
      <c r="C25" s="239"/>
      <c r="D25" s="240"/>
      <c r="E25" s="240"/>
      <c r="F25" s="239"/>
      <c r="G25" s="239"/>
      <c r="H25" s="240"/>
      <c r="I25" s="240"/>
      <c r="J25" s="239">
        <v>4100</v>
      </c>
      <c r="K25" s="239">
        <v>44600</v>
      </c>
      <c r="L25" s="239">
        <v>9.1</v>
      </c>
      <c r="M25" s="239">
        <v>3.3</v>
      </c>
      <c r="N25" s="239">
        <v>4100</v>
      </c>
      <c r="O25" s="239">
        <v>44500</v>
      </c>
      <c r="P25" s="239">
        <v>9.1999999999999993</v>
      </c>
      <c r="Q25" s="239">
        <v>4.3</v>
      </c>
    </row>
    <row r="26" spans="1:17">
      <c r="A26" s="10" t="s">
        <v>31</v>
      </c>
      <c r="B26" s="239"/>
      <c r="C26" s="239"/>
      <c r="D26" s="240"/>
      <c r="E26" s="240"/>
      <c r="F26" s="239"/>
      <c r="G26" s="239"/>
      <c r="H26" s="240"/>
      <c r="I26" s="240"/>
      <c r="J26" s="239">
        <v>7700</v>
      </c>
      <c r="K26" s="239">
        <v>55400</v>
      </c>
      <c r="L26" s="239">
        <v>13.9</v>
      </c>
      <c r="M26" s="239">
        <v>4.4000000000000004</v>
      </c>
      <c r="N26" s="239">
        <v>3000</v>
      </c>
      <c r="O26" s="239">
        <v>54300</v>
      </c>
      <c r="P26" s="239">
        <v>5.5</v>
      </c>
      <c r="Q26" s="239">
        <v>3.5</v>
      </c>
    </row>
    <row r="27" spans="1:17">
      <c r="A27" s="10" t="s">
        <v>32</v>
      </c>
      <c r="B27" s="239"/>
      <c r="C27" s="239"/>
      <c r="D27" s="240"/>
      <c r="E27" s="240"/>
      <c r="F27" s="239"/>
      <c r="G27" s="239"/>
      <c r="H27" s="240"/>
      <c r="I27" s="240"/>
      <c r="J27" s="239">
        <v>3000</v>
      </c>
      <c r="K27" s="239">
        <v>56700</v>
      </c>
      <c r="L27" s="239">
        <v>5.3</v>
      </c>
      <c r="M27" s="239">
        <v>2.4</v>
      </c>
      <c r="N27" s="239">
        <v>4500</v>
      </c>
      <c r="O27" s="239">
        <v>59300</v>
      </c>
      <c r="P27" s="239">
        <v>7.6</v>
      </c>
      <c r="Q27" s="239">
        <v>3.4</v>
      </c>
    </row>
    <row r="28" spans="1:17">
      <c r="A28" s="10" t="s">
        <v>33</v>
      </c>
      <c r="B28" s="239"/>
      <c r="C28" s="239"/>
      <c r="D28" s="240"/>
      <c r="E28" s="240"/>
      <c r="F28" s="239"/>
      <c r="G28" s="239"/>
      <c r="H28" s="240"/>
      <c r="I28" s="240"/>
      <c r="J28" s="239">
        <v>900</v>
      </c>
      <c r="K28" s="239">
        <v>14400</v>
      </c>
      <c r="L28" s="239">
        <v>6.1</v>
      </c>
      <c r="M28" s="239" t="s">
        <v>12</v>
      </c>
      <c r="N28" s="239">
        <v>700</v>
      </c>
      <c r="O28" s="239">
        <v>14400</v>
      </c>
      <c r="P28" s="239">
        <v>4.9000000000000004</v>
      </c>
      <c r="Q28" s="239" t="s">
        <v>12</v>
      </c>
    </row>
    <row r="29" spans="1:17">
      <c r="A29" s="10" t="s">
        <v>34</v>
      </c>
      <c r="B29" s="239"/>
      <c r="C29" s="239"/>
      <c r="D29" s="240"/>
      <c r="E29" s="240"/>
      <c r="F29" s="239"/>
      <c r="G29" s="239"/>
      <c r="H29" s="240"/>
      <c r="I29" s="240"/>
      <c r="J29" s="239">
        <v>5500</v>
      </c>
      <c r="K29" s="239">
        <v>75000</v>
      </c>
      <c r="L29" s="239">
        <v>7.4</v>
      </c>
      <c r="M29" s="239">
        <v>2.6</v>
      </c>
      <c r="N29" s="239">
        <v>7400</v>
      </c>
      <c r="O29" s="239">
        <v>77000</v>
      </c>
      <c r="P29" s="239">
        <v>9.6</v>
      </c>
      <c r="Q29" s="239">
        <v>3.7</v>
      </c>
    </row>
    <row r="30" spans="1:17">
      <c r="A30" s="10" t="s">
        <v>35</v>
      </c>
      <c r="B30" s="239"/>
      <c r="C30" s="239"/>
      <c r="D30" s="240"/>
      <c r="E30" s="240"/>
      <c r="F30" s="239"/>
      <c r="G30" s="239"/>
      <c r="H30" s="240"/>
      <c r="I30" s="240"/>
      <c r="J30" s="239">
        <v>30500</v>
      </c>
      <c r="K30" s="239">
        <v>212200</v>
      </c>
      <c r="L30" s="239">
        <v>14.4</v>
      </c>
      <c r="M30" s="239">
        <v>3.6</v>
      </c>
      <c r="N30" s="239">
        <v>30100</v>
      </c>
      <c r="O30" s="239">
        <v>209900</v>
      </c>
      <c r="P30" s="239">
        <v>14.3</v>
      </c>
      <c r="Q30" s="239">
        <v>4.2</v>
      </c>
    </row>
    <row r="31" spans="1:17">
      <c r="A31" s="10" t="s">
        <v>36</v>
      </c>
      <c r="B31" s="239"/>
      <c r="C31" s="239"/>
      <c r="D31" s="240"/>
      <c r="E31" s="239"/>
      <c r="F31" s="239"/>
      <c r="G31" s="239"/>
      <c r="H31" s="240"/>
      <c r="I31" s="239"/>
      <c r="J31" s="239" t="s">
        <v>71</v>
      </c>
      <c r="K31" s="239">
        <v>12100</v>
      </c>
      <c r="L31" s="239" t="s">
        <v>71</v>
      </c>
      <c r="M31" s="239" t="s">
        <v>71</v>
      </c>
      <c r="N31" s="239" t="s">
        <v>71</v>
      </c>
      <c r="O31" s="239">
        <v>13000</v>
      </c>
      <c r="P31" s="239" t="s">
        <v>71</v>
      </c>
      <c r="Q31" s="239" t="s">
        <v>71</v>
      </c>
    </row>
    <row r="32" spans="1:17">
      <c r="A32" s="10" t="s">
        <v>37</v>
      </c>
      <c r="B32" s="239"/>
      <c r="C32" s="239"/>
      <c r="D32" s="240"/>
      <c r="E32" s="240"/>
      <c r="F32" s="239"/>
      <c r="G32" s="239"/>
      <c r="H32" s="240"/>
      <c r="I32" s="240"/>
      <c r="J32" s="239">
        <v>3200</v>
      </c>
      <c r="K32" s="239">
        <v>88200</v>
      </c>
      <c r="L32" s="239">
        <v>3.7</v>
      </c>
      <c r="M32" s="239">
        <v>1.8</v>
      </c>
      <c r="N32" s="239">
        <v>4700</v>
      </c>
      <c r="O32" s="239">
        <v>90300</v>
      </c>
      <c r="P32" s="239">
        <v>5.2</v>
      </c>
      <c r="Q32" s="239">
        <v>2.6</v>
      </c>
    </row>
    <row r="33" spans="1:17">
      <c r="A33" s="10" t="s">
        <v>38</v>
      </c>
      <c r="B33" s="239"/>
      <c r="C33" s="239"/>
      <c r="D33" s="240"/>
      <c r="E33" s="240"/>
      <c r="F33" s="239"/>
      <c r="G33" s="239"/>
      <c r="H33" s="240"/>
      <c r="I33" s="240"/>
      <c r="J33" s="239">
        <v>5500</v>
      </c>
      <c r="K33" s="239">
        <v>106100</v>
      </c>
      <c r="L33" s="239">
        <v>5.2</v>
      </c>
      <c r="M33" s="239">
        <v>2.4</v>
      </c>
      <c r="N33" s="239">
        <v>7800</v>
      </c>
      <c r="O33" s="239">
        <v>107100</v>
      </c>
      <c r="P33" s="239">
        <v>7.3</v>
      </c>
      <c r="Q33" s="239">
        <v>3.2</v>
      </c>
    </row>
    <row r="34" spans="1:17">
      <c r="A34" s="10" t="s">
        <v>39</v>
      </c>
      <c r="B34" s="239"/>
      <c r="C34" s="239"/>
      <c r="D34" s="240"/>
      <c r="E34" s="240"/>
      <c r="F34" s="239"/>
      <c r="G34" s="239"/>
      <c r="H34" s="240"/>
      <c r="I34" s="240"/>
      <c r="J34" s="239">
        <v>3500</v>
      </c>
      <c r="K34" s="239">
        <v>63900</v>
      </c>
      <c r="L34" s="239">
        <v>5.5</v>
      </c>
      <c r="M34" s="239">
        <v>2.2999999999999998</v>
      </c>
      <c r="N34" s="239">
        <v>2700</v>
      </c>
      <c r="O34" s="239">
        <v>63700</v>
      </c>
      <c r="P34" s="239">
        <v>4.3</v>
      </c>
      <c r="Q34" s="239" t="s">
        <v>12</v>
      </c>
    </row>
    <row r="35" spans="1:17">
      <c r="A35" s="10" t="s">
        <v>40</v>
      </c>
      <c r="B35" s="239"/>
      <c r="C35" s="239"/>
      <c r="D35" s="239"/>
      <c r="E35" s="239"/>
      <c r="F35" s="239"/>
      <c r="G35" s="239"/>
      <c r="H35" s="239"/>
      <c r="I35" s="239"/>
      <c r="J35" s="239" t="s">
        <v>71</v>
      </c>
      <c r="K35" s="239">
        <v>14000</v>
      </c>
      <c r="L35" s="239" t="s">
        <v>71</v>
      </c>
      <c r="M35" s="239" t="s">
        <v>71</v>
      </c>
      <c r="N35" s="239" t="s">
        <v>71</v>
      </c>
      <c r="O35" s="239">
        <v>14200</v>
      </c>
      <c r="P35" s="239" t="s">
        <v>71</v>
      </c>
      <c r="Q35" s="239" t="s">
        <v>71</v>
      </c>
    </row>
    <row r="36" spans="1:17">
      <c r="A36" s="10" t="s">
        <v>41</v>
      </c>
      <c r="B36" s="239"/>
      <c r="C36" s="239"/>
      <c r="D36" s="240"/>
      <c r="E36" s="240"/>
      <c r="F36" s="239"/>
      <c r="G36" s="239"/>
      <c r="H36" s="240"/>
      <c r="I36" s="240"/>
      <c r="J36" s="239">
        <v>6500</v>
      </c>
      <c r="K36" s="239">
        <v>60800</v>
      </c>
      <c r="L36" s="239">
        <v>10.7</v>
      </c>
      <c r="M36" s="239">
        <v>3.4</v>
      </c>
      <c r="N36" s="239">
        <v>6900</v>
      </c>
      <c r="O36" s="239">
        <v>61800</v>
      </c>
      <c r="P36" s="239">
        <v>11.2</v>
      </c>
      <c r="Q36" s="239">
        <v>4.2</v>
      </c>
    </row>
    <row r="37" spans="1:17">
      <c r="A37" s="10" t="s">
        <v>42</v>
      </c>
      <c r="B37" s="239"/>
      <c r="C37" s="239"/>
      <c r="D37" s="240"/>
      <c r="E37" s="240"/>
      <c r="F37" s="239"/>
      <c r="G37" s="239"/>
      <c r="H37" s="240"/>
      <c r="I37" s="240"/>
      <c r="J37" s="239">
        <v>17800</v>
      </c>
      <c r="K37" s="239">
        <v>186900</v>
      </c>
      <c r="L37" s="239">
        <v>9.5</v>
      </c>
      <c r="M37" s="239">
        <v>2.8</v>
      </c>
      <c r="N37" s="239">
        <v>20000</v>
      </c>
      <c r="O37" s="239">
        <v>187500</v>
      </c>
      <c r="P37" s="239">
        <v>10.6</v>
      </c>
      <c r="Q37" s="239">
        <v>3.6</v>
      </c>
    </row>
    <row r="38" spans="1:17">
      <c r="A38" s="10" t="s">
        <v>43</v>
      </c>
      <c r="B38" s="239"/>
      <c r="C38" s="239"/>
      <c r="D38" s="240"/>
      <c r="E38" s="240"/>
      <c r="F38" s="239"/>
      <c r="G38" s="239"/>
      <c r="H38" s="240"/>
      <c r="I38" s="240"/>
      <c r="J38" s="239">
        <v>3300</v>
      </c>
      <c r="K38" s="239">
        <v>55700</v>
      </c>
      <c r="L38" s="239">
        <v>5.9</v>
      </c>
      <c r="M38" s="239">
        <v>2.2999999999999998</v>
      </c>
      <c r="N38" s="239">
        <v>2700</v>
      </c>
      <c r="O38" s="239">
        <v>58600</v>
      </c>
      <c r="P38" s="239">
        <v>4.7</v>
      </c>
      <c r="Q38" s="239">
        <v>2.2999999999999998</v>
      </c>
    </row>
    <row r="39" spans="1:17">
      <c r="A39" s="10" t="s">
        <v>44</v>
      </c>
      <c r="B39" s="239"/>
      <c r="C39" s="239"/>
      <c r="D39" s="240"/>
      <c r="E39" s="240"/>
      <c r="F39" s="239"/>
      <c r="G39" s="239"/>
      <c r="H39" s="240"/>
      <c r="I39" s="240"/>
      <c r="J39" s="239">
        <v>5300</v>
      </c>
      <c r="K39" s="239">
        <v>52100</v>
      </c>
      <c r="L39" s="239">
        <v>10.1</v>
      </c>
      <c r="M39" s="239">
        <v>3</v>
      </c>
      <c r="N39" s="239">
        <v>4300</v>
      </c>
      <c r="O39" s="239">
        <v>50600</v>
      </c>
      <c r="P39" s="239">
        <v>8.5</v>
      </c>
      <c r="Q39" s="239">
        <v>3.2</v>
      </c>
    </row>
    <row r="40" spans="1:17">
      <c r="A40" s="10" t="s">
        <v>45</v>
      </c>
      <c r="B40" s="239"/>
      <c r="C40" s="239"/>
      <c r="D40" s="240"/>
      <c r="E40" s="240"/>
      <c r="F40" s="239"/>
      <c r="G40" s="239"/>
      <c r="H40" s="240"/>
      <c r="I40" s="240"/>
      <c r="J40" s="239">
        <v>9600</v>
      </c>
      <c r="K40" s="239">
        <v>106800</v>
      </c>
      <c r="L40" s="239">
        <v>9</v>
      </c>
      <c r="M40" s="239">
        <v>2.9</v>
      </c>
      <c r="N40" s="239">
        <v>13700</v>
      </c>
      <c r="O40" s="239">
        <v>112200</v>
      </c>
      <c r="P40" s="239">
        <v>12.2</v>
      </c>
      <c r="Q40" s="239">
        <v>3.9</v>
      </c>
    </row>
    <row r="41" spans="1:17">
      <c r="A41" s="10"/>
      <c r="B41" s="239"/>
      <c r="C41" s="239"/>
      <c r="D41" s="240"/>
      <c r="E41" s="240"/>
      <c r="F41" s="239"/>
      <c r="G41" s="239"/>
      <c r="H41" s="240"/>
      <c r="I41" s="240"/>
      <c r="J41" s="239"/>
      <c r="K41" s="239"/>
      <c r="L41" s="239"/>
      <c r="M41" s="239"/>
      <c r="N41" s="239"/>
      <c r="O41" s="239"/>
      <c r="P41" s="239"/>
      <c r="Q41" s="239"/>
    </row>
    <row r="42" spans="1:17">
      <c r="A42" s="10" t="s">
        <v>46</v>
      </c>
      <c r="B42" s="314"/>
      <c r="C42" s="314"/>
      <c r="D42" s="315"/>
      <c r="E42" s="315"/>
      <c r="F42" s="314"/>
      <c r="G42" s="314"/>
      <c r="H42" s="315"/>
      <c r="I42" s="315"/>
      <c r="J42" s="239">
        <v>262300</v>
      </c>
      <c r="K42" s="239">
        <v>3264800</v>
      </c>
      <c r="L42" s="239">
        <v>8</v>
      </c>
      <c r="M42" s="239">
        <v>0.5</v>
      </c>
      <c r="N42" s="239">
        <v>271400</v>
      </c>
      <c r="O42" s="239">
        <v>3326500</v>
      </c>
      <c r="P42" s="239">
        <v>8.1999999999999993</v>
      </c>
      <c r="Q42" s="239">
        <v>0.6</v>
      </c>
    </row>
    <row r="43" spans="1:17">
      <c r="A43" s="10" t="s">
        <v>47</v>
      </c>
      <c r="B43" s="314"/>
      <c r="C43" s="314"/>
      <c r="D43" s="315"/>
      <c r="E43" s="315"/>
      <c r="F43" s="314"/>
      <c r="G43" s="314"/>
      <c r="H43" s="315"/>
      <c r="I43" s="315"/>
      <c r="J43" s="239">
        <v>2777400</v>
      </c>
      <c r="K43" s="239">
        <v>39690400</v>
      </c>
      <c r="L43" s="239">
        <v>7</v>
      </c>
      <c r="M43" s="239">
        <v>0.2</v>
      </c>
      <c r="N43" s="239">
        <v>2697900</v>
      </c>
      <c r="O43" s="239">
        <v>40657400</v>
      </c>
      <c r="P43" s="239">
        <v>6.6</v>
      </c>
      <c r="Q43" s="239">
        <v>0.2</v>
      </c>
    </row>
    <row r="44" spans="1:17">
      <c r="A44" s="10" t="s">
        <v>156</v>
      </c>
      <c r="B44" s="15"/>
      <c r="C44" s="15"/>
      <c r="D44" s="14"/>
      <c r="E44" s="15"/>
      <c r="F44" s="15"/>
      <c r="G44" s="15"/>
      <c r="H44" s="14"/>
      <c r="I44" s="15"/>
      <c r="J44" s="15" cm="1">
        <f t="array" ref="J44">SUM(SUMIFS(J$9:J$40,$A$9:$A$40,{"Aberdeen City","Aberdeenshire"}))</f>
        <v>18800</v>
      </c>
      <c r="K44" s="15" cm="1">
        <f t="array" ref="K44">SUM(SUMIFS(K$9:K$40,$A$9:$A$40,{"Aberdeen City","Aberdeenshire"}))</f>
        <v>309800</v>
      </c>
      <c r="L44" s="14">
        <f t="shared" ref="L44" si="0">SUM(J44/K44)*100</f>
        <v>6.0684312459651393</v>
      </c>
      <c r="M44" s="15"/>
      <c r="N44" s="15" cm="1">
        <f t="array" ref="N44">SUM(SUMIFS(N$9:N$40,$A$9:$A$40,{"Aberdeen City","Aberdeenshire"}))</f>
        <v>14600</v>
      </c>
      <c r="O44" s="15" cm="1">
        <f t="array" ref="O44">SUM(SUMIFS(O$9:O$40,$A$9:$A$40,{"Aberdeen City","Aberdeenshire"}))</f>
        <v>321600</v>
      </c>
      <c r="P44" s="14">
        <f t="shared" ref="P44" si="1">SUM(N44/O44)*100</f>
        <v>4.5398009950248754</v>
      </c>
      <c r="Q44" s="15"/>
    </row>
    <row r="45" spans="1:17">
      <c r="A45" s="10" t="s">
        <v>359</v>
      </c>
      <c r="B45" s="125"/>
      <c r="C45" s="125"/>
      <c r="D45" s="316"/>
      <c r="E45" s="14"/>
      <c r="F45" s="125"/>
      <c r="G45" s="125"/>
      <c r="H45" s="316"/>
      <c r="I45" s="14"/>
      <c r="J45" s="125" cm="1">
        <f t="array" ref="J45">SUM(SUMIFS(J$9:J$41,$A$9:$A$41,{"Falkirk","Stirling","Clackmannanshire"}))</f>
        <v>13700</v>
      </c>
      <c r="K45" s="125" cm="1">
        <f t="array" ref="K45">SUM(SUMIFS(K$9:K$41,$A$9:$A$41,{"Falkirk","Stirling","Clackmannanshire"}))</f>
        <v>180800</v>
      </c>
      <c r="L45" s="316">
        <f t="shared" ref="L45" si="2">SUM(J45/K45)*100</f>
        <v>7.5774336283185848</v>
      </c>
      <c r="M45" s="14"/>
      <c r="N45" s="125" cm="1">
        <f t="array" ref="N45">SUM(SUMIFS(N$9:N$41,$A$9:$A$41,{"Falkirk","Stirling","Clackmannanshire"}))</f>
        <v>17300</v>
      </c>
      <c r="O45" s="125" cm="1">
        <f t="array" ref="O45">SUM(SUMIFS(O$9:O$41,$A$9:$A$41,{"Falkirk","Stirling","Clackmannanshire"}))</f>
        <v>185300</v>
      </c>
      <c r="P45" s="316">
        <f t="shared" ref="P45" si="3">SUM(N45/O45)*100</f>
        <v>9.336211548839719</v>
      </c>
      <c r="Q45" s="14"/>
    </row>
    <row r="46" spans="1:17">
      <c r="A46" s="10" t="s">
        <v>157</v>
      </c>
      <c r="B46" s="125"/>
      <c r="C46" s="125"/>
      <c r="D46" s="14"/>
      <c r="E46" s="15"/>
      <c r="F46" s="125"/>
      <c r="G46" s="125"/>
      <c r="H46" s="14"/>
      <c r="I46" s="15"/>
      <c r="J46" s="125" cm="1">
        <f t="array" ref="J46">SUM(SUMIFS(J$9:J$40,$A$9:$A$40,{"East Lothian","Edinburgh, City of","Fife","Midlothian","Scottish Borders","West Lothian"}))</f>
        <v>61400</v>
      </c>
      <c r="K46" s="125" cm="1">
        <f t="array" ref="K46">SUM(SUMIFS(K$9:K$40,$A$9:$A$40,{"East Lothian","Edinburgh, City of","Fife","Midlothian","Scottish Borders","West Lothian"}))</f>
        <v>848100</v>
      </c>
      <c r="L46" s="14">
        <f t="shared" ref="L46:L47" si="4">SUM(J46/K46)*100</f>
        <v>7.2397122980780564</v>
      </c>
      <c r="M46" s="15"/>
      <c r="N46" s="125" cm="1">
        <f t="array" ref="N46">SUM(SUMIFS(N$9:N$40,$A$9:$A$40,{"East Lothian","Edinburgh, City of","Fife","Midlothian","Scottish Borders","West Lothian"}))</f>
        <v>51500</v>
      </c>
      <c r="O46" s="125" cm="1">
        <f t="array" ref="O46">SUM(SUMIFS(O$9:O$40,$A$9:$A$40,{"East Lothian","Edinburgh, City of","Fife","Midlothian","Scottish Borders","West Lothian"}))</f>
        <v>863900</v>
      </c>
      <c r="P46" s="14">
        <f t="shared" ref="P46:P47" si="5">SUM(N46/O46)*100</f>
        <v>5.9613381178377125</v>
      </c>
      <c r="Q46" s="15"/>
    </row>
    <row r="47" spans="1:17">
      <c r="A47" s="10" t="s">
        <v>158</v>
      </c>
      <c r="B47" s="125"/>
      <c r="C47" s="125"/>
      <c r="D47" s="14"/>
      <c r="E47" s="15"/>
      <c r="F47" s="125"/>
      <c r="G47" s="125"/>
      <c r="H47" s="14"/>
      <c r="I47" s="15"/>
      <c r="J47" s="125" cm="1">
        <f t="array" ref="J47">SUM(SUMIFS(J$9:J$40,$A$9:$A$40,{"Angus","Dundee City","Fife","Perth and Kinross"}))</f>
        <v>26500</v>
      </c>
      <c r="K47" s="125" cm="1">
        <f t="array" ref="K47">SUM(SUMIFS(K$9:K$40,$A$9:$A$40,{"Angus","Dundee City","Fife","Perth and Kinross"}))</f>
        <v>464000</v>
      </c>
      <c r="L47" s="14">
        <f t="shared" si="4"/>
        <v>5.7112068965517242</v>
      </c>
      <c r="M47" s="15"/>
      <c r="N47" s="125" cm="1">
        <f t="array" ref="N47">SUM(SUMIFS(N$9:N$40,$A$9:$A$40,{"Angus","Dundee City","Fife","Perth and Kinross"}))</f>
        <v>30200</v>
      </c>
      <c r="O47" s="125" cm="1">
        <f t="array" ref="O47">SUM(SUMIFS(O$9:O$40,$A$9:$A$40,{"Angus","Dundee City","Fife","Perth and Kinross"}))</f>
        <v>474200</v>
      </c>
      <c r="P47" s="14">
        <f t="shared" si="5"/>
        <v>6.3686208350906783</v>
      </c>
      <c r="Q47" s="15"/>
    </row>
    <row r="48" spans="1:17">
      <c r="A48" s="10" t="s">
        <v>246</v>
      </c>
      <c r="B48" s="125"/>
      <c r="C48" s="125"/>
      <c r="D48" s="316"/>
      <c r="E48" s="14"/>
      <c r="F48" s="125"/>
      <c r="G48" s="125"/>
      <c r="H48" s="316"/>
      <c r="I48" s="14"/>
      <c r="J48" s="125">
        <f>SUM(SUMIFS(J$9:J$41,$A$9:$A$41,{"Na h-Eileanan Siar","Argyll and Bute","Shetland Islands","Highland","Orkney Islands","Scottish Borders","Dumfries and Galloway","Aberdeenshire"}))</f>
        <v>36900</v>
      </c>
      <c r="K48" s="125">
        <f>SUM(SUMIFS(K$9:K$41,$A$9:$A$41,{"Na h-Eileanan Siar","Argyll and Bute","Shetland Islands","Highland","Orkney Islands","Scottish Borders","Dumfries and Galloway","Aberdeenshire"}))</f>
        <v>519600</v>
      </c>
      <c r="L48" s="316">
        <f t="shared" ref="L48:L51" si="6">SUM(J48/K48)*100</f>
        <v>7.1016166281755195</v>
      </c>
      <c r="M48" s="14"/>
      <c r="N48" s="125">
        <f>SUM(SUMIFS(N$9:N$41,$A$9:$A$41,{"Na h-Eileanan Siar","Argyll and Bute","Shetland Islands","Highland","Orkney Islands","Scottish Borders","Dumfries and Galloway","Aberdeenshire"}))</f>
        <v>35900</v>
      </c>
      <c r="O48" s="125">
        <f>SUM(SUMIFS(O$9:O$41,$A$9:$A$41,{"Na h-Eileanan Siar","Argyll and Bute","Shetland Islands","Highland","Orkney Islands","Scottish Borders","Dumfries and Galloway","Aberdeenshire"}))</f>
        <v>543600</v>
      </c>
      <c r="P48" s="316">
        <f t="shared" ref="P48:P51" si="7">SUM(N48/O48)*100</f>
        <v>6.6041206769683587</v>
      </c>
      <c r="Q48" s="14"/>
    </row>
    <row r="49" spans="1:17">
      <c r="A49" s="10" t="s">
        <v>247</v>
      </c>
      <c r="B49" s="125"/>
      <c r="C49" s="125"/>
      <c r="D49" s="316"/>
      <c r="E49" s="14"/>
      <c r="F49" s="125"/>
      <c r="G49" s="125"/>
      <c r="H49" s="316"/>
      <c r="I49" s="14"/>
      <c r="J49" s="125">
        <f>SUM(SUMIFS(J$9:J$41,$A$9:$A$41,{"Perth and Kinross","Stirling","Moray","South Ayrshire","East Ayrshire","East Lothian","North Ayrshire","Fife"}))</f>
        <v>50500</v>
      </c>
      <c r="K49" s="125">
        <f>SUM(SUMIFS(K$9:K$41,$A$9:$A$41,{"Perth and Kinross","Stirling","Moray","South Ayrshire","East Ayrshire","East Lothian","North Ayrshire","Fife"}))</f>
        <v>681400</v>
      </c>
      <c r="L49" s="316">
        <f t="shared" si="6"/>
        <v>7.4112122101555631</v>
      </c>
      <c r="M49" s="14"/>
      <c r="N49" s="125">
        <f>SUM(SUMIFS(N$9:N$41,$A$9:$A$41,{"Perth and Kinross","Stirling","Moray","South Ayrshire","East Ayrshire","East Lothian","North Ayrshire","Fife"}))</f>
        <v>52200</v>
      </c>
      <c r="O49" s="125">
        <f>SUM(SUMIFS(O$9:O$41,$A$9:$A$41,{"Perth and Kinross","Stirling","Moray","South Ayrshire","East Ayrshire","East Lothian","North Ayrshire","Fife"}))</f>
        <v>699000</v>
      </c>
      <c r="P49" s="316">
        <f t="shared" si="7"/>
        <v>7.4678111587982832</v>
      </c>
      <c r="Q49" s="14"/>
    </row>
    <row r="50" spans="1:17">
      <c r="A50" s="10" t="s">
        <v>248</v>
      </c>
      <c r="B50" s="125"/>
      <c r="C50" s="125"/>
      <c r="D50" s="316"/>
      <c r="E50" s="14"/>
      <c r="F50" s="125"/>
      <c r="G50" s="125"/>
      <c r="H50" s="316"/>
      <c r="I50" s="14"/>
      <c r="J50" s="125">
        <f>SUM(SUMIFS(J$9:J$41,$A$9:$A$41,{"Angus","Clackmannanshire","Midlothian","South Lanarkshire","Inverclyde","Renfrewshire","West Lothian","East Renfrewshire"}))</f>
        <v>53100</v>
      </c>
      <c r="K50" s="125">
        <f>SUM(SUMIFS(K$9:K$41,$A$9:$A$41,{"Angus","Clackmannanshire","Midlothian","South Lanarkshire","Inverclyde","Renfrewshire","West Lothian","East Renfrewshire"}))</f>
        <v>651900</v>
      </c>
      <c r="L50" s="316">
        <f t="shared" si="6"/>
        <v>8.1454210768522781</v>
      </c>
      <c r="M50" s="14"/>
      <c r="N50" s="125">
        <f>SUM(SUMIFS(N$9:N$41,$A$9:$A$41,{"Angus","Clackmannanshire","Midlothian","South Lanarkshire","Inverclyde","Renfrewshire","West Lothian","East Renfrewshire"}))</f>
        <v>58100</v>
      </c>
      <c r="O50" s="125">
        <f>SUM(SUMIFS(O$9:O$41,$A$9:$A$41,{"Angus","Clackmannanshire","Midlothian","South Lanarkshire","Inverclyde","Renfrewshire","West Lothian","East Renfrewshire"}))</f>
        <v>660100</v>
      </c>
      <c r="P50" s="316">
        <f t="shared" si="7"/>
        <v>8.8016967126193002</v>
      </c>
      <c r="Q50" s="14"/>
    </row>
    <row r="51" spans="1:17">
      <c r="A51" s="10" t="s">
        <v>249</v>
      </c>
      <c r="B51" s="125"/>
      <c r="C51" s="125"/>
      <c r="D51" s="316"/>
      <c r="E51" s="14"/>
      <c r="F51" s="125"/>
      <c r="G51" s="125"/>
      <c r="H51" s="316"/>
      <c r="I51" s="14"/>
      <c r="J51" s="125">
        <f>SUM(SUMIFS(J$9:J$41,$A$9:$A$41,{"North Lanarkshire","Falkirk","East Dunbartonshire","Aberdeen City","Edinburgh, City of","West Dunbartonshire","Dundee City","Glasgow City"}))</f>
        <v>121700</v>
      </c>
      <c r="K51" s="125">
        <f>SUM(SUMIFS(K$9:K$41,$A$9:$A$41,{"North Lanarkshire","Falkirk","East Dunbartonshire","Aberdeen City","Edinburgh, City of","West Dunbartonshire","Dundee City","Glasgow City"}))</f>
        <v>1411900</v>
      </c>
      <c r="L51" s="316">
        <f t="shared" si="6"/>
        <v>8.6195906225653367</v>
      </c>
      <c r="M51" s="14"/>
      <c r="N51" s="125">
        <f>SUM(SUMIFS(N$9:N$41,$A$9:$A$41,{"North Lanarkshire","Falkirk","East Dunbartonshire","Aberdeen City","Edinburgh, City of","West Dunbartonshire","Dundee City","Glasgow City"}))</f>
        <v>123900</v>
      </c>
      <c r="O51" s="125">
        <f>SUM(SUMIFS(O$9:O$41,$A$9:$A$41,{"North Lanarkshire","Falkirk","East Dunbartonshire","Aberdeen City","Edinburgh, City of","West Dunbartonshire","Dundee City","Glasgow City"}))</f>
        <v>1423900</v>
      </c>
      <c r="P51" s="316">
        <f t="shared" si="7"/>
        <v>8.7014537537748424</v>
      </c>
      <c r="Q51" s="14"/>
    </row>
    <row r="52" spans="1:17">
      <c r="A52" s="10" t="s">
        <v>48</v>
      </c>
      <c r="B52" s="314"/>
      <c r="C52" s="314"/>
      <c r="D52" s="315"/>
      <c r="E52" s="315"/>
      <c r="F52" s="314"/>
      <c r="G52" s="314"/>
      <c r="H52" s="315"/>
      <c r="I52" s="315"/>
      <c r="J52" s="239">
        <v>114400</v>
      </c>
      <c r="K52" s="239">
        <v>1120600</v>
      </c>
      <c r="L52" s="239">
        <v>10.199999999999999</v>
      </c>
      <c r="M52" s="239">
        <v>1.1000000000000001</v>
      </c>
      <c r="N52" s="239">
        <v>120300</v>
      </c>
      <c r="O52" s="239">
        <v>1119900</v>
      </c>
      <c r="P52" s="239">
        <v>10.7</v>
      </c>
      <c r="Q52" s="239">
        <v>1.3</v>
      </c>
    </row>
    <row r="54" spans="1:17">
      <c r="A54" s="2" t="s">
        <v>13</v>
      </c>
    </row>
    <row r="55" spans="1:17">
      <c r="A55" s="2" t="s">
        <v>14</v>
      </c>
    </row>
    <row r="57" spans="1:17">
      <c r="N57" s="15"/>
      <c r="O57" s="15"/>
      <c r="P57" s="14"/>
    </row>
    <row r="59" spans="1:17">
      <c r="N59" s="60"/>
    </row>
  </sheetData>
  <mergeCells count="4">
    <mergeCell ref="B7:E7"/>
    <mergeCell ref="F7:I7"/>
    <mergeCell ref="J7:M7"/>
    <mergeCell ref="N7:Q7"/>
  </mergeCells>
  <conditionalFormatting sqref="A1:XFD1048576">
    <cfRule type="expression" dxfId="81"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autoPageBreaks="0" fitToPage="1"/>
  </sheetPr>
  <dimension ref="A1:S95"/>
  <sheetViews>
    <sheetView zoomScale="59" zoomScaleNormal="90" workbookViewId="0">
      <selection activeCell="T38" sqref="T38"/>
    </sheetView>
  </sheetViews>
  <sheetFormatPr defaultColWidth="8.7109375" defaultRowHeight="12.75"/>
  <cols>
    <col min="1" max="1" width="17.7109375" style="323" customWidth="1"/>
    <col min="2" max="2" width="10.7109375" style="323" customWidth="1"/>
    <col min="3" max="3" width="15.85546875" style="323" customWidth="1"/>
    <col min="4" max="15" width="13.28515625" style="323" customWidth="1"/>
    <col min="16" max="16" width="11.140625" style="323" customWidth="1"/>
    <col min="17" max="16384" width="8.7109375" style="323"/>
  </cols>
  <sheetData>
    <row r="1" spans="1:19" s="80" customFormat="1" ht="15.75">
      <c r="A1" s="324"/>
      <c r="C1" s="81"/>
      <c r="D1" s="81"/>
      <c r="G1" s="81"/>
      <c r="H1" s="81"/>
      <c r="K1" s="81"/>
      <c r="L1" s="81"/>
      <c r="O1" s="81"/>
      <c r="P1" s="81"/>
    </row>
    <row r="2" spans="1:19" s="80" customFormat="1" ht="15.75">
      <c r="A2" s="324"/>
    </row>
    <row r="3" spans="1:19" s="80" customFormat="1" ht="15.75">
      <c r="A3" s="324"/>
    </row>
    <row r="4" spans="1:19" s="80" customFormat="1" ht="15.75">
      <c r="A4" s="324"/>
    </row>
    <row r="5" spans="1:19" s="80" customFormat="1" ht="15.75">
      <c r="A5" s="324"/>
    </row>
    <row r="6" spans="1:19" ht="54" customHeight="1">
      <c r="A6" s="325"/>
      <c r="B6" s="79"/>
      <c r="C6" s="326">
        <v>2021</v>
      </c>
      <c r="D6" s="327" t="s">
        <v>414</v>
      </c>
      <c r="E6" s="326"/>
      <c r="F6" s="79"/>
      <c r="G6" s="326">
        <v>2022</v>
      </c>
      <c r="H6" s="327" t="s">
        <v>414</v>
      </c>
      <c r="I6" s="326"/>
      <c r="J6" s="79"/>
      <c r="K6" s="326">
        <v>2023</v>
      </c>
      <c r="L6" s="327" t="s">
        <v>414</v>
      </c>
      <c r="M6" s="326"/>
      <c r="N6" s="79"/>
      <c r="O6" s="326">
        <v>2024</v>
      </c>
      <c r="P6" s="327" t="s">
        <v>414</v>
      </c>
    </row>
    <row r="7" spans="1:19" ht="40.5" customHeight="1">
      <c r="A7" s="328"/>
      <c r="B7" s="329"/>
      <c r="C7" s="331"/>
      <c r="D7" s="331"/>
      <c r="E7" s="330"/>
      <c r="F7" s="329"/>
      <c r="G7" s="330"/>
      <c r="H7" s="331"/>
      <c r="I7" s="330"/>
      <c r="J7" s="329"/>
      <c r="K7" s="330"/>
      <c r="L7" s="331"/>
      <c r="M7" s="330"/>
      <c r="N7" s="329"/>
      <c r="O7" s="330"/>
      <c r="P7" s="331"/>
    </row>
    <row r="8" spans="1:19" ht="16.5" customHeight="1">
      <c r="B8" s="332" t="s">
        <v>383</v>
      </c>
      <c r="C8" s="323" t="s">
        <v>384</v>
      </c>
      <c r="D8" s="294"/>
      <c r="E8" s="294"/>
      <c r="F8" s="332" t="s">
        <v>383</v>
      </c>
      <c r="G8" s="323" t="s">
        <v>384</v>
      </c>
      <c r="H8" s="294"/>
      <c r="I8" s="294"/>
      <c r="J8" s="332" t="s">
        <v>383</v>
      </c>
      <c r="K8" s="323" t="s">
        <v>384</v>
      </c>
      <c r="L8" s="294"/>
      <c r="M8" s="294"/>
      <c r="N8" s="332" t="s">
        <v>383</v>
      </c>
      <c r="O8" s="323" t="s">
        <v>384</v>
      </c>
      <c r="P8" s="294"/>
    </row>
    <row r="9" spans="1:19" ht="16.5" customHeight="1">
      <c r="A9" s="323" t="s">
        <v>15</v>
      </c>
      <c r="B9" s="333">
        <f>INDEX($I$62:$L$94,MATCH($A9,$H$62:$H$94,0),MATCH(C$6,$I$61:$L$61,0))</f>
        <v>7230</v>
      </c>
      <c r="C9" s="333">
        <f>SUM(INDEX($B$61:$E$95,MATCH($A9,$A$61:$A$95,0),MATCH(C$6,$B$60:$E$60,0))/1000)</f>
        <v>154.22900000000001</v>
      </c>
      <c r="D9" s="334">
        <f>B9/C9</f>
        <v>46.878343242840188</v>
      </c>
      <c r="E9" s="335"/>
      <c r="F9" s="333">
        <f>INDEX($I$62:$L$94,MATCH($A9,$H$62:$H$94,0),MATCH(G$6,$I$61:$L$61,0))</f>
        <v>6759</v>
      </c>
      <c r="G9" s="333">
        <f>SUM(INDEX($B$61:$E$95,MATCH($A9,$A$61:$A$95,0),MATCH(2021,$B$60:$E$60,0))/1000)</f>
        <v>154.22900000000001</v>
      </c>
      <c r="H9" s="334">
        <f>F9/G9</f>
        <v>43.824442873908275</v>
      </c>
      <c r="I9" s="335"/>
      <c r="J9" s="333">
        <f>INDEX($I$62:$L$94,MATCH($A9,$H$62:$H$94,0),MATCH(K$6,$I$61:$L$61,0))</f>
        <v>6282</v>
      </c>
      <c r="K9" s="333">
        <f>SUM(INDEX($B$61:$E$95,MATCH($A9,$A$61:$A$95,0),MATCH(2021,$B$60:$E$60,0))/1000)</f>
        <v>154.22900000000001</v>
      </c>
      <c r="L9" s="334">
        <f>J9/K9</f>
        <v>40.731639315563214</v>
      </c>
      <c r="M9" s="335"/>
      <c r="N9" s="333">
        <f>INDEX($I$62:$M$94,MATCH($A9,$H$62:$H$94,0),MATCH(O$6,$I$61:$M$61,0))</f>
        <v>5252</v>
      </c>
      <c r="O9" s="333">
        <f>SUM(INDEX($B$61:$E$95,MATCH($A9,$A$61:$A$95,0),MATCH(2021,$B$60:$E$60,0))/1000)</f>
        <v>154.22900000000001</v>
      </c>
      <c r="P9" s="334">
        <f>N9/O9</f>
        <v>34.053258466306595</v>
      </c>
      <c r="S9" s="336"/>
    </row>
    <row r="10" spans="1:19" ht="16.5" customHeight="1">
      <c r="A10" s="323" t="s">
        <v>16</v>
      </c>
      <c r="B10" s="333">
        <f t="shared" ref="B10:B40" si="0">INDEX($I$62:$L$94,MATCH($A10,$H$62:$H$94,0),MATCH(C$6,$I$61:$L$61,0))</f>
        <v>5780</v>
      </c>
      <c r="C10" s="333">
        <f t="shared" ref="C10:C40" si="1">SUM(INDEX($B$61:$E$95,MATCH($A10,$A$61:$A$95,0),MATCH(C$6,$B$60:$E$60,0))/1000)</f>
        <v>160.495</v>
      </c>
      <c r="D10" s="334">
        <f t="shared" ref="D10:D43" si="2">B10/C10</f>
        <v>36.013582977662857</v>
      </c>
      <c r="E10" s="335"/>
      <c r="F10" s="333">
        <f t="shared" ref="F10:F40" si="3">INDEX($I$62:$L$94,MATCH($A10,$H$62:$H$94,0),MATCH(G$6,$I$61:$L$61,0))</f>
        <v>5458</v>
      </c>
      <c r="G10" s="333">
        <f t="shared" ref="G10:G40" si="4">SUM(INDEX($B$61:$E$95,MATCH($A10,$A$61:$A$95,0),MATCH(2021,$B$60:$E$60,0))/1000)</f>
        <v>160.495</v>
      </c>
      <c r="H10" s="334">
        <f t="shared" ref="H10:H43" si="5">F10/G10</f>
        <v>34.007289946727312</v>
      </c>
      <c r="I10" s="335"/>
      <c r="J10" s="333">
        <f t="shared" ref="J10:J40" si="6">INDEX($I$62:$L$94,MATCH($A10,$H$62:$H$94,0),MATCH(K$6,$I$61:$L$61,0))</f>
        <v>5265</v>
      </c>
      <c r="K10" s="333">
        <f t="shared" ref="K10:K40" si="7">SUM(INDEX($B$61:$E$95,MATCH($A10,$A$61:$A$95,0),MATCH(2021,$B$60:$E$60,0))/1000)</f>
        <v>160.495</v>
      </c>
      <c r="L10" s="334">
        <f t="shared" ref="L10:L43" si="8">J10/K10</f>
        <v>32.804760272905696</v>
      </c>
      <c r="M10" s="335"/>
      <c r="N10" s="333">
        <f t="shared" ref="N10:N43" si="9">INDEX($I$62:$M$94,MATCH($A10,$H$62:$H$94,0),MATCH(O$6,$I$61:$M$61,0))</f>
        <v>4464</v>
      </c>
      <c r="O10" s="333">
        <f t="shared" ref="O10:O40" si="10">SUM(INDEX($B$61:$E$95,MATCH($A10,$A$61:$A$95,0),MATCH(2021,$B$60:$E$60,0))/1000)</f>
        <v>160.495</v>
      </c>
      <c r="P10" s="334">
        <f t="shared" ref="P10:P43" si="11">N10/O10</f>
        <v>27.81395059036107</v>
      </c>
      <c r="S10" s="336"/>
    </row>
    <row r="11" spans="1:19" ht="16.5" customHeight="1">
      <c r="A11" s="323" t="s">
        <v>17</v>
      </c>
      <c r="B11" s="333">
        <f t="shared" si="0"/>
        <v>3685</v>
      </c>
      <c r="C11" s="333">
        <f t="shared" si="1"/>
        <v>69.016999999999996</v>
      </c>
      <c r="D11" s="334">
        <f t="shared" si="2"/>
        <v>53.392642392454036</v>
      </c>
      <c r="E11" s="335"/>
      <c r="F11" s="333">
        <f t="shared" si="3"/>
        <v>3471</v>
      </c>
      <c r="G11" s="333">
        <f t="shared" si="4"/>
        <v>69.016999999999996</v>
      </c>
      <c r="H11" s="334">
        <f t="shared" si="5"/>
        <v>50.291957054059147</v>
      </c>
      <c r="I11" s="335"/>
      <c r="J11" s="333">
        <f t="shared" si="6"/>
        <v>3310</v>
      </c>
      <c r="K11" s="333">
        <f t="shared" si="7"/>
        <v>69.016999999999996</v>
      </c>
      <c r="L11" s="334">
        <f t="shared" si="8"/>
        <v>47.959198458350841</v>
      </c>
      <c r="M11" s="335"/>
      <c r="N11" s="333">
        <f t="shared" si="9"/>
        <v>2802</v>
      </c>
      <c r="O11" s="333">
        <f t="shared" si="10"/>
        <v>69.016999999999996</v>
      </c>
      <c r="P11" s="334">
        <f t="shared" si="11"/>
        <v>40.598693075619053</v>
      </c>
      <c r="S11" s="336"/>
    </row>
    <row r="12" spans="1:19" ht="16.5" customHeight="1">
      <c r="A12" s="323" t="s">
        <v>18</v>
      </c>
      <c r="B12" s="333">
        <f t="shared" si="0"/>
        <v>2908</v>
      </c>
      <c r="C12" s="333">
        <f t="shared" si="1"/>
        <v>51.002000000000002</v>
      </c>
      <c r="D12" s="334">
        <f t="shared" si="2"/>
        <v>57.017371867769889</v>
      </c>
      <c r="E12" s="335"/>
      <c r="F12" s="333">
        <f t="shared" si="3"/>
        <v>2728</v>
      </c>
      <c r="G12" s="333">
        <f t="shared" si="4"/>
        <v>51.002000000000002</v>
      </c>
      <c r="H12" s="334">
        <f t="shared" si="5"/>
        <v>53.48809850594094</v>
      </c>
      <c r="I12" s="335"/>
      <c r="J12" s="333">
        <f t="shared" si="6"/>
        <v>2526</v>
      </c>
      <c r="K12" s="333">
        <f t="shared" si="7"/>
        <v>51.002000000000002</v>
      </c>
      <c r="L12" s="334">
        <f t="shared" si="8"/>
        <v>49.527469510999566</v>
      </c>
      <c r="M12" s="335"/>
      <c r="N12" s="333">
        <f t="shared" si="9"/>
        <v>2195</v>
      </c>
      <c r="O12" s="333">
        <f t="shared" si="10"/>
        <v>51.002000000000002</v>
      </c>
      <c r="P12" s="334">
        <f t="shared" si="11"/>
        <v>43.037527940080778</v>
      </c>
      <c r="S12" s="336"/>
    </row>
    <row r="13" spans="1:19" ht="16.5" customHeight="1">
      <c r="A13" s="323" t="s">
        <v>19</v>
      </c>
      <c r="B13" s="333">
        <f t="shared" si="0"/>
        <v>2134</v>
      </c>
      <c r="C13" s="333">
        <f t="shared" si="1"/>
        <v>31.945</v>
      </c>
      <c r="D13" s="334">
        <f t="shared" si="2"/>
        <v>66.802316481452493</v>
      </c>
      <c r="E13" s="335"/>
      <c r="F13" s="333">
        <f t="shared" si="3"/>
        <v>2022</v>
      </c>
      <c r="G13" s="333">
        <f t="shared" si="4"/>
        <v>31.945</v>
      </c>
      <c r="H13" s="334">
        <f t="shared" si="5"/>
        <v>63.296290499295665</v>
      </c>
      <c r="I13" s="335"/>
      <c r="J13" s="333">
        <f t="shared" si="6"/>
        <v>1921</v>
      </c>
      <c r="K13" s="333">
        <f t="shared" si="7"/>
        <v>31.945</v>
      </c>
      <c r="L13" s="334">
        <f t="shared" si="8"/>
        <v>60.134606354672094</v>
      </c>
      <c r="M13" s="335"/>
      <c r="N13" s="333">
        <f t="shared" si="9"/>
        <v>1641</v>
      </c>
      <c r="O13" s="333">
        <f t="shared" si="10"/>
        <v>31.945</v>
      </c>
      <c r="P13" s="334">
        <f t="shared" si="11"/>
        <v>51.36954139928001</v>
      </c>
      <c r="S13" s="336"/>
    </row>
    <row r="14" spans="1:19" ht="16.5" customHeight="1">
      <c r="A14" s="323" t="s">
        <v>20</v>
      </c>
      <c r="B14" s="333">
        <f t="shared" si="0"/>
        <v>5665</v>
      </c>
      <c r="C14" s="333">
        <f t="shared" si="1"/>
        <v>86.346000000000004</v>
      </c>
      <c r="D14" s="334">
        <f t="shared" si="2"/>
        <v>65.608134713825763</v>
      </c>
      <c r="E14" s="335"/>
      <c r="F14" s="333">
        <f t="shared" si="3"/>
        <v>5329</v>
      </c>
      <c r="G14" s="333">
        <f t="shared" si="4"/>
        <v>86.346000000000004</v>
      </c>
      <c r="H14" s="334">
        <f t="shared" si="5"/>
        <v>61.716813749334072</v>
      </c>
      <c r="I14" s="335"/>
      <c r="J14" s="333">
        <f t="shared" si="6"/>
        <v>5130</v>
      </c>
      <c r="K14" s="333">
        <f t="shared" si="7"/>
        <v>86.346000000000004</v>
      </c>
      <c r="L14" s="334">
        <f t="shared" si="8"/>
        <v>59.412132582864288</v>
      </c>
      <c r="M14" s="335"/>
      <c r="N14" s="333">
        <f t="shared" si="9"/>
        <v>4389</v>
      </c>
      <c r="O14" s="333">
        <f t="shared" si="10"/>
        <v>86.346000000000004</v>
      </c>
      <c r="P14" s="334">
        <f t="shared" si="11"/>
        <v>50.830380098672777</v>
      </c>
      <c r="S14" s="336"/>
    </row>
    <row r="15" spans="1:19" ht="16.5" customHeight="1">
      <c r="A15" s="323" t="s">
        <v>21</v>
      </c>
      <c r="B15" s="333">
        <f t="shared" si="0"/>
        <v>7201</v>
      </c>
      <c r="C15" s="333">
        <f t="shared" si="1"/>
        <v>97.772999999999996</v>
      </c>
      <c r="D15" s="334">
        <f t="shared" si="2"/>
        <v>73.650189725179757</v>
      </c>
      <c r="E15" s="335"/>
      <c r="F15" s="333">
        <f t="shared" si="3"/>
        <v>6600</v>
      </c>
      <c r="G15" s="333">
        <f t="shared" si="4"/>
        <v>97.772999999999996</v>
      </c>
      <c r="H15" s="334">
        <f t="shared" si="5"/>
        <v>67.503298456629139</v>
      </c>
      <c r="I15" s="335"/>
      <c r="J15" s="333">
        <f t="shared" si="6"/>
        <v>6159</v>
      </c>
      <c r="K15" s="333">
        <f t="shared" si="7"/>
        <v>97.772999999999996</v>
      </c>
      <c r="L15" s="334">
        <f t="shared" si="8"/>
        <v>62.992850787027095</v>
      </c>
      <c r="M15" s="335"/>
      <c r="N15" s="333">
        <f t="shared" si="9"/>
        <v>5272</v>
      </c>
      <c r="O15" s="333">
        <f t="shared" si="10"/>
        <v>97.772999999999996</v>
      </c>
      <c r="P15" s="334">
        <f t="shared" si="11"/>
        <v>53.92081658535588</v>
      </c>
      <c r="S15" s="336"/>
    </row>
    <row r="16" spans="1:19" ht="16.5" customHeight="1">
      <c r="A16" s="323" t="s">
        <v>22</v>
      </c>
      <c r="B16" s="333">
        <f t="shared" si="0"/>
        <v>5130</v>
      </c>
      <c r="C16" s="333">
        <f t="shared" si="1"/>
        <v>75.653999999999996</v>
      </c>
      <c r="D16" s="334">
        <f t="shared" si="2"/>
        <v>67.808708065667389</v>
      </c>
      <c r="E16" s="335"/>
      <c r="F16" s="333">
        <f t="shared" si="3"/>
        <v>4749</v>
      </c>
      <c r="G16" s="333">
        <f t="shared" si="4"/>
        <v>75.653999999999996</v>
      </c>
      <c r="H16" s="334">
        <f t="shared" si="5"/>
        <v>62.772622729796183</v>
      </c>
      <c r="I16" s="335"/>
      <c r="J16" s="333">
        <f t="shared" si="6"/>
        <v>4489</v>
      </c>
      <c r="K16" s="333">
        <f t="shared" si="7"/>
        <v>75.653999999999996</v>
      </c>
      <c r="L16" s="334">
        <f t="shared" si="8"/>
        <v>59.335924075395887</v>
      </c>
      <c r="M16" s="335"/>
      <c r="N16" s="333">
        <f t="shared" si="9"/>
        <v>3775</v>
      </c>
      <c r="O16" s="333">
        <f t="shared" si="10"/>
        <v>75.653999999999996</v>
      </c>
      <c r="P16" s="334">
        <f t="shared" si="11"/>
        <v>49.89822084754276</v>
      </c>
      <c r="S16" s="336"/>
    </row>
    <row r="17" spans="1:19" ht="16.5" customHeight="1">
      <c r="A17" s="323" t="s">
        <v>23</v>
      </c>
      <c r="B17" s="333">
        <f t="shared" si="0"/>
        <v>2679</v>
      </c>
      <c r="C17" s="333">
        <f t="shared" si="1"/>
        <v>64.307000000000002</v>
      </c>
      <c r="D17" s="334">
        <f t="shared" si="2"/>
        <v>41.659539396955232</v>
      </c>
      <c r="E17" s="335"/>
      <c r="F17" s="333">
        <f t="shared" si="3"/>
        <v>2544</v>
      </c>
      <c r="G17" s="333">
        <f t="shared" si="4"/>
        <v>64.307000000000002</v>
      </c>
      <c r="H17" s="334">
        <f t="shared" si="5"/>
        <v>39.560234500132175</v>
      </c>
      <c r="I17" s="335"/>
      <c r="J17" s="333">
        <f t="shared" si="6"/>
        <v>2455</v>
      </c>
      <c r="K17" s="333">
        <f t="shared" si="7"/>
        <v>64.307000000000002</v>
      </c>
      <c r="L17" s="334">
        <f t="shared" si="8"/>
        <v>38.176248308893278</v>
      </c>
      <c r="M17" s="335"/>
      <c r="N17" s="333">
        <f t="shared" si="9"/>
        <v>2161</v>
      </c>
      <c r="O17" s="333">
        <f t="shared" si="10"/>
        <v>64.307000000000002</v>
      </c>
      <c r="P17" s="334">
        <f t="shared" si="11"/>
        <v>33.604428755811966</v>
      </c>
      <c r="S17" s="336"/>
    </row>
    <row r="18" spans="1:19" ht="16.5" customHeight="1">
      <c r="A18" s="323" t="s">
        <v>24</v>
      </c>
      <c r="B18" s="333">
        <f t="shared" si="0"/>
        <v>2664</v>
      </c>
      <c r="C18" s="333">
        <f t="shared" si="1"/>
        <v>66.893000000000001</v>
      </c>
      <c r="D18" s="334">
        <f t="shared" si="2"/>
        <v>39.824794821580731</v>
      </c>
      <c r="E18" s="335"/>
      <c r="F18" s="333">
        <f t="shared" si="3"/>
        <v>2536</v>
      </c>
      <c r="G18" s="333">
        <f t="shared" si="4"/>
        <v>66.893000000000001</v>
      </c>
      <c r="H18" s="334">
        <f t="shared" si="5"/>
        <v>37.911291166489768</v>
      </c>
      <c r="I18" s="335"/>
      <c r="J18" s="333">
        <f t="shared" si="6"/>
        <v>2436</v>
      </c>
      <c r="K18" s="333">
        <f t="shared" si="7"/>
        <v>66.893000000000001</v>
      </c>
      <c r="L18" s="334">
        <f t="shared" si="8"/>
        <v>36.416366435949946</v>
      </c>
      <c r="M18" s="335"/>
      <c r="N18" s="333">
        <f t="shared" si="9"/>
        <v>2017</v>
      </c>
      <c r="O18" s="333">
        <f t="shared" si="10"/>
        <v>66.893000000000001</v>
      </c>
      <c r="P18" s="334">
        <f t="shared" si="11"/>
        <v>30.152631814988116</v>
      </c>
      <c r="S18" s="336"/>
    </row>
    <row r="19" spans="1:19" ht="16.5" customHeight="1">
      <c r="A19" s="323" t="s">
        <v>25</v>
      </c>
      <c r="B19" s="333">
        <f t="shared" si="0"/>
        <v>2440</v>
      </c>
      <c r="C19" s="333">
        <f t="shared" si="1"/>
        <v>57.033000000000001</v>
      </c>
      <c r="D19" s="334">
        <f t="shared" si="2"/>
        <v>42.782248873459224</v>
      </c>
      <c r="E19" s="335"/>
      <c r="F19" s="333">
        <f t="shared" si="3"/>
        <v>2280</v>
      </c>
      <c r="G19" s="333">
        <f t="shared" si="4"/>
        <v>57.033000000000001</v>
      </c>
      <c r="H19" s="334">
        <f t="shared" si="5"/>
        <v>39.9768555047078</v>
      </c>
      <c r="I19" s="335"/>
      <c r="J19" s="333">
        <f t="shared" si="6"/>
        <v>2188</v>
      </c>
      <c r="K19" s="333">
        <f t="shared" si="7"/>
        <v>57.033000000000001</v>
      </c>
      <c r="L19" s="334">
        <f t="shared" si="8"/>
        <v>38.363754317675728</v>
      </c>
      <c r="M19" s="335"/>
      <c r="N19" s="333">
        <f t="shared" si="9"/>
        <v>1969</v>
      </c>
      <c r="O19" s="333">
        <f t="shared" si="10"/>
        <v>57.033000000000001</v>
      </c>
      <c r="P19" s="334">
        <f t="shared" si="11"/>
        <v>34.52387214419722</v>
      </c>
      <c r="S19" s="336"/>
    </row>
    <row r="20" spans="1:19" ht="16.5" customHeight="1">
      <c r="A20" s="323" t="s">
        <v>126</v>
      </c>
      <c r="B20" s="333">
        <f t="shared" si="0"/>
        <v>16771</v>
      </c>
      <c r="C20" s="333">
        <f t="shared" si="1"/>
        <v>366.36700000000002</v>
      </c>
      <c r="D20" s="334">
        <f t="shared" si="2"/>
        <v>45.776502796376306</v>
      </c>
      <c r="E20" s="335"/>
      <c r="F20" s="333">
        <f t="shared" si="3"/>
        <v>15670</v>
      </c>
      <c r="G20" s="333">
        <f t="shared" si="4"/>
        <v>366.36700000000002</v>
      </c>
      <c r="H20" s="334">
        <f t="shared" si="5"/>
        <v>42.77131946927534</v>
      </c>
      <c r="I20" s="335"/>
      <c r="J20" s="333">
        <f t="shared" si="6"/>
        <v>14702</v>
      </c>
      <c r="K20" s="333">
        <f t="shared" si="7"/>
        <v>366.36700000000002</v>
      </c>
      <c r="L20" s="334">
        <f t="shared" si="8"/>
        <v>40.129160104485393</v>
      </c>
      <c r="M20" s="335"/>
      <c r="N20" s="333">
        <f t="shared" si="9"/>
        <v>12790</v>
      </c>
      <c r="O20" s="333">
        <f t="shared" si="10"/>
        <v>366.36700000000002</v>
      </c>
      <c r="P20" s="334">
        <f t="shared" si="11"/>
        <v>34.910349458330032</v>
      </c>
      <c r="S20" s="336"/>
    </row>
    <row r="21" spans="1:19" ht="16.5" customHeight="1">
      <c r="A21" s="323" t="s">
        <v>33</v>
      </c>
      <c r="B21" s="333">
        <f t="shared" si="0"/>
        <v>865</v>
      </c>
      <c r="C21" s="333">
        <f t="shared" si="1"/>
        <v>15.507999999999999</v>
      </c>
      <c r="D21" s="334">
        <f t="shared" si="2"/>
        <v>55.777663141604336</v>
      </c>
      <c r="E21" s="335"/>
      <c r="F21" s="333">
        <f t="shared" si="3"/>
        <v>805</v>
      </c>
      <c r="G21" s="333">
        <f t="shared" si="4"/>
        <v>15.507999999999999</v>
      </c>
      <c r="H21" s="334">
        <f t="shared" si="5"/>
        <v>51.908692287851437</v>
      </c>
      <c r="I21" s="335"/>
      <c r="J21" s="333">
        <f t="shared" si="6"/>
        <v>749</v>
      </c>
      <c r="K21" s="333">
        <f t="shared" si="7"/>
        <v>15.507999999999999</v>
      </c>
      <c r="L21" s="334">
        <f t="shared" si="8"/>
        <v>48.297652824348724</v>
      </c>
      <c r="M21" s="335"/>
      <c r="N21" s="333">
        <f t="shared" si="9"/>
        <v>656</v>
      </c>
      <c r="O21" s="333">
        <f t="shared" si="10"/>
        <v>15.507999999999999</v>
      </c>
      <c r="P21" s="334">
        <f t="shared" si="11"/>
        <v>42.300748001031728</v>
      </c>
      <c r="S21" s="336"/>
    </row>
    <row r="22" spans="1:19" ht="16.5" customHeight="1">
      <c r="A22" s="323" t="s">
        <v>26</v>
      </c>
      <c r="B22" s="333">
        <f t="shared" si="0"/>
        <v>6005</v>
      </c>
      <c r="C22" s="333">
        <f t="shared" si="1"/>
        <v>102.021</v>
      </c>
      <c r="D22" s="334">
        <f t="shared" si="2"/>
        <v>58.860430695641092</v>
      </c>
      <c r="E22" s="335"/>
      <c r="F22" s="333">
        <f t="shared" si="3"/>
        <v>5652</v>
      </c>
      <c r="G22" s="333">
        <f t="shared" si="4"/>
        <v>102.021</v>
      </c>
      <c r="H22" s="334">
        <f t="shared" si="5"/>
        <v>55.400358749669188</v>
      </c>
      <c r="I22" s="335"/>
      <c r="J22" s="333">
        <f t="shared" si="6"/>
        <v>5385</v>
      </c>
      <c r="K22" s="333">
        <f t="shared" si="7"/>
        <v>102.021</v>
      </c>
      <c r="L22" s="334">
        <f t="shared" si="8"/>
        <v>52.783250507248511</v>
      </c>
      <c r="M22" s="335"/>
      <c r="N22" s="333">
        <f t="shared" si="9"/>
        <v>4635</v>
      </c>
      <c r="O22" s="333">
        <f t="shared" si="10"/>
        <v>102.021</v>
      </c>
      <c r="P22" s="334">
        <f t="shared" si="11"/>
        <v>45.431822859999414</v>
      </c>
      <c r="S22" s="336"/>
    </row>
    <row r="23" spans="1:19" ht="16.5" customHeight="1">
      <c r="A23" s="323" t="s">
        <v>27</v>
      </c>
      <c r="B23" s="333">
        <f t="shared" si="0"/>
        <v>13168</v>
      </c>
      <c r="C23" s="333">
        <f t="shared" si="1"/>
        <v>231.63499999999999</v>
      </c>
      <c r="D23" s="334">
        <f t="shared" si="2"/>
        <v>56.848058367690548</v>
      </c>
      <c r="E23" s="335"/>
      <c r="F23" s="333">
        <f t="shared" si="3"/>
        <v>12449</v>
      </c>
      <c r="G23" s="333">
        <f t="shared" si="4"/>
        <v>231.63499999999999</v>
      </c>
      <c r="H23" s="334">
        <f t="shared" si="5"/>
        <v>53.744036954691651</v>
      </c>
      <c r="I23" s="335"/>
      <c r="J23" s="333">
        <f t="shared" si="6"/>
        <v>11816</v>
      </c>
      <c r="K23" s="333">
        <f t="shared" si="7"/>
        <v>231.63499999999999</v>
      </c>
      <c r="L23" s="334">
        <f t="shared" si="8"/>
        <v>51.011289312927666</v>
      </c>
      <c r="M23" s="335"/>
      <c r="N23" s="333">
        <f t="shared" si="9"/>
        <v>10185</v>
      </c>
      <c r="O23" s="333">
        <f t="shared" si="10"/>
        <v>231.63499999999999</v>
      </c>
      <c r="P23" s="334">
        <f t="shared" si="11"/>
        <v>43.970039070088717</v>
      </c>
      <c r="S23" s="336"/>
    </row>
    <row r="24" spans="1:19" ht="16.5" customHeight="1">
      <c r="A24" s="323" t="s">
        <v>28</v>
      </c>
      <c r="B24" s="333">
        <f t="shared" si="0"/>
        <v>40015</v>
      </c>
      <c r="C24" s="333">
        <f t="shared" si="1"/>
        <v>448.64499999999998</v>
      </c>
      <c r="D24" s="334">
        <f t="shared" si="2"/>
        <v>89.190785587714117</v>
      </c>
      <c r="E24" s="335"/>
      <c r="F24" s="333">
        <f t="shared" si="3"/>
        <v>37106</v>
      </c>
      <c r="G24" s="333">
        <f t="shared" si="4"/>
        <v>448.64499999999998</v>
      </c>
      <c r="H24" s="334">
        <f t="shared" si="5"/>
        <v>82.706817193995249</v>
      </c>
      <c r="I24" s="335"/>
      <c r="J24" s="333">
        <f t="shared" si="6"/>
        <v>34514</v>
      </c>
      <c r="K24" s="333">
        <f t="shared" si="7"/>
        <v>448.64499999999998</v>
      </c>
      <c r="L24" s="334">
        <f t="shared" si="8"/>
        <v>76.929420811554792</v>
      </c>
      <c r="M24" s="335"/>
      <c r="N24" s="333">
        <f t="shared" si="9"/>
        <v>29802</v>
      </c>
      <c r="O24" s="333">
        <f t="shared" si="10"/>
        <v>448.64499999999998</v>
      </c>
      <c r="P24" s="334">
        <f t="shared" si="11"/>
        <v>66.426684795328157</v>
      </c>
      <c r="S24" s="336"/>
    </row>
    <row r="25" spans="1:19" ht="16.5" customHeight="1">
      <c r="A25" s="323" t="s">
        <v>29</v>
      </c>
      <c r="B25" s="333">
        <f t="shared" si="0"/>
        <v>6494</v>
      </c>
      <c r="C25" s="333">
        <f t="shared" si="1"/>
        <v>144.70599999999999</v>
      </c>
      <c r="D25" s="334">
        <f t="shared" si="2"/>
        <v>44.87719928682985</v>
      </c>
      <c r="E25" s="335"/>
      <c r="F25" s="333">
        <f t="shared" si="3"/>
        <v>6094</v>
      </c>
      <c r="G25" s="333">
        <f t="shared" si="4"/>
        <v>144.70599999999999</v>
      </c>
      <c r="H25" s="334">
        <f t="shared" si="5"/>
        <v>42.112973891891151</v>
      </c>
      <c r="I25" s="335"/>
      <c r="J25" s="333">
        <f t="shared" si="6"/>
        <v>5827</v>
      </c>
      <c r="K25" s="333">
        <f t="shared" si="7"/>
        <v>144.70599999999999</v>
      </c>
      <c r="L25" s="334">
        <f t="shared" si="8"/>
        <v>40.267853440769564</v>
      </c>
      <c r="M25" s="335"/>
      <c r="N25" s="333">
        <f t="shared" si="9"/>
        <v>4964</v>
      </c>
      <c r="O25" s="333">
        <f t="shared" si="10"/>
        <v>144.70599999999999</v>
      </c>
      <c r="P25" s="334">
        <f t="shared" si="11"/>
        <v>34.304037151189313</v>
      </c>
      <c r="S25" s="336"/>
    </row>
    <row r="26" spans="1:19" ht="16.5" customHeight="1">
      <c r="A26" s="323" t="s">
        <v>30</v>
      </c>
      <c r="B26" s="333">
        <f t="shared" si="0"/>
        <v>3978</v>
      </c>
      <c r="C26" s="333">
        <f t="shared" si="1"/>
        <v>47.781999999999996</v>
      </c>
      <c r="D26" s="334">
        <f t="shared" si="2"/>
        <v>83.25310786488636</v>
      </c>
      <c r="E26" s="335"/>
      <c r="F26" s="333">
        <f t="shared" si="3"/>
        <v>3749</v>
      </c>
      <c r="G26" s="333">
        <f t="shared" si="4"/>
        <v>47.781999999999996</v>
      </c>
      <c r="H26" s="334">
        <f t="shared" si="5"/>
        <v>78.46050814114102</v>
      </c>
      <c r="I26" s="335"/>
      <c r="J26" s="333">
        <f t="shared" si="6"/>
        <v>3524</v>
      </c>
      <c r="K26" s="333">
        <f t="shared" si="7"/>
        <v>47.781999999999996</v>
      </c>
      <c r="L26" s="334">
        <f t="shared" si="8"/>
        <v>73.751621949688172</v>
      </c>
      <c r="M26" s="335"/>
      <c r="N26" s="333">
        <f t="shared" si="9"/>
        <v>3071</v>
      </c>
      <c r="O26" s="333">
        <f t="shared" si="10"/>
        <v>47.781999999999996</v>
      </c>
      <c r="P26" s="334">
        <f t="shared" si="11"/>
        <v>64.27106441756311</v>
      </c>
      <c r="S26" s="336"/>
    </row>
    <row r="27" spans="1:19" ht="16.5" customHeight="1">
      <c r="A27" s="323" t="s">
        <v>31</v>
      </c>
      <c r="B27" s="333">
        <f t="shared" si="0"/>
        <v>2793</v>
      </c>
      <c r="C27" s="333">
        <f t="shared" si="1"/>
        <v>58.531999999999996</v>
      </c>
      <c r="D27" s="334">
        <f t="shared" si="2"/>
        <v>47.717487869883144</v>
      </c>
      <c r="E27" s="335"/>
      <c r="F27" s="333">
        <f t="shared" si="3"/>
        <v>2615</v>
      </c>
      <c r="G27" s="333">
        <f t="shared" si="4"/>
        <v>58.531999999999996</v>
      </c>
      <c r="H27" s="334">
        <f t="shared" si="5"/>
        <v>44.676416319278346</v>
      </c>
      <c r="I27" s="335"/>
      <c r="J27" s="333">
        <f t="shared" si="6"/>
        <v>2542</v>
      </c>
      <c r="K27" s="333">
        <f t="shared" si="7"/>
        <v>58.531999999999996</v>
      </c>
      <c r="L27" s="334">
        <f t="shared" si="8"/>
        <v>43.429235290097729</v>
      </c>
      <c r="M27" s="335"/>
      <c r="N27" s="333">
        <f t="shared" si="9"/>
        <v>2112</v>
      </c>
      <c r="O27" s="333">
        <f t="shared" si="10"/>
        <v>58.531999999999996</v>
      </c>
      <c r="P27" s="334">
        <f t="shared" si="11"/>
        <v>36.0828264880749</v>
      </c>
      <c r="S27" s="336"/>
    </row>
    <row r="28" spans="1:19" ht="16.5" customHeight="1">
      <c r="A28" s="323" t="s">
        <v>32</v>
      </c>
      <c r="B28" s="333">
        <f t="shared" si="0"/>
        <v>2702</v>
      </c>
      <c r="C28" s="333">
        <f t="shared" si="1"/>
        <v>58.935000000000002</v>
      </c>
      <c r="D28" s="334">
        <f t="shared" si="2"/>
        <v>45.847119708153045</v>
      </c>
      <c r="E28" s="335"/>
      <c r="F28" s="333">
        <f t="shared" si="3"/>
        <v>2539</v>
      </c>
      <c r="G28" s="333">
        <f t="shared" si="4"/>
        <v>58.935000000000002</v>
      </c>
      <c r="H28" s="334">
        <f t="shared" si="5"/>
        <v>43.081360821243742</v>
      </c>
      <c r="I28" s="335"/>
      <c r="J28" s="333">
        <f t="shared" si="6"/>
        <v>2413</v>
      </c>
      <c r="K28" s="333">
        <f t="shared" si="7"/>
        <v>58.935000000000002</v>
      </c>
      <c r="L28" s="334">
        <f t="shared" si="8"/>
        <v>40.943412233816915</v>
      </c>
      <c r="M28" s="335"/>
      <c r="N28" s="333">
        <f t="shared" si="9"/>
        <v>2043</v>
      </c>
      <c r="O28" s="333">
        <f t="shared" si="10"/>
        <v>58.935000000000002</v>
      </c>
      <c r="P28" s="334">
        <f t="shared" si="11"/>
        <v>34.665309238992108</v>
      </c>
      <c r="S28" s="336"/>
    </row>
    <row r="29" spans="1:19" ht="16.5" customHeight="1">
      <c r="A29" s="323" t="s">
        <v>34</v>
      </c>
      <c r="B29" s="333">
        <f t="shared" si="0"/>
        <v>6442</v>
      </c>
      <c r="C29" s="333">
        <f t="shared" si="1"/>
        <v>81.034999999999997</v>
      </c>
      <c r="D29" s="334">
        <f t="shared" si="2"/>
        <v>79.496513852039243</v>
      </c>
      <c r="E29" s="335"/>
      <c r="F29" s="333">
        <f t="shared" si="3"/>
        <v>6068</v>
      </c>
      <c r="G29" s="333">
        <f t="shared" si="4"/>
        <v>81.034999999999997</v>
      </c>
      <c r="H29" s="334">
        <f t="shared" si="5"/>
        <v>74.881224162398965</v>
      </c>
      <c r="I29" s="335"/>
      <c r="J29" s="333">
        <f t="shared" si="6"/>
        <v>5764</v>
      </c>
      <c r="K29" s="333">
        <f t="shared" si="7"/>
        <v>81.034999999999997</v>
      </c>
      <c r="L29" s="334">
        <f t="shared" si="8"/>
        <v>71.129758746220773</v>
      </c>
      <c r="M29" s="335"/>
      <c r="N29" s="333">
        <f t="shared" si="9"/>
        <v>4902</v>
      </c>
      <c r="O29" s="333">
        <f t="shared" si="10"/>
        <v>81.034999999999997</v>
      </c>
      <c r="P29" s="334">
        <f t="shared" si="11"/>
        <v>60.492379835873393</v>
      </c>
      <c r="S29" s="336"/>
    </row>
    <row r="30" spans="1:19" ht="16.5" customHeight="1">
      <c r="A30" s="323" t="s">
        <v>35</v>
      </c>
      <c r="B30" s="333">
        <f t="shared" si="0"/>
        <v>16592</v>
      </c>
      <c r="C30" s="333">
        <f t="shared" si="1"/>
        <v>219.178</v>
      </c>
      <c r="D30" s="334">
        <f t="shared" si="2"/>
        <v>75.701028387885643</v>
      </c>
      <c r="E30" s="335"/>
      <c r="F30" s="333">
        <f t="shared" si="3"/>
        <v>15512</v>
      </c>
      <c r="G30" s="333">
        <f t="shared" si="4"/>
        <v>219.178</v>
      </c>
      <c r="H30" s="334">
        <f t="shared" si="5"/>
        <v>70.773526540072453</v>
      </c>
      <c r="I30" s="335"/>
      <c r="J30" s="333">
        <f t="shared" si="6"/>
        <v>14809</v>
      </c>
      <c r="K30" s="333">
        <f t="shared" si="7"/>
        <v>219.178</v>
      </c>
      <c r="L30" s="334">
        <f t="shared" si="8"/>
        <v>67.566087837282936</v>
      </c>
      <c r="M30" s="335"/>
      <c r="N30" s="333">
        <f t="shared" si="9"/>
        <v>12566</v>
      </c>
      <c r="O30" s="333">
        <f t="shared" si="10"/>
        <v>219.178</v>
      </c>
      <c r="P30" s="334">
        <f t="shared" si="11"/>
        <v>57.332396499648688</v>
      </c>
      <c r="S30" s="336"/>
    </row>
    <row r="31" spans="1:19" ht="16.5" customHeight="1">
      <c r="A31" s="323" t="s">
        <v>36</v>
      </c>
      <c r="B31" s="333">
        <f t="shared" si="0"/>
        <v>611</v>
      </c>
      <c r="C31" s="333">
        <f t="shared" si="1"/>
        <v>13.446999999999999</v>
      </c>
      <c r="D31" s="334">
        <f t="shared" si="2"/>
        <v>45.437644084182345</v>
      </c>
      <c r="E31" s="335"/>
      <c r="F31" s="333">
        <f t="shared" si="3"/>
        <v>570</v>
      </c>
      <c r="G31" s="333">
        <f t="shared" si="4"/>
        <v>13.446999999999999</v>
      </c>
      <c r="H31" s="334">
        <f t="shared" si="5"/>
        <v>42.38863687067748</v>
      </c>
      <c r="I31" s="335"/>
      <c r="J31" s="333">
        <f t="shared" si="6"/>
        <v>545</v>
      </c>
      <c r="K31" s="333">
        <f t="shared" si="7"/>
        <v>13.446999999999999</v>
      </c>
      <c r="L31" s="334">
        <f t="shared" si="8"/>
        <v>40.529486130735485</v>
      </c>
      <c r="M31" s="335"/>
      <c r="N31" s="333">
        <f t="shared" si="9"/>
        <v>492</v>
      </c>
      <c r="O31" s="333">
        <f t="shared" si="10"/>
        <v>13.446999999999999</v>
      </c>
      <c r="P31" s="334">
        <f t="shared" si="11"/>
        <v>36.588086562058457</v>
      </c>
      <c r="S31" s="336"/>
    </row>
    <row r="32" spans="1:19" ht="16.5" customHeight="1">
      <c r="A32" s="323" t="s">
        <v>37</v>
      </c>
      <c r="B32" s="333">
        <f t="shared" si="0"/>
        <v>4340</v>
      </c>
      <c r="C32" s="333">
        <f t="shared" si="1"/>
        <v>92.593999999999994</v>
      </c>
      <c r="D32" s="334">
        <f t="shared" si="2"/>
        <v>46.871287556429145</v>
      </c>
      <c r="E32" s="335"/>
      <c r="F32" s="333">
        <f t="shared" si="3"/>
        <v>4044</v>
      </c>
      <c r="G32" s="333">
        <f t="shared" si="4"/>
        <v>92.593999999999994</v>
      </c>
      <c r="H32" s="334">
        <f t="shared" si="5"/>
        <v>43.674536147050567</v>
      </c>
      <c r="I32" s="335"/>
      <c r="J32" s="333">
        <f t="shared" si="6"/>
        <v>3857</v>
      </c>
      <c r="K32" s="333">
        <f t="shared" si="7"/>
        <v>92.593999999999994</v>
      </c>
      <c r="L32" s="334">
        <f t="shared" si="8"/>
        <v>41.654966844503967</v>
      </c>
      <c r="M32" s="335"/>
      <c r="N32" s="333">
        <f t="shared" si="9"/>
        <v>3215</v>
      </c>
      <c r="O32" s="333">
        <f t="shared" si="10"/>
        <v>92.593999999999994</v>
      </c>
      <c r="P32" s="334">
        <f t="shared" si="11"/>
        <v>34.721472233622052</v>
      </c>
      <c r="S32" s="336"/>
    </row>
    <row r="33" spans="1:19" ht="16.5" customHeight="1">
      <c r="A33" s="323" t="s">
        <v>38</v>
      </c>
      <c r="B33" s="333">
        <f t="shared" si="0"/>
        <v>8209</v>
      </c>
      <c r="C33" s="333">
        <f t="shared" si="1"/>
        <v>115.571</v>
      </c>
      <c r="D33" s="334">
        <f t="shared" si="2"/>
        <v>71.029929653632834</v>
      </c>
      <c r="E33" s="335"/>
      <c r="F33" s="333">
        <f t="shared" si="3"/>
        <v>7780</v>
      </c>
      <c r="G33" s="333">
        <f t="shared" si="4"/>
        <v>115.571</v>
      </c>
      <c r="H33" s="334">
        <f t="shared" si="5"/>
        <v>67.317925777227856</v>
      </c>
      <c r="I33" s="335"/>
      <c r="J33" s="333">
        <f t="shared" si="6"/>
        <v>7337</v>
      </c>
      <c r="K33" s="333">
        <f t="shared" si="7"/>
        <v>115.571</v>
      </c>
      <c r="L33" s="334">
        <f t="shared" si="8"/>
        <v>63.484784245182617</v>
      </c>
      <c r="M33" s="335"/>
      <c r="N33" s="333">
        <f t="shared" si="9"/>
        <v>6340</v>
      </c>
      <c r="O33" s="333">
        <f t="shared" si="10"/>
        <v>115.571</v>
      </c>
      <c r="P33" s="334">
        <f t="shared" si="11"/>
        <v>54.858052625658686</v>
      </c>
      <c r="S33" s="336"/>
    </row>
    <row r="34" spans="1:19" ht="16.5" customHeight="1">
      <c r="A34" s="323" t="s">
        <v>39</v>
      </c>
      <c r="B34" s="333">
        <f t="shared" si="0"/>
        <v>3579</v>
      </c>
      <c r="C34" s="333">
        <f t="shared" si="1"/>
        <v>67.641999999999996</v>
      </c>
      <c r="D34" s="334">
        <f t="shared" si="2"/>
        <v>52.910913337867008</v>
      </c>
      <c r="E34" s="335"/>
      <c r="F34" s="333">
        <f t="shared" si="3"/>
        <v>3324</v>
      </c>
      <c r="G34" s="333">
        <f t="shared" si="4"/>
        <v>67.641999999999996</v>
      </c>
      <c r="H34" s="334">
        <f t="shared" si="5"/>
        <v>49.141066201472462</v>
      </c>
      <c r="I34" s="335"/>
      <c r="J34" s="333">
        <f t="shared" si="6"/>
        <v>3141</v>
      </c>
      <c r="K34" s="333">
        <f t="shared" si="7"/>
        <v>67.641999999999996</v>
      </c>
      <c r="L34" s="334">
        <f t="shared" si="8"/>
        <v>46.435646491824606</v>
      </c>
      <c r="M34" s="335"/>
      <c r="N34" s="333">
        <f t="shared" si="9"/>
        <v>2670</v>
      </c>
      <c r="O34" s="333">
        <f t="shared" si="10"/>
        <v>67.641999999999996</v>
      </c>
      <c r="P34" s="334">
        <f t="shared" si="11"/>
        <v>39.47251707518997</v>
      </c>
      <c r="S34" s="336"/>
    </row>
    <row r="35" spans="1:19" ht="16.5" customHeight="1">
      <c r="A35" s="323" t="s">
        <v>40</v>
      </c>
      <c r="B35" s="333">
        <f t="shared" si="0"/>
        <v>584</v>
      </c>
      <c r="C35" s="333">
        <f t="shared" si="1"/>
        <v>13.912000000000001</v>
      </c>
      <c r="D35" s="334">
        <f t="shared" si="2"/>
        <v>41.978148361127083</v>
      </c>
      <c r="E35" s="335"/>
      <c r="F35" s="333">
        <f t="shared" si="3"/>
        <v>547</v>
      </c>
      <c r="G35" s="333">
        <f t="shared" si="4"/>
        <v>13.912000000000001</v>
      </c>
      <c r="H35" s="334">
        <f t="shared" si="5"/>
        <v>39.318573893041979</v>
      </c>
      <c r="I35" s="335"/>
      <c r="J35" s="333">
        <f t="shared" si="6"/>
        <v>535</v>
      </c>
      <c r="K35" s="333">
        <f t="shared" si="7"/>
        <v>13.912000000000001</v>
      </c>
      <c r="L35" s="334">
        <f t="shared" si="8"/>
        <v>38.456009200690048</v>
      </c>
      <c r="M35" s="335"/>
      <c r="N35" s="333">
        <f t="shared" si="9"/>
        <v>464</v>
      </c>
      <c r="O35" s="333">
        <f t="shared" si="10"/>
        <v>13.912000000000001</v>
      </c>
      <c r="P35" s="334">
        <f t="shared" si="11"/>
        <v>33.35250143760782</v>
      </c>
      <c r="S35" s="336"/>
    </row>
    <row r="36" spans="1:19" ht="16.5" customHeight="1">
      <c r="A36" s="323" t="s">
        <v>41</v>
      </c>
      <c r="B36" s="333">
        <f t="shared" si="0"/>
        <v>4354</v>
      </c>
      <c r="C36" s="333">
        <f t="shared" si="1"/>
        <v>65.843999999999994</v>
      </c>
      <c r="D36" s="334">
        <f t="shared" si="2"/>
        <v>66.125994775530046</v>
      </c>
      <c r="E36" s="335"/>
      <c r="F36" s="333">
        <f t="shared" si="3"/>
        <v>4138</v>
      </c>
      <c r="G36" s="333">
        <f t="shared" si="4"/>
        <v>65.843999999999994</v>
      </c>
      <c r="H36" s="334">
        <f t="shared" si="5"/>
        <v>62.845513638296588</v>
      </c>
      <c r="I36" s="335"/>
      <c r="J36" s="333">
        <f t="shared" si="6"/>
        <v>3892</v>
      </c>
      <c r="K36" s="333">
        <f t="shared" si="7"/>
        <v>65.843999999999994</v>
      </c>
      <c r="L36" s="334">
        <f t="shared" si="8"/>
        <v>59.109410120891809</v>
      </c>
      <c r="M36" s="335"/>
      <c r="N36" s="333">
        <f t="shared" si="9"/>
        <v>3311</v>
      </c>
      <c r="O36" s="333">
        <f t="shared" si="10"/>
        <v>65.843999999999994</v>
      </c>
      <c r="P36" s="334">
        <f t="shared" si="11"/>
        <v>50.285523358240695</v>
      </c>
      <c r="S36" s="336"/>
    </row>
    <row r="37" spans="1:19" ht="16.5" customHeight="1">
      <c r="A37" s="323" t="s">
        <v>42</v>
      </c>
      <c r="B37" s="333">
        <f t="shared" si="0"/>
        <v>12874</v>
      </c>
      <c r="C37" s="333">
        <f t="shared" si="1"/>
        <v>202.43</v>
      </c>
      <c r="D37" s="334">
        <f t="shared" si="2"/>
        <v>63.597292891369854</v>
      </c>
      <c r="E37" s="335"/>
      <c r="F37" s="333">
        <f t="shared" si="3"/>
        <v>12139</v>
      </c>
      <c r="G37" s="333">
        <f t="shared" si="4"/>
        <v>202.43</v>
      </c>
      <c r="H37" s="334">
        <f t="shared" si="5"/>
        <v>59.966408141085807</v>
      </c>
      <c r="I37" s="335"/>
      <c r="J37" s="333">
        <f t="shared" si="6"/>
        <v>11551</v>
      </c>
      <c r="K37" s="333">
        <f t="shared" si="7"/>
        <v>202.43</v>
      </c>
      <c r="L37" s="334">
        <f t="shared" si="8"/>
        <v>57.061700340858565</v>
      </c>
      <c r="M37" s="335"/>
      <c r="N37" s="333">
        <f t="shared" si="9"/>
        <v>9854</v>
      </c>
      <c r="O37" s="333">
        <f t="shared" si="10"/>
        <v>202.43</v>
      </c>
      <c r="P37" s="334">
        <f t="shared" si="11"/>
        <v>48.67855555006669</v>
      </c>
      <c r="S37" s="336"/>
    </row>
    <row r="38" spans="1:19" ht="16.5" customHeight="1">
      <c r="A38" s="323" t="s">
        <v>43</v>
      </c>
      <c r="B38" s="333">
        <f t="shared" si="0"/>
        <v>2596</v>
      </c>
      <c r="C38" s="333">
        <f t="shared" si="1"/>
        <v>59.731000000000002</v>
      </c>
      <c r="D38" s="334">
        <f t="shared" si="2"/>
        <v>43.461519144162999</v>
      </c>
      <c r="E38" s="335"/>
      <c r="F38" s="333">
        <f t="shared" si="3"/>
        <v>2457</v>
      </c>
      <c r="G38" s="333">
        <f t="shared" si="4"/>
        <v>59.731000000000002</v>
      </c>
      <c r="H38" s="334">
        <f t="shared" si="5"/>
        <v>41.134419313254426</v>
      </c>
      <c r="I38" s="335"/>
      <c r="J38" s="333">
        <f t="shared" si="6"/>
        <v>2351</v>
      </c>
      <c r="K38" s="333">
        <f t="shared" si="7"/>
        <v>59.731000000000002</v>
      </c>
      <c r="L38" s="334">
        <f t="shared" si="8"/>
        <v>39.359796420619105</v>
      </c>
      <c r="M38" s="335"/>
      <c r="N38" s="333">
        <f t="shared" si="9"/>
        <v>2011</v>
      </c>
      <c r="O38" s="333">
        <f t="shared" si="10"/>
        <v>59.731000000000002</v>
      </c>
      <c r="P38" s="334">
        <f t="shared" si="11"/>
        <v>33.667609783864322</v>
      </c>
      <c r="S38" s="336"/>
    </row>
    <row r="39" spans="1:19" ht="16.5" customHeight="1">
      <c r="A39" s="323" t="s">
        <v>44</v>
      </c>
      <c r="B39" s="333">
        <f t="shared" si="0"/>
        <v>5076</v>
      </c>
      <c r="C39" s="333">
        <f t="shared" si="1"/>
        <v>55.414000000000001</v>
      </c>
      <c r="D39" s="334">
        <f t="shared" si="2"/>
        <v>91.601400368138016</v>
      </c>
      <c r="E39" s="335"/>
      <c r="F39" s="333">
        <f t="shared" si="3"/>
        <v>4766</v>
      </c>
      <c r="G39" s="333">
        <f t="shared" si="4"/>
        <v>55.414000000000001</v>
      </c>
      <c r="H39" s="334">
        <f t="shared" si="5"/>
        <v>86.007146208539353</v>
      </c>
      <c r="I39" s="335"/>
      <c r="J39" s="333">
        <f t="shared" si="6"/>
        <v>4494</v>
      </c>
      <c r="K39" s="333">
        <f t="shared" si="7"/>
        <v>55.414000000000001</v>
      </c>
      <c r="L39" s="334">
        <f t="shared" si="8"/>
        <v>81.098639333020529</v>
      </c>
      <c r="M39" s="335"/>
      <c r="N39" s="333">
        <f t="shared" si="9"/>
        <v>3821</v>
      </c>
      <c r="O39" s="333">
        <f t="shared" si="10"/>
        <v>55.414000000000001</v>
      </c>
      <c r="P39" s="334">
        <f t="shared" si="11"/>
        <v>68.953694012343448</v>
      </c>
      <c r="S39" s="336"/>
    </row>
    <row r="40" spans="1:19" ht="16.5" customHeight="1">
      <c r="A40" s="323" t="s">
        <v>45</v>
      </c>
      <c r="B40" s="333">
        <f t="shared" si="0"/>
        <v>7412</v>
      </c>
      <c r="C40" s="333">
        <f t="shared" si="1"/>
        <v>118.89400000000001</v>
      </c>
      <c r="D40" s="334">
        <f t="shared" si="2"/>
        <v>62.341245142732177</v>
      </c>
      <c r="E40" s="335"/>
      <c r="F40" s="333">
        <f t="shared" si="3"/>
        <v>6954</v>
      </c>
      <c r="G40" s="333">
        <f t="shared" si="4"/>
        <v>118.89400000000001</v>
      </c>
      <c r="H40" s="334">
        <f t="shared" si="5"/>
        <v>58.489074301478624</v>
      </c>
      <c r="I40" s="335"/>
      <c r="J40" s="333">
        <f t="shared" si="6"/>
        <v>6559</v>
      </c>
      <c r="K40" s="333">
        <f t="shared" si="7"/>
        <v>118.89400000000001</v>
      </c>
      <c r="L40" s="334">
        <f t="shared" si="8"/>
        <v>55.166787222231562</v>
      </c>
      <c r="M40" s="335"/>
      <c r="N40" s="333">
        <f t="shared" si="9"/>
        <v>5632</v>
      </c>
      <c r="O40" s="333">
        <f t="shared" si="10"/>
        <v>118.89400000000001</v>
      </c>
      <c r="P40" s="334">
        <f t="shared" si="11"/>
        <v>47.36992615270745</v>
      </c>
      <c r="S40" s="336"/>
    </row>
    <row r="41" spans="1:19" ht="16.5" customHeight="1">
      <c r="A41" s="323" t="s">
        <v>48</v>
      </c>
      <c r="B41" s="333" cm="1">
        <f t="array" ref="B41">SUM(SUMIFS(B$9:B$40,$A$9:$A$40,{"Inverclyde","Glasgow City","South Lanarkshire","North Lanarkshire","East Dunbartonshire","West Dunbartonshire","East Renfrewshire","Renfrewshire"}))</f>
        <v>91863</v>
      </c>
      <c r="C41" s="333">
        <f t="shared" ref="C41" si="12">INDEX($A$60:$E$95,MATCH($A41,$A$60:$A$95,0),MATCH(C$6,$A$60:$E$60,0))/1000</f>
        <v>1210.3599999999999</v>
      </c>
      <c r="D41" s="334">
        <f t="shared" si="2"/>
        <v>75.897253709640111</v>
      </c>
      <c r="E41" s="295"/>
      <c r="F41" s="333" cm="1">
        <f t="array" ref="F41">SUM(SUMIFS(F$9:F$40,$A$9:$A$40,{"Inverclyde","Glasgow City","South Lanarkshire","North Lanarkshire","East Dunbartonshire","West Dunbartonshire","East Renfrewshire","Renfrewshire"}))</f>
        <v>85876</v>
      </c>
      <c r="G41" s="333">
        <f>INDEX($A$60:$E$95,MATCH($A41,$A$60:$A$95,0),MATCH(2021,$A$60:$E$60,0))/1000</f>
        <v>1210.3599999999999</v>
      </c>
      <c r="H41" s="334">
        <f t="shared" si="5"/>
        <v>70.950791500049576</v>
      </c>
      <c r="I41" s="295"/>
      <c r="J41" s="333" cm="1">
        <f t="array" ref="J41">SUM(SUMIFS(J$9:J$40,$A$9:$A$40,{"Inverclyde","Glasgow City","South Lanarkshire","North Lanarkshire","East Dunbartonshire","West Dunbartonshire","East Renfrewshire","Renfrewshire"}))</f>
        <v>80872</v>
      </c>
      <c r="K41" s="333">
        <f>INDEX($A$60:$E$95,MATCH($A41,$A$60:$A$95,0),MATCH(2021,$A$60:$E$60,0))/1000</f>
        <v>1210.3599999999999</v>
      </c>
      <c r="L41" s="334">
        <f t="shared" si="8"/>
        <v>66.816484351763123</v>
      </c>
      <c r="M41" s="295"/>
      <c r="N41" s="333" cm="1">
        <f t="array" ref="N41">SUM(SUMIFS(N$9:N$40,$A$9:$A$40,{"Inverclyde","Glasgow City","South Lanarkshire","North Lanarkshire","East Dunbartonshire","West Dunbartonshire","East Renfrewshire","Renfrewshire"}))</f>
        <v>69584</v>
      </c>
      <c r="O41" s="333">
        <f>INDEX($A$60:$E$95,MATCH($A41,$A$60:$A$95,0),MATCH(2021,$A$60:$E$60,0))/1000</f>
        <v>1210.3599999999999</v>
      </c>
      <c r="P41" s="334">
        <f t="shared" si="11"/>
        <v>57.490333454509404</v>
      </c>
    </row>
    <row r="42" spans="1:19" ht="16.5" customHeight="1">
      <c r="A42" s="323" t="s">
        <v>173</v>
      </c>
      <c r="B42" s="333" t="s">
        <v>71</v>
      </c>
      <c r="C42" s="333" t="s">
        <v>71</v>
      </c>
      <c r="D42" s="334" t="s">
        <v>71</v>
      </c>
      <c r="E42" s="295"/>
      <c r="F42" s="333" t="s">
        <v>71</v>
      </c>
      <c r="G42" s="333" t="s">
        <v>71</v>
      </c>
      <c r="H42" s="334" t="s">
        <v>71</v>
      </c>
      <c r="I42" s="295"/>
      <c r="J42" s="333" t="s">
        <v>71</v>
      </c>
      <c r="K42" s="333" t="s">
        <v>71</v>
      </c>
      <c r="L42" s="334" t="s">
        <v>71</v>
      </c>
      <c r="M42" s="295"/>
      <c r="N42" s="333" t="s">
        <v>71</v>
      </c>
      <c r="O42" s="333" t="s">
        <v>71</v>
      </c>
      <c r="P42" s="334" t="s">
        <v>71</v>
      </c>
    </row>
    <row r="43" spans="1:19" ht="16.5" customHeight="1">
      <c r="A43" s="328" t="s">
        <v>46</v>
      </c>
      <c r="B43" s="333">
        <f t="shared" ref="B43" si="13">INDEX($I$62:$L$94,MATCH($A43,$H$62:$H$94,0),MATCH(C$6,$I$61:$L$61,0))</f>
        <v>212974</v>
      </c>
      <c r="C43" s="333">
        <f t="shared" ref="C43" si="14">SUM(INDEX($B$61:$E$95,MATCH($A43,$A$61:$A$95,0),MATCH(C$6,$B$60:$E$60,0))/1000)</f>
        <v>3494.5169999999998</v>
      </c>
      <c r="D43" s="334">
        <f t="shared" si="2"/>
        <v>60.945189277946</v>
      </c>
      <c r="E43" s="295"/>
      <c r="F43" s="333">
        <f t="shared" ref="F43" si="15">INDEX($I$62:$L$94,MATCH($A43,$H$62:$H$94,0),MATCH(G$6,$I$61:$L$61,0))</f>
        <v>199441</v>
      </c>
      <c r="G43" s="333">
        <f t="shared" ref="G43" si="16">SUM(INDEX($B$61:$E$95,MATCH($A43,$A$61:$A$95,0),MATCH(2021,$B$60:$E$60,0))/1000)</f>
        <v>3494.5169999999998</v>
      </c>
      <c r="H43" s="334">
        <f t="shared" si="5"/>
        <v>57.072551085028351</v>
      </c>
      <c r="I43" s="295"/>
      <c r="J43" s="333">
        <f t="shared" ref="J43" si="17">INDEX($I$62:$L$94,MATCH($A43,$H$62:$H$94,0),MATCH(K$6,$I$61:$L$61,0))</f>
        <v>188483</v>
      </c>
      <c r="K43" s="333">
        <f t="shared" ref="K43" si="18">SUM(INDEX($B$61:$E$95,MATCH($A43,$A$61:$A$95,0),MATCH(2021,$B$60:$E$60,0))/1000)</f>
        <v>3494.5169999999998</v>
      </c>
      <c r="L43" s="334">
        <f t="shared" si="8"/>
        <v>53.936781535187841</v>
      </c>
      <c r="M43" s="295"/>
      <c r="N43" s="333">
        <f t="shared" si="9"/>
        <v>161473</v>
      </c>
      <c r="O43" s="333">
        <f t="shared" ref="O43" si="19">SUM(INDEX($B$61:$E$95,MATCH($A43,$A$61:$A$95,0),MATCH(2021,$B$60:$E$60,0))/1000)</f>
        <v>3494.5169999999998</v>
      </c>
      <c r="P43" s="334">
        <f t="shared" si="11"/>
        <v>46.20753025382335</v>
      </c>
      <c r="S43" s="337"/>
    </row>
    <row r="44" spans="1:19" s="296" customFormat="1" ht="15">
      <c r="A44" s="10" t="s">
        <v>156</v>
      </c>
      <c r="B44" s="287" cm="1">
        <f t="array" ref="B44">SUM(SUMIFS(B$9:B$41,$A$9:$A$41,{"Aberdeen City","Aberdeenshire"}))</f>
        <v>13010</v>
      </c>
      <c r="C44" s="287" cm="1">
        <f t="array" ref="C44">SUM(SUMIFS(C$9:C$41,$A$9:$A$41,{"Aberdeen City","Aberdeenshire"}))</f>
        <v>314.72400000000005</v>
      </c>
      <c r="D44" s="286">
        <f>SUM(B44/C44)</f>
        <v>41.337807094470072</v>
      </c>
      <c r="E44" s="15"/>
      <c r="F44" s="287" cm="1">
        <f t="array" ref="F44">SUM(SUMIFS(F$9:F$41,$A$9:$A$41,{"Aberdeen City","Aberdeenshire"}))</f>
        <v>12217</v>
      </c>
      <c r="G44" s="287" cm="1">
        <f t="array" ref="G44">SUM(SUMIFS(G$9:G$41,$A$9:$A$41,{"Aberdeen City","Aberdeenshire"}))</f>
        <v>314.72400000000005</v>
      </c>
      <c r="H44" s="286">
        <f>SUM(F44/G44)</f>
        <v>38.818139067881695</v>
      </c>
      <c r="I44" s="15"/>
      <c r="J44" s="287" cm="1">
        <f t="array" ref="J44">SUM(SUMIFS(J$9:J$41,$A$9:$A$41,{"Aberdeen City","Aberdeenshire"}))</f>
        <v>11547</v>
      </c>
      <c r="K44" s="287" cm="1">
        <f t="array" ref="K44">SUM(SUMIFS(K$9:K$41,$A$9:$A$41,{"Aberdeen City","Aberdeenshire"}))</f>
        <v>314.72400000000005</v>
      </c>
      <c r="L44" s="286">
        <f>SUM(J44/K44)</f>
        <v>36.689289663324047</v>
      </c>
      <c r="M44" s="15"/>
      <c r="N44" s="287" cm="1">
        <f t="array" ref="N44">SUM(SUMIFS(N$9:N$41,$A$9:$A$41,{"Aberdeen City","Aberdeenshire"}))</f>
        <v>9716</v>
      </c>
      <c r="O44" s="287" cm="1">
        <f t="array" ref="O44">SUM(SUMIFS(O$9:O$41,$A$9:$A$41,{"Aberdeen City","Aberdeenshire"}))</f>
        <v>314.72400000000005</v>
      </c>
      <c r="P44" s="286">
        <f>SUM(N44/O44)</f>
        <v>30.871493753256818</v>
      </c>
      <c r="Q44" s="15"/>
    </row>
    <row r="45" spans="1:19" s="296" customFormat="1" ht="15">
      <c r="A45" s="10" t="s">
        <v>359</v>
      </c>
      <c r="B45" s="338" cm="1">
        <f t="array" ref="B45">SUM(SUMIFS(B$9:B$41,$A$9:$A$41,{"Falkirk","Stirling","Clackmannanshire"}))</f>
        <v>10735</v>
      </c>
      <c r="C45" s="338" cm="1">
        <f t="array" ref="C45">SUM(SUMIFS(C$9:C$41,$A$9:$A$41,{"Falkirk","Stirling","Clackmannanshire"}))</f>
        <v>193.697</v>
      </c>
      <c r="D45" s="286">
        <f t="shared" ref="D45:D50" si="20">SUM(B45/C45)</f>
        <v>55.421612105504991</v>
      </c>
      <c r="E45" s="14"/>
      <c r="F45" s="338" cm="1">
        <f t="array" ref="F45">SUM(SUMIFS(F$9:F$41,$A$9:$A$41,{"Falkirk","Stirling","Clackmannanshire"}))</f>
        <v>10131</v>
      </c>
      <c r="G45" s="338" cm="1">
        <f t="array" ref="G45">SUM(SUMIFS(G$9:G$41,$A$9:$A$41,{"Falkirk","Stirling","Clackmannanshire"}))</f>
        <v>193.697</v>
      </c>
      <c r="H45" s="286">
        <f t="shared" ref="H45:H50" si="21">SUM(F45/G45)</f>
        <v>52.303339752293532</v>
      </c>
      <c r="I45" s="14"/>
      <c r="J45" s="338" cm="1">
        <f t="array" ref="J45">SUM(SUMIFS(J$9:J$41,$A$9:$A$41,{"Falkirk","Stirling","Clackmannanshire"}))</f>
        <v>9657</v>
      </c>
      <c r="K45" s="338" cm="1">
        <f t="array" ref="K45">SUM(SUMIFS(K$9:K$41,$A$9:$A$41,{"Falkirk","Stirling","Clackmannanshire"}))</f>
        <v>193.697</v>
      </c>
      <c r="L45" s="286">
        <f t="shared" ref="L45:L50" si="22">SUM(J45/K45)</f>
        <v>49.856218733382548</v>
      </c>
      <c r="M45" s="14"/>
      <c r="N45" s="338" cm="1">
        <f t="array" ref="N45">SUM(SUMIFS(N$9:N$41,$A$9:$A$41,{"Falkirk","Stirling","Clackmannanshire"}))</f>
        <v>8287</v>
      </c>
      <c r="O45" s="338" cm="1">
        <f t="array" ref="O45">SUM(SUMIFS(O$9:O$41,$A$9:$A$41,{"Falkirk","Stirling","Clackmannanshire"}))</f>
        <v>193.697</v>
      </c>
      <c r="P45" s="286">
        <f t="shared" ref="P45:P50" si="23">SUM(N45/O45)</f>
        <v>42.783316210369804</v>
      </c>
      <c r="Q45" s="14"/>
    </row>
    <row r="46" spans="1:19" s="296" customFormat="1" ht="15">
      <c r="A46" s="10" t="s">
        <v>157</v>
      </c>
      <c r="B46" s="338" cm="1">
        <f t="array" ref="B46">SUM(SUMIFS(B$9:B$41,$A$9:$A$41,{"East Lothian","Edinburgh, City of","Fife","Midlothian","Scottish Borders","West Lothian"}))</f>
        <v>46387</v>
      </c>
      <c r="C46" s="338" cm="1">
        <f t="array" ref="C46">SUM(SUMIFS(C$9:C$41,$A$9:$A$41,{"East Lothian","Edinburgh, City of","Fife","Midlothian","Scottish Borders","West Lothian"}))</f>
        <v>909.96299999999997</v>
      </c>
      <c r="D46" s="286">
        <f t="shared" si="20"/>
        <v>50.976797957719164</v>
      </c>
      <c r="E46" s="15"/>
      <c r="F46" s="338" cm="1">
        <f t="array" ref="F46">SUM(SUMIFS(F$9:F$41,$A$9:$A$41,{"East Lothian","Edinburgh, City of","Fife","Midlothian","Scottish Borders","West Lothian"}))</f>
        <v>43548</v>
      </c>
      <c r="G46" s="338" cm="1">
        <f t="array" ref="G46">SUM(SUMIFS(G$9:G$41,$A$9:$A$41,{"East Lothian","Edinburgh, City of","Fife","Midlothian","Scottish Borders","West Lothian"}))</f>
        <v>909.96299999999997</v>
      </c>
      <c r="H46" s="286">
        <f t="shared" si="21"/>
        <v>47.856890884574426</v>
      </c>
      <c r="I46" s="15"/>
      <c r="J46" s="338" cm="1">
        <f t="array" ref="J46">SUM(SUMIFS(J$9:J$41,$A$9:$A$41,{"East Lothian","Edinburgh, City of","Fife","Midlothian","Scottish Borders","West Lothian"}))</f>
        <v>41196</v>
      </c>
      <c r="K46" s="338" cm="1">
        <f t="array" ref="K46">SUM(SUMIFS(K$9:K$41,$A$9:$A$41,{"East Lothian","Edinburgh, City of","Fife","Midlothian","Scottish Borders","West Lothian"}))</f>
        <v>909.96299999999997</v>
      </c>
      <c r="L46" s="286">
        <f t="shared" si="22"/>
        <v>45.272170406928637</v>
      </c>
      <c r="M46" s="15"/>
      <c r="N46" s="338" cm="1">
        <f t="array" ref="N46">SUM(SUMIFS(N$9:N$41,$A$9:$A$41,{"East Lothian","Edinburgh, City of","Fife","Midlothian","Scottish Borders","West Lothian"}))</f>
        <v>35406</v>
      </c>
      <c r="O46" s="338" cm="1">
        <f t="array" ref="O46">SUM(SUMIFS(O$9:O$41,$A$9:$A$41,{"East Lothian","Edinburgh, City of","Fife","Midlothian","Scottish Borders","West Lothian"}))</f>
        <v>909.96299999999997</v>
      </c>
      <c r="P46" s="286">
        <f t="shared" si="23"/>
        <v>38.909274333132231</v>
      </c>
      <c r="Q46" s="15"/>
    </row>
    <row r="47" spans="1:19" s="296" customFormat="1" ht="15">
      <c r="A47" s="10" t="s">
        <v>158</v>
      </c>
      <c r="B47" s="338" cm="1">
        <f t="array" ref="B47">SUM(SUMIFS(B$9:B$41,$A$9:$A$41,{"Angus","Dundee City","Fife","Perth and Kinross"}))</f>
        <v>28394</v>
      </c>
      <c r="C47" s="338" cm="1">
        <f t="array" ref="C47">SUM(SUMIFS(C$9:C$41,$A$9:$A$41,{"Angus","Dundee City","Fife","Perth and Kinross"}))</f>
        <v>491.01899999999995</v>
      </c>
      <c r="D47" s="286">
        <f t="shared" si="20"/>
        <v>57.826682877851987</v>
      </c>
      <c r="E47" s="15"/>
      <c r="F47" s="338" cm="1">
        <f t="array" ref="F47">SUM(SUMIFS(F$9:F$41,$A$9:$A$41,{"Angus","Dundee City","Fife","Perth and Kinross"}))</f>
        <v>26564</v>
      </c>
      <c r="G47" s="338" cm="1">
        <f t="array" ref="G47">SUM(SUMIFS(G$9:G$41,$A$9:$A$41,{"Angus","Dundee City","Fife","Perth and Kinross"}))</f>
        <v>491.01899999999995</v>
      </c>
      <c r="H47" s="286">
        <f t="shared" si="21"/>
        <v>54.099739521281258</v>
      </c>
      <c r="I47" s="15"/>
      <c r="J47" s="338" cm="1">
        <f t="array" ref="J47">SUM(SUMIFS(J$9:J$41,$A$9:$A$41,{"Angus","Dundee City","Fife","Perth and Kinross"}))</f>
        <v>25142</v>
      </c>
      <c r="K47" s="338" cm="1">
        <f t="array" ref="K47">SUM(SUMIFS(K$9:K$41,$A$9:$A$41,{"Angus","Dundee City","Fife","Perth and Kinross"}))</f>
        <v>491.01899999999995</v>
      </c>
      <c r="L47" s="286">
        <f t="shared" si="22"/>
        <v>51.203721240929582</v>
      </c>
      <c r="M47" s="15"/>
      <c r="N47" s="338" cm="1">
        <f t="array" ref="N47">SUM(SUMIFS(N$9:N$41,$A$9:$A$41,{"Angus","Dundee City","Fife","Perth and Kinross"}))</f>
        <v>21474</v>
      </c>
      <c r="O47" s="338" cm="1">
        <f t="array" ref="O47">SUM(SUMIFS(O$9:O$41,$A$9:$A$41,{"Angus","Dundee City","Fife","Perth and Kinross"}))</f>
        <v>491.01899999999995</v>
      </c>
      <c r="P47" s="286">
        <f t="shared" si="23"/>
        <v>43.733541879234821</v>
      </c>
      <c r="Q47" s="15"/>
    </row>
    <row r="48" spans="1:19" s="296" customFormat="1" ht="15">
      <c r="A48" s="10" t="s">
        <v>246</v>
      </c>
      <c r="B48" s="338" cm="1">
        <f t="array" ref="B48">SUM(SUMIFS(B$9:B$41,$A$9:$A$41,{"Na h-Eileanan Siar","Argyll and Bute","Shetland Islands","Highland","Orkney Islands","Scottish Borders","Dumfries and Galloway","Aberdeenshire"}))</f>
        <v>26486</v>
      </c>
      <c r="C48" s="338" cm="1">
        <f t="array" ref="C48">SUM(SUMIFS(C$9:C$41,$A$9:$A$41,{"Na h-Eileanan Siar","Argyll and Bute","Shetland Islands","Highland","Orkney Islands","Scottish Borders","Dumfries and Galloway","Aberdeenshire"}))</f>
        <v>553.05799999999999</v>
      </c>
      <c r="D48" s="286">
        <f t="shared" si="20"/>
        <v>47.890094709777273</v>
      </c>
      <c r="E48" s="14"/>
      <c r="F48" s="338" cm="1">
        <f t="array" ref="F48">SUM(SUMIFS(F$9:F$41,$A$9:$A$41,{"Na h-Eileanan Siar","Argyll and Bute","Shetland Islands","Highland","Orkney Islands","Scottish Borders","Dumfries and Galloway","Aberdeenshire"}))</f>
        <v>24855</v>
      </c>
      <c r="G48" s="338" cm="1">
        <f t="array" ref="G48">SUM(SUMIFS(G$9:G$41,$A$9:$A$41,{"Na h-Eileanan Siar","Argyll and Bute","Shetland Islands","Highland","Orkney Islands","Scottish Borders","Dumfries and Galloway","Aberdeenshire"}))</f>
        <v>553.05799999999999</v>
      </c>
      <c r="H48" s="286">
        <f t="shared" si="21"/>
        <v>44.941036925602738</v>
      </c>
      <c r="I48" s="14"/>
      <c r="J48" s="338" cm="1">
        <f t="array" ref="J48">SUM(SUMIFS(J$9:J$41,$A$9:$A$41,{"Na h-Eileanan Siar","Argyll and Bute","Shetland Islands","Highland","Orkney Islands","Scottish Borders","Dumfries and Galloway","Aberdeenshire"}))</f>
        <v>23718</v>
      </c>
      <c r="K48" s="338" cm="1">
        <f t="array" ref="K48">SUM(SUMIFS(K$9:K$41,$A$9:$A$41,{"Na h-Eileanan Siar","Argyll and Bute","Shetland Islands","Highland","Orkney Islands","Scottish Borders","Dumfries and Galloway","Aberdeenshire"}))</f>
        <v>553.05799999999999</v>
      </c>
      <c r="L48" s="286">
        <f t="shared" si="22"/>
        <v>42.885194681208844</v>
      </c>
      <c r="M48" s="14"/>
      <c r="N48" s="338" cm="1">
        <f t="array" ref="N48">SUM(SUMIFS(N$9:N$41,$A$9:$A$41,{"Na h-Eileanan Siar","Argyll and Bute","Shetland Islands","Highland","Orkney Islands","Scottish Borders","Dumfries and Galloway","Aberdeenshire"}))</f>
        <v>20294</v>
      </c>
      <c r="O48" s="338" cm="1">
        <f t="array" ref="O48">SUM(SUMIFS(O$9:O$41,$A$9:$A$41,{"Na h-Eileanan Siar","Argyll and Bute","Shetland Islands","Highland","Orkney Islands","Scottish Borders","Dumfries and Galloway","Aberdeenshire"}))</f>
        <v>553.05799999999999</v>
      </c>
      <c r="P48" s="286">
        <f t="shared" si="23"/>
        <v>36.69416227592766</v>
      </c>
      <c r="Q48" s="14"/>
    </row>
    <row r="49" spans="1:17" s="296" customFormat="1" ht="15">
      <c r="A49" s="10" t="s">
        <v>247</v>
      </c>
      <c r="B49" s="338">
        <f>SUM(SUMIFS(B$9:B$41,$A$9:$A$41,{"Perth and Kinross","Stirling","Moray","South Ayrshire","East Ayrshire","East Lothian","North Ayrshire","Fife"}))</f>
        <v>41396</v>
      </c>
      <c r="C49" s="338">
        <f>SUM(SUMIFS(C$9:C$41,$A$9:$A$41,{"Perth and Kinross","Stirling","Moray","South Ayrshire","East Ayrshire","East Lothian","North Ayrshire","Fife"}))</f>
        <v>732.32099999999991</v>
      </c>
      <c r="D49" s="286">
        <f t="shared" si="20"/>
        <v>56.527124034405681</v>
      </c>
      <c r="E49" s="14"/>
      <c r="F49" s="338">
        <f>SUM(SUMIFS(F$9:F$41,$A$9:$A$41,{"Perth and Kinross","Stirling","Moray","South Ayrshire","East Ayrshire","East Lothian","North Ayrshire","Fife"}))</f>
        <v>38980</v>
      </c>
      <c r="G49" s="338">
        <f>SUM(SUMIFS(G$9:G$41,$A$9:$A$41,{"Perth and Kinross","Stirling","Moray","South Ayrshire","East Ayrshire","East Lothian","North Ayrshire","Fife"}))</f>
        <v>732.32099999999991</v>
      </c>
      <c r="H49" s="286">
        <f t="shared" si="21"/>
        <v>53.228024322667252</v>
      </c>
      <c r="I49" s="14"/>
      <c r="J49" s="338">
        <f>SUM(SUMIFS(J$9:J$41,$A$9:$A$41,{"Perth and Kinross","Stirling","Moray","South Ayrshire","East Ayrshire","East Lothian","North Ayrshire","Fife"}))</f>
        <v>37018</v>
      </c>
      <c r="K49" s="338">
        <f>SUM(SUMIFS(K$9:K$41,$A$9:$A$41,{"Perth and Kinross","Stirling","Moray","South Ayrshire","East Ayrshire","East Lothian","North Ayrshire","Fife"}))</f>
        <v>732.32099999999991</v>
      </c>
      <c r="L49" s="286">
        <f t="shared" si="22"/>
        <v>50.548871328283639</v>
      </c>
      <c r="M49" s="14"/>
      <c r="N49" s="338">
        <f>SUM(SUMIFS(N$9:N$41,$A$9:$A$41,{"Perth and Kinross","Stirling","Moray","South Ayrshire","East Ayrshire","East Lothian","North Ayrshire","Fife"}))</f>
        <v>31459</v>
      </c>
      <c r="O49" s="338">
        <f>SUM(SUMIFS(O$9:O$41,$A$9:$A$41,{"Perth and Kinross","Stirling","Moray","South Ayrshire","East Ayrshire","East Lothian","North Ayrshire","Fife"}))</f>
        <v>732.32099999999991</v>
      </c>
      <c r="P49" s="286">
        <f t="shared" si="23"/>
        <v>42.957937844196742</v>
      </c>
      <c r="Q49" s="14"/>
    </row>
    <row r="50" spans="1:17" s="296" customFormat="1" ht="15">
      <c r="A50" s="10" t="s">
        <v>248</v>
      </c>
      <c r="B50" s="338">
        <f>SUM(SUMIFS(B$9:B$41,$A$9:$A$41,{"Angus","Clackmannanshire","Midlothian","South Lanarkshire","Inverclyde","Renfrewshire","West Lothian","East Renfrewshire"}))</f>
        <v>43525</v>
      </c>
      <c r="C50" s="338">
        <f>SUM(SUMIFS(C$9:C$41,$A$9:$A$41,{"Angus","Clackmannanshire","Midlothian","South Lanarkshire","Inverclyde","Renfrewshire","West Lothian","East Renfrewshire"}))</f>
        <v>701.20399999999995</v>
      </c>
      <c r="D50" s="286">
        <f t="shared" si="20"/>
        <v>62.071807918950839</v>
      </c>
      <c r="E50" s="14"/>
      <c r="F50" s="338">
        <f>SUM(SUMIFS(F$9:F$41,$A$9:$A$41,{"Angus","Clackmannanshire","Midlothian","South Lanarkshire","Inverclyde","Renfrewshire","West Lothian","East Renfrewshire"}))</f>
        <v>41010</v>
      </c>
      <c r="G50" s="338">
        <f>SUM(SUMIFS(G$9:G$41,$A$9:$A$41,{"Angus","Clackmannanshire","Midlothian","South Lanarkshire","Inverclyde","Renfrewshire","West Lothian","East Renfrewshire"}))</f>
        <v>701.20399999999995</v>
      </c>
      <c r="H50" s="286">
        <f t="shared" si="21"/>
        <v>58.485119879521513</v>
      </c>
      <c r="I50" s="14"/>
      <c r="J50" s="338">
        <f>SUM(SUMIFS(J$9:J$41,$A$9:$A$41,{"Angus","Clackmannanshire","Midlothian","South Lanarkshire","Inverclyde","Renfrewshire","West Lothian","East Renfrewshire"}))</f>
        <v>38932</v>
      </c>
      <c r="K50" s="338">
        <f>SUM(SUMIFS(K$9:K$41,$A$9:$A$41,{"Angus","Clackmannanshire","Midlothian","South Lanarkshire","Inverclyde","Renfrewshire","West Lothian","East Renfrewshire"}))</f>
        <v>701.20399999999995</v>
      </c>
      <c r="L50" s="286">
        <f t="shared" si="22"/>
        <v>55.521645626664998</v>
      </c>
      <c r="M50" s="14"/>
      <c r="N50" s="338">
        <f>SUM(SUMIFS(N$9:N$41,$A$9:$A$41,{"Angus","Clackmannanshire","Midlothian","South Lanarkshire","Inverclyde","Renfrewshire","West Lothian","East Renfrewshire"}))</f>
        <v>33421</v>
      </c>
      <c r="O50" s="338">
        <f>SUM(SUMIFS(O$9:O$41,$A$9:$A$41,{"Angus","Clackmannanshire","Midlothian","South Lanarkshire","Inverclyde","Renfrewshire","West Lothian","East Renfrewshire"}))</f>
        <v>701.20399999999995</v>
      </c>
      <c r="P50" s="286">
        <f t="shared" si="23"/>
        <v>47.662306547024833</v>
      </c>
      <c r="Q50" s="14"/>
    </row>
    <row r="51" spans="1:17" s="296" customFormat="1" ht="15">
      <c r="A51" s="10" t="s">
        <v>249</v>
      </c>
      <c r="B51" s="338">
        <f>SUM(SUMIFS(B$9:B$41,$A$9:$A$41,{"North Lanarkshire","Falkirk","East Dunbartonshire","Aberdeen City","Edinburgh, City of","West Dunbartonshire","Dundee City","Glasgow City"}))</f>
        <v>101569</v>
      </c>
      <c r="C51" s="338">
        <f>SUM(SUMIFS(C$9:C$41,$A$9:$A$41,{"North Lanarkshire","Falkirk","East Dunbartonshire","Aberdeen City","Edinburgh, City of","West Dunbartonshire","Dundee City","Glasgow City"}))</f>
        <v>1507.934</v>
      </c>
      <c r="D51" s="286">
        <f>SUM(B51/C51)</f>
        <v>67.356396234848475</v>
      </c>
      <c r="E51" s="14"/>
      <c r="F51" s="338">
        <f>SUM(SUMIFS(F$9:F$41,$A$9:$A$41,{"North Lanarkshire","Falkirk","East Dunbartonshire","Aberdeen City","Edinburgh, City of","West Dunbartonshire","Dundee City","Glasgow City"}))</f>
        <v>94609</v>
      </c>
      <c r="G51" s="338">
        <f>SUM(SUMIFS(G$9:G$41,$A$9:$A$41,{"North Lanarkshire","Falkirk","East Dunbartonshire","Aberdeen City","Edinburgh, City of","West Dunbartonshire","Dundee City","Glasgow City"}))</f>
        <v>1507.934</v>
      </c>
      <c r="H51" s="286">
        <f>SUM(F51/G51)</f>
        <v>62.74080961103072</v>
      </c>
      <c r="I51" s="14"/>
      <c r="J51" s="338">
        <f>SUM(SUMIFS(J$9:J$41,$A$9:$A$41,{"North Lanarkshire","Falkirk","East Dunbartonshire","Aberdeen City","Edinburgh, City of","West Dunbartonshire","Dundee City","Glasgow City"}))</f>
        <v>88800</v>
      </c>
      <c r="K51" s="338">
        <f>SUM(SUMIFS(K$9:K$41,$A$9:$A$41,{"North Lanarkshire","Falkirk","East Dunbartonshire","Aberdeen City","Edinburgh, City of","West Dunbartonshire","Dundee City","Glasgow City"}))</f>
        <v>1507.934</v>
      </c>
      <c r="L51" s="286">
        <f>SUM(J51/K51)</f>
        <v>58.888518993536856</v>
      </c>
      <c r="M51" s="14"/>
      <c r="N51" s="338">
        <f>SUM(SUMIFS(N$9:N$41,$A$9:$A$41,{"North Lanarkshire","Falkirk","East Dunbartonshire","Aberdeen City","Edinburgh, City of","West Dunbartonshire","Dundee City","Glasgow City"}))</f>
        <v>76299</v>
      </c>
      <c r="O51" s="338">
        <f>SUM(SUMIFS(O$9:O$41,$A$9:$A$41,{"North Lanarkshire","Falkirk","East Dunbartonshire","Aberdeen City","Edinburgh, City of","West Dunbartonshire","Dundee City","Glasgow City"}))</f>
        <v>1507.934</v>
      </c>
      <c r="P51" s="286">
        <f>SUM(N51/O51)</f>
        <v>50.59836836360212</v>
      </c>
      <c r="Q51" s="14"/>
    </row>
    <row r="52" spans="1:17">
      <c r="B52" s="339"/>
    </row>
    <row r="53" spans="1:17" ht="13.5" thickBot="1"/>
    <row r="54" spans="1:17" ht="16.5" thickBot="1">
      <c r="A54" s="1" t="s">
        <v>149</v>
      </c>
      <c r="B54"/>
      <c r="C54"/>
      <c r="D54"/>
      <c r="E54"/>
      <c r="G54" s="289" t="s">
        <v>380</v>
      </c>
      <c r="H54" s="124"/>
      <c r="I54" s="124"/>
      <c r="J54" s="124"/>
      <c r="K54" s="124"/>
      <c r="L54" s="124"/>
      <c r="M54" s="124"/>
      <c r="N54" s="124"/>
      <c r="O54" s="124"/>
      <c r="P54" s="124"/>
    </row>
    <row r="55" spans="1:17" ht="15.75" thickBot="1">
      <c r="A55" s="2" t="s">
        <v>415</v>
      </c>
      <c r="B55"/>
      <c r="C55"/>
      <c r="D55"/>
      <c r="E55"/>
      <c r="G55" s="289" t="s">
        <v>416</v>
      </c>
      <c r="H55" s="124"/>
      <c r="I55" s="124"/>
      <c r="J55" s="124"/>
      <c r="K55" s="124"/>
      <c r="L55" s="124"/>
      <c r="M55" s="124"/>
      <c r="N55" s="124"/>
      <c r="O55" s="124"/>
      <c r="P55" s="124"/>
    </row>
    <row r="56" spans="1:17" ht="15.75" thickBot="1">
      <c r="A56"/>
      <c r="B56"/>
      <c r="C56"/>
      <c r="D56"/>
      <c r="E56"/>
      <c r="G56" s="289" t="s">
        <v>381</v>
      </c>
      <c r="H56" s="124"/>
      <c r="I56" s="124"/>
      <c r="J56" s="124"/>
      <c r="K56" s="124"/>
      <c r="L56" s="124"/>
      <c r="M56" s="124"/>
      <c r="N56" s="124"/>
      <c r="O56" s="124"/>
      <c r="P56" s="124"/>
    </row>
    <row r="57" spans="1:17" ht="15.75" thickBot="1">
      <c r="A57" s="246" t="s">
        <v>98</v>
      </c>
      <c r="B57" s="246" t="s">
        <v>82</v>
      </c>
      <c r="C57"/>
      <c r="D57"/>
      <c r="E57"/>
      <c r="G57" s="124"/>
      <c r="H57" s="124"/>
      <c r="I57" s="124"/>
      <c r="J57" s="124"/>
      <c r="K57" s="124"/>
      <c r="L57" s="124"/>
      <c r="M57" s="124"/>
      <c r="N57" s="124"/>
      <c r="O57" s="124"/>
      <c r="P57" s="124"/>
    </row>
    <row r="58" spans="1:17" ht="15.75" thickBot="1">
      <c r="A58" s="246" t="s">
        <v>97</v>
      </c>
      <c r="B58" s="246" t="s">
        <v>148</v>
      </c>
      <c r="C58"/>
      <c r="D58"/>
      <c r="E58"/>
      <c r="G58" s="289" t="s">
        <v>372</v>
      </c>
      <c r="H58" s="124"/>
      <c r="I58" s="124"/>
      <c r="J58" s="124"/>
      <c r="K58" s="124"/>
      <c r="L58" s="124"/>
      <c r="M58" s="124"/>
      <c r="N58" s="124"/>
      <c r="O58" s="124"/>
      <c r="P58" s="124"/>
    </row>
    <row r="59" spans="1:17" ht="15.75" thickBot="1">
      <c r="A59"/>
      <c r="B59"/>
      <c r="C59"/>
      <c r="D59"/>
      <c r="E59"/>
      <c r="G59" s="290" t="s">
        <v>373</v>
      </c>
      <c r="H59" s="291" t="s">
        <v>382</v>
      </c>
      <c r="I59" s="124"/>
      <c r="J59" s="124"/>
      <c r="K59" s="124"/>
      <c r="L59" s="124"/>
      <c r="M59" s="124"/>
      <c r="N59" s="124"/>
      <c r="O59" s="124"/>
      <c r="P59" s="124"/>
    </row>
    <row r="60" spans="1:17" ht="15">
      <c r="A60" s="17" t="s">
        <v>7</v>
      </c>
      <c r="B60" s="46">
        <v>2018</v>
      </c>
      <c r="C60" s="46">
        <v>2019</v>
      </c>
      <c r="D60" s="46">
        <v>2020</v>
      </c>
      <c r="E60" s="46">
        <v>2021</v>
      </c>
      <c r="G60" s="124"/>
      <c r="H60" s="124"/>
      <c r="I60" s="124"/>
      <c r="J60" s="124"/>
      <c r="K60" s="124"/>
      <c r="L60" s="124"/>
      <c r="M60" s="124"/>
      <c r="N60" s="124"/>
      <c r="O60" s="124"/>
      <c r="P60" s="124"/>
    </row>
    <row r="61" spans="1:17" ht="15.75" thickBot="1">
      <c r="A61" s="246" t="s">
        <v>15</v>
      </c>
      <c r="B61" s="239">
        <v>157195</v>
      </c>
      <c r="C61" s="239">
        <v>157090</v>
      </c>
      <c r="D61" s="239">
        <v>156660</v>
      </c>
      <c r="E61" s="239">
        <v>154229</v>
      </c>
      <c r="G61" s="476" t="s">
        <v>379</v>
      </c>
      <c r="H61" s="477"/>
      <c r="I61" s="340">
        <v>2020</v>
      </c>
      <c r="J61" s="340">
        <v>2021</v>
      </c>
      <c r="K61" s="340">
        <v>2022</v>
      </c>
      <c r="L61" s="340">
        <v>2023</v>
      </c>
      <c r="M61" s="340">
        <v>2024</v>
      </c>
    </row>
    <row r="62" spans="1:17" ht="15.75" thickBot="1">
      <c r="A62" s="246" t="s">
        <v>16</v>
      </c>
      <c r="B62" s="239">
        <v>162638</v>
      </c>
      <c r="C62" s="239">
        <v>161121</v>
      </c>
      <c r="D62" s="239">
        <v>160000</v>
      </c>
      <c r="E62" s="239">
        <v>160495</v>
      </c>
      <c r="G62" s="124"/>
      <c r="H62" s="292" t="s">
        <v>46</v>
      </c>
      <c r="I62" s="293">
        <v>220708</v>
      </c>
      <c r="J62" s="293">
        <v>212974</v>
      </c>
      <c r="K62" s="293">
        <v>199441</v>
      </c>
      <c r="L62" s="293">
        <v>188483</v>
      </c>
      <c r="M62" s="323">
        <v>161473</v>
      </c>
    </row>
    <row r="63" spans="1:17" ht="15.75" thickBot="1">
      <c r="A63" s="246" t="s">
        <v>17</v>
      </c>
      <c r="B63" s="239">
        <v>69499</v>
      </c>
      <c r="C63" s="239">
        <v>69265</v>
      </c>
      <c r="D63" s="239">
        <v>68871</v>
      </c>
      <c r="E63" s="239">
        <v>69017</v>
      </c>
      <c r="G63" s="124"/>
      <c r="H63" s="292" t="s">
        <v>15</v>
      </c>
      <c r="I63" s="293">
        <v>7581</v>
      </c>
      <c r="J63" s="293">
        <v>7230</v>
      </c>
      <c r="K63" s="293">
        <v>6759</v>
      </c>
      <c r="L63" s="293">
        <v>6282</v>
      </c>
      <c r="M63" s="323">
        <v>5252</v>
      </c>
    </row>
    <row r="64" spans="1:17" ht="15.75" thickBot="1">
      <c r="A64" s="246" t="s">
        <v>18</v>
      </c>
      <c r="B64" s="239">
        <v>51276</v>
      </c>
      <c r="C64" s="239">
        <v>50754</v>
      </c>
      <c r="D64" s="239">
        <v>50511</v>
      </c>
      <c r="E64" s="239">
        <v>51002</v>
      </c>
      <c r="G64" s="124"/>
      <c r="H64" s="292" t="s">
        <v>16</v>
      </c>
      <c r="I64" s="293">
        <v>5919</v>
      </c>
      <c r="J64" s="293">
        <v>5780</v>
      </c>
      <c r="K64" s="293">
        <v>5458</v>
      </c>
      <c r="L64" s="293">
        <v>5265</v>
      </c>
      <c r="M64" s="323">
        <v>4464</v>
      </c>
    </row>
    <row r="65" spans="1:13" ht="15.75" thickBot="1">
      <c r="A65" s="246" t="s">
        <v>126</v>
      </c>
      <c r="B65" s="239">
        <v>361939</v>
      </c>
      <c r="C65" s="239">
        <v>366508</v>
      </c>
      <c r="D65" s="239">
        <v>368491</v>
      </c>
      <c r="E65" s="239">
        <v>366367</v>
      </c>
      <c r="G65" s="124"/>
      <c r="H65" s="292" t="s">
        <v>17</v>
      </c>
      <c r="I65" s="293">
        <v>3761</v>
      </c>
      <c r="J65" s="293">
        <v>3685</v>
      </c>
      <c r="K65" s="293">
        <v>3471</v>
      </c>
      <c r="L65" s="293">
        <v>3310</v>
      </c>
      <c r="M65" s="323">
        <v>2802</v>
      </c>
    </row>
    <row r="66" spans="1:13" ht="15.75" thickBot="1">
      <c r="A66" s="246" t="s">
        <v>19</v>
      </c>
      <c r="B66" s="239">
        <v>32193</v>
      </c>
      <c r="C66" s="239">
        <v>32133</v>
      </c>
      <c r="D66" s="239">
        <v>31817</v>
      </c>
      <c r="E66" s="239">
        <v>31945</v>
      </c>
      <c r="G66" s="124"/>
      <c r="H66" s="292" t="s">
        <v>18</v>
      </c>
      <c r="I66" s="293">
        <v>3041</v>
      </c>
      <c r="J66" s="293">
        <v>2908</v>
      </c>
      <c r="K66" s="293">
        <v>2728</v>
      </c>
      <c r="L66" s="293">
        <v>2526</v>
      </c>
      <c r="M66" s="323">
        <v>2195</v>
      </c>
    </row>
    <row r="67" spans="1:13" ht="15.75" thickBot="1">
      <c r="A67" s="246" t="s">
        <v>20</v>
      </c>
      <c r="B67" s="239">
        <v>87487</v>
      </c>
      <c r="C67" s="239">
        <v>87047</v>
      </c>
      <c r="D67" s="239">
        <v>86182</v>
      </c>
      <c r="E67" s="239">
        <v>86346</v>
      </c>
      <c r="G67" s="124"/>
      <c r="H67" s="323" t="s">
        <v>126</v>
      </c>
      <c r="I67" s="293">
        <v>17514</v>
      </c>
      <c r="J67" s="293">
        <v>16771</v>
      </c>
      <c r="K67" s="293">
        <v>15670</v>
      </c>
      <c r="L67" s="293">
        <v>14702</v>
      </c>
      <c r="M67" s="323">
        <v>12790</v>
      </c>
    </row>
    <row r="68" spans="1:13" ht="24.75" thickBot="1">
      <c r="A68" s="246" t="s">
        <v>21</v>
      </c>
      <c r="B68" s="239">
        <v>98747</v>
      </c>
      <c r="C68" s="239">
        <v>99209</v>
      </c>
      <c r="D68" s="239">
        <v>98822</v>
      </c>
      <c r="E68" s="239">
        <v>97773</v>
      </c>
      <c r="G68" s="124"/>
      <c r="H68" s="292" t="s">
        <v>19</v>
      </c>
      <c r="I68" s="293">
        <v>2214</v>
      </c>
      <c r="J68" s="293">
        <v>2134</v>
      </c>
      <c r="K68" s="293">
        <v>2022</v>
      </c>
      <c r="L68" s="293">
        <v>1921</v>
      </c>
      <c r="M68" s="323">
        <v>1641</v>
      </c>
    </row>
    <row r="69" spans="1:13" ht="24.75" thickBot="1">
      <c r="A69" s="246" t="s">
        <v>22</v>
      </c>
      <c r="B69" s="239">
        <v>76168</v>
      </c>
      <c r="C69" s="239">
        <v>76005</v>
      </c>
      <c r="D69" s="239">
        <v>75511</v>
      </c>
      <c r="E69" s="239">
        <v>75654</v>
      </c>
      <c r="G69" s="124"/>
      <c r="H69" s="292" t="s">
        <v>20</v>
      </c>
      <c r="I69" s="293">
        <v>5814</v>
      </c>
      <c r="J69" s="293">
        <v>5665</v>
      </c>
      <c r="K69" s="293">
        <v>5329</v>
      </c>
      <c r="L69" s="293">
        <v>5130</v>
      </c>
      <c r="M69" s="323">
        <v>4389</v>
      </c>
    </row>
    <row r="70" spans="1:13" ht="15.75" thickBot="1">
      <c r="A70" s="246" t="s">
        <v>23</v>
      </c>
      <c r="B70" s="239">
        <v>65039</v>
      </c>
      <c r="C70" s="239">
        <v>64766</v>
      </c>
      <c r="D70" s="239">
        <v>64517</v>
      </c>
      <c r="E70" s="239">
        <v>64307</v>
      </c>
      <c r="G70" s="124"/>
      <c r="H70" s="292" t="s">
        <v>21</v>
      </c>
      <c r="I70" s="293">
        <v>7539</v>
      </c>
      <c r="J70" s="293">
        <v>7201</v>
      </c>
      <c r="K70" s="293">
        <v>6600</v>
      </c>
      <c r="L70" s="293">
        <v>6159</v>
      </c>
      <c r="M70" s="323">
        <v>5272</v>
      </c>
    </row>
    <row r="71" spans="1:13" ht="15.75" thickBot="1">
      <c r="A71" s="246" t="s">
        <v>24</v>
      </c>
      <c r="B71" s="239">
        <v>65270</v>
      </c>
      <c r="C71" s="239">
        <v>65659</v>
      </c>
      <c r="D71" s="239">
        <v>66007</v>
      </c>
      <c r="E71" s="239">
        <v>66893</v>
      </c>
      <c r="G71" s="124"/>
      <c r="H71" s="292" t="s">
        <v>22</v>
      </c>
      <c r="I71" s="293">
        <v>5325</v>
      </c>
      <c r="J71" s="293">
        <v>5130</v>
      </c>
      <c r="K71" s="293">
        <v>4749</v>
      </c>
      <c r="L71" s="293">
        <v>4489</v>
      </c>
      <c r="M71" s="323">
        <v>3775</v>
      </c>
    </row>
    <row r="72" spans="1:13" ht="36.75" thickBot="1">
      <c r="A72" s="246" t="s">
        <v>25</v>
      </c>
      <c r="B72" s="239">
        <v>56951</v>
      </c>
      <c r="C72" s="239">
        <v>56819</v>
      </c>
      <c r="D72" s="239">
        <v>56973</v>
      </c>
      <c r="E72" s="239">
        <v>57033</v>
      </c>
      <c r="G72" s="124"/>
      <c r="H72" s="292" t="s">
        <v>23</v>
      </c>
      <c r="I72" s="293">
        <v>2784</v>
      </c>
      <c r="J72" s="293">
        <v>2679</v>
      </c>
      <c r="K72" s="293">
        <v>2544</v>
      </c>
      <c r="L72" s="293">
        <v>2455</v>
      </c>
      <c r="M72" s="323">
        <v>2161</v>
      </c>
    </row>
    <row r="73" spans="1:13" ht="15.75" thickBot="1">
      <c r="A73" s="246" t="s">
        <v>26</v>
      </c>
      <c r="B73" s="239">
        <v>102104</v>
      </c>
      <c r="C73" s="239">
        <v>102329</v>
      </c>
      <c r="D73" s="239">
        <v>102019</v>
      </c>
      <c r="E73" s="239">
        <v>102021</v>
      </c>
      <c r="G73" s="124"/>
      <c r="H73" s="292" t="s">
        <v>24</v>
      </c>
      <c r="I73" s="293">
        <v>2710</v>
      </c>
      <c r="J73" s="293">
        <v>2664</v>
      </c>
      <c r="K73" s="293">
        <v>2536</v>
      </c>
      <c r="L73" s="293">
        <v>2436</v>
      </c>
      <c r="M73" s="323">
        <v>2017</v>
      </c>
    </row>
    <row r="74" spans="1:13" ht="24.75" thickBot="1">
      <c r="A74" s="246" t="s">
        <v>27</v>
      </c>
      <c r="B74" s="239">
        <v>231847</v>
      </c>
      <c r="C74" s="239">
        <v>231974</v>
      </c>
      <c r="D74" s="239">
        <v>231809</v>
      </c>
      <c r="E74" s="239">
        <v>231635</v>
      </c>
      <c r="G74" s="124"/>
      <c r="H74" s="292" t="s">
        <v>25</v>
      </c>
      <c r="I74" s="293">
        <v>2502</v>
      </c>
      <c r="J74" s="293">
        <v>2440</v>
      </c>
      <c r="K74" s="293">
        <v>2280</v>
      </c>
      <c r="L74" s="293">
        <v>2188</v>
      </c>
      <c r="M74" s="323">
        <v>1969</v>
      </c>
    </row>
    <row r="75" spans="1:13" ht="15.75" thickBot="1">
      <c r="A75" s="323" t="s">
        <v>28</v>
      </c>
      <c r="B75" s="239">
        <v>442207</v>
      </c>
      <c r="C75" s="239">
        <v>447290</v>
      </c>
      <c r="D75" s="239">
        <v>449539</v>
      </c>
      <c r="E75" s="239">
        <v>448645</v>
      </c>
      <c r="G75" s="124"/>
      <c r="H75" s="292" t="s">
        <v>26</v>
      </c>
      <c r="I75" s="293">
        <v>6134</v>
      </c>
      <c r="J75" s="293">
        <v>6005</v>
      </c>
      <c r="K75" s="293">
        <v>5652</v>
      </c>
      <c r="L75" s="293">
        <v>5385</v>
      </c>
      <c r="M75" s="323">
        <v>4635</v>
      </c>
    </row>
    <row r="76" spans="1:13" ht="15.75" thickBot="1">
      <c r="A76" s="246" t="s">
        <v>29</v>
      </c>
      <c r="B76" s="239">
        <v>144209</v>
      </c>
      <c r="C76" s="239">
        <v>143706</v>
      </c>
      <c r="D76" s="239">
        <v>142939</v>
      </c>
      <c r="E76" s="239">
        <v>144706</v>
      </c>
      <c r="G76" s="124"/>
      <c r="H76" s="292" t="s">
        <v>27</v>
      </c>
      <c r="I76" s="293">
        <v>13545</v>
      </c>
      <c r="J76" s="293">
        <v>13168</v>
      </c>
      <c r="K76" s="293">
        <v>12449</v>
      </c>
      <c r="L76" s="293">
        <v>11816</v>
      </c>
      <c r="M76" s="323">
        <v>10185</v>
      </c>
    </row>
    <row r="77" spans="1:13" ht="15.75" thickBot="1">
      <c r="A77" s="246" t="s">
        <v>30</v>
      </c>
      <c r="B77" s="239">
        <v>49140</v>
      </c>
      <c r="C77" s="239">
        <v>48689</v>
      </c>
      <c r="D77" s="239">
        <v>48152</v>
      </c>
      <c r="E77" s="239">
        <v>47782</v>
      </c>
      <c r="G77" s="124"/>
      <c r="H77" s="292" t="s">
        <v>28</v>
      </c>
      <c r="I77" s="293">
        <v>42214</v>
      </c>
      <c r="J77" s="293">
        <v>40015</v>
      </c>
      <c r="K77" s="293">
        <v>37106</v>
      </c>
      <c r="L77" s="293">
        <v>34514</v>
      </c>
      <c r="M77" s="323">
        <v>29802</v>
      </c>
    </row>
    <row r="78" spans="1:13" ht="15.75" thickBot="1">
      <c r="A78" s="246" t="s">
        <v>31</v>
      </c>
      <c r="B78" s="239">
        <v>56721</v>
      </c>
      <c r="C78" s="239">
        <v>57124</v>
      </c>
      <c r="D78" s="239">
        <v>57491</v>
      </c>
      <c r="E78" s="239">
        <v>58532</v>
      </c>
      <c r="G78" s="124"/>
      <c r="H78" s="292" t="s">
        <v>29</v>
      </c>
      <c r="I78" s="293">
        <v>6652</v>
      </c>
      <c r="J78" s="293">
        <v>6494</v>
      </c>
      <c r="K78" s="293">
        <v>6094</v>
      </c>
      <c r="L78" s="293">
        <v>5827</v>
      </c>
      <c r="M78" s="323">
        <v>4964</v>
      </c>
    </row>
    <row r="79" spans="1:13" ht="15.75" thickBot="1">
      <c r="A79" s="246" t="s">
        <v>32</v>
      </c>
      <c r="B79" s="239">
        <v>58924</v>
      </c>
      <c r="C79" s="239">
        <v>58959</v>
      </c>
      <c r="D79" s="239">
        <v>58602</v>
      </c>
      <c r="E79" s="239">
        <v>58935</v>
      </c>
      <c r="G79" s="124"/>
      <c r="H79" s="292" t="s">
        <v>30</v>
      </c>
      <c r="I79" s="293">
        <v>4086</v>
      </c>
      <c r="J79" s="293">
        <v>3978</v>
      </c>
      <c r="K79" s="293">
        <v>3749</v>
      </c>
      <c r="L79" s="293">
        <v>3524</v>
      </c>
      <c r="M79" s="323">
        <v>3071</v>
      </c>
    </row>
    <row r="80" spans="1:13" ht="15.75" thickBot="1">
      <c r="A80" s="246" t="s">
        <v>33</v>
      </c>
      <c r="B80" s="239">
        <v>15677</v>
      </c>
      <c r="C80" s="239">
        <v>15571</v>
      </c>
      <c r="D80" s="239">
        <v>15392</v>
      </c>
      <c r="E80" s="239">
        <v>15508</v>
      </c>
      <c r="G80" s="124"/>
      <c r="H80" s="292" t="s">
        <v>31</v>
      </c>
      <c r="I80" s="293">
        <v>2864</v>
      </c>
      <c r="J80" s="293">
        <v>2793</v>
      </c>
      <c r="K80" s="293">
        <v>2615</v>
      </c>
      <c r="L80" s="293">
        <v>2542</v>
      </c>
      <c r="M80" s="323">
        <v>2112</v>
      </c>
    </row>
    <row r="81" spans="1:13" ht="15.75" thickBot="1">
      <c r="A81" s="246" t="s">
        <v>34</v>
      </c>
      <c r="B81" s="239">
        <v>82426</v>
      </c>
      <c r="C81" s="239">
        <v>81740</v>
      </c>
      <c r="D81" s="239">
        <v>81123</v>
      </c>
      <c r="E81" s="239">
        <v>81035</v>
      </c>
      <c r="G81" s="124"/>
      <c r="H81" s="292" t="s">
        <v>32</v>
      </c>
      <c r="I81" s="293">
        <v>2757</v>
      </c>
      <c r="J81" s="293">
        <v>2702</v>
      </c>
      <c r="K81" s="293">
        <v>2539</v>
      </c>
      <c r="L81" s="293">
        <v>2413</v>
      </c>
      <c r="M81" s="323">
        <v>2043</v>
      </c>
    </row>
    <row r="82" spans="1:13" ht="24.75" thickBot="1">
      <c r="A82" s="246" t="s">
        <v>35</v>
      </c>
      <c r="B82" s="239">
        <v>219221</v>
      </c>
      <c r="C82" s="239">
        <v>219435</v>
      </c>
      <c r="D82" s="239">
        <v>219051</v>
      </c>
      <c r="E82" s="239">
        <v>219178</v>
      </c>
      <c r="G82" s="124"/>
      <c r="H82" s="292" t="s">
        <v>33</v>
      </c>
      <c r="I82" s="293">
        <v>886</v>
      </c>
      <c r="J82" s="293">
        <v>865</v>
      </c>
      <c r="K82" s="293">
        <v>805</v>
      </c>
      <c r="L82" s="293">
        <v>749</v>
      </c>
      <c r="M82" s="323">
        <v>656</v>
      </c>
    </row>
    <row r="83" spans="1:13" ht="15.75" thickBot="1">
      <c r="A83" s="246" t="s">
        <v>36</v>
      </c>
      <c r="B83" s="239">
        <v>13412</v>
      </c>
      <c r="C83" s="239">
        <v>13382</v>
      </c>
      <c r="D83" s="239">
        <v>13386</v>
      </c>
      <c r="E83" s="239">
        <v>13447</v>
      </c>
      <c r="G83" s="124"/>
      <c r="H83" s="292" t="s">
        <v>34</v>
      </c>
      <c r="I83" s="293">
        <v>6608</v>
      </c>
      <c r="J83" s="293">
        <v>6442</v>
      </c>
      <c r="K83" s="293">
        <v>6068</v>
      </c>
      <c r="L83" s="293">
        <v>5764</v>
      </c>
      <c r="M83" s="323">
        <v>4902</v>
      </c>
    </row>
    <row r="84" spans="1:13" ht="24.75" thickBot="1">
      <c r="A84" s="246" t="s">
        <v>37</v>
      </c>
      <c r="B84" s="239">
        <v>91666</v>
      </c>
      <c r="C84" s="239">
        <v>91695</v>
      </c>
      <c r="D84" s="239">
        <v>91349</v>
      </c>
      <c r="E84" s="239">
        <v>92594</v>
      </c>
      <c r="G84" s="124"/>
      <c r="H84" s="292" t="s">
        <v>35</v>
      </c>
      <c r="I84" s="293">
        <v>17138</v>
      </c>
      <c r="J84" s="293">
        <v>16592</v>
      </c>
      <c r="K84" s="293">
        <v>15512</v>
      </c>
      <c r="L84" s="293">
        <v>14809</v>
      </c>
      <c r="M84" s="323">
        <v>12566</v>
      </c>
    </row>
    <row r="85" spans="1:13" ht="15.75" thickBot="1">
      <c r="A85" s="246" t="s">
        <v>38</v>
      </c>
      <c r="B85" s="239">
        <v>114331</v>
      </c>
      <c r="C85" s="239">
        <v>114946</v>
      </c>
      <c r="D85" s="239">
        <v>115055</v>
      </c>
      <c r="E85" s="239">
        <v>115571</v>
      </c>
      <c r="G85" s="124"/>
      <c r="H85" s="292" t="s">
        <v>36</v>
      </c>
      <c r="I85" s="293">
        <v>619</v>
      </c>
      <c r="J85" s="293">
        <v>611</v>
      </c>
      <c r="K85" s="293">
        <v>570</v>
      </c>
      <c r="L85" s="293">
        <v>545</v>
      </c>
      <c r="M85" s="323">
        <v>492</v>
      </c>
    </row>
    <row r="86" spans="1:13" ht="24.75" thickBot="1">
      <c r="A86" s="246" t="s">
        <v>39</v>
      </c>
      <c r="B86" s="239">
        <v>68121</v>
      </c>
      <c r="C86" s="239">
        <v>67871</v>
      </c>
      <c r="D86" s="239">
        <v>67332</v>
      </c>
      <c r="E86" s="239">
        <v>67642</v>
      </c>
      <c r="G86" s="124"/>
      <c r="H86" s="292" t="s">
        <v>37</v>
      </c>
      <c r="I86" s="293">
        <v>4442</v>
      </c>
      <c r="J86" s="293">
        <v>4340</v>
      </c>
      <c r="K86" s="293">
        <v>4044</v>
      </c>
      <c r="L86" s="293">
        <v>3857</v>
      </c>
      <c r="M86" s="323">
        <v>3215</v>
      </c>
    </row>
    <row r="87" spans="1:13" ht="15.75" thickBot="1">
      <c r="A87" s="246" t="s">
        <v>40</v>
      </c>
      <c r="B87" s="239">
        <v>14230</v>
      </c>
      <c r="C87" s="239">
        <v>14036</v>
      </c>
      <c r="D87" s="239">
        <v>13905</v>
      </c>
      <c r="E87" s="239">
        <v>13912</v>
      </c>
      <c r="G87" s="124"/>
      <c r="H87" s="292" t="s">
        <v>38</v>
      </c>
      <c r="I87" s="293">
        <v>8497</v>
      </c>
      <c r="J87" s="293">
        <v>8209</v>
      </c>
      <c r="K87" s="293">
        <v>7780</v>
      </c>
      <c r="L87" s="293">
        <v>7337</v>
      </c>
      <c r="M87" s="323">
        <v>6340</v>
      </c>
    </row>
    <row r="88" spans="1:13" ht="24.75" thickBot="1">
      <c r="A88" s="246" t="s">
        <v>41</v>
      </c>
      <c r="B88" s="239">
        <v>66726</v>
      </c>
      <c r="C88" s="239">
        <v>66258</v>
      </c>
      <c r="D88" s="239">
        <v>65767</v>
      </c>
      <c r="E88" s="239">
        <v>65844</v>
      </c>
      <c r="G88" s="124"/>
      <c r="H88" s="292" t="s">
        <v>39</v>
      </c>
      <c r="I88" s="293">
        <v>3699</v>
      </c>
      <c r="J88" s="293">
        <v>3579</v>
      </c>
      <c r="K88" s="293">
        <v>3324</v>
      </c>
      <c r="L88" s="293">
        <v>3141</v>
      </c>
      <c r="M88" s="323">
        <v>2670</v>
      </c>
    </row>
    <row r="89" spans="1:13" ht="24.75" thickBot="1">
      <c r="A89" s="246" t="s">
        <v>42</v>
      </c>
      <c r="B89" s="239">
        <v>202463</v>
      </c>
      <c r="C89" s="239">
        <v>202175</v>
      </c>
      <c r="D89" s="239">
        <v>201790</v>
      </c>
      <c r="E89" s="239">
        <v>202430</v>
      </c>
      <c r="G89" s="124"/>
      <c r="H89" s="292" t="s">
        <v>40</v>
      </c>
      <c r="I89" s="293">
        <v>619</v>
      </c>
      <c r="J89" s="293">
        <v>584</v>
      </c>
      <c r="K89" s="293">
        <v>547</v>
      </c>
      <c r="L89" s="293">
        <v>535</v>
      </c>
      <c r="M89" s="323">
        <v>464</v>
      </c>
    </row>
    <row r="90" spans="1:13" ht="15.75" thickBot="1">
      <c r="A90" s="246" t="s">
        <v>43</v>
      </c>
      <c r="B90" s="239">
        <v>60814</v>
      </c>
      <c r="C90" s="239">
        <v>60529</v>
      </c>
      <c r="D90" s="239">
        <v>60411</v>
      </c>
      <c r="E90" s="239">
        <v>59731</v>
      </c>
      <c r="G90" s="124"/>
      <c r="H90" s="292" t="s">
        <v>41</v>
      </c>
      <c r="I90" s="293">
        <v>4465</v>
      </c>
      <c r="J90" s="293">
        <v>4354</v>
      </c>
      <c r="K90" s="293">
        <v>4138</v>
      </c>
      <c r="L90" s="293">
        <v>3892</v>
      </c>
      <c r="M90" s="323">
        <v>3311</v>
      </c>
    </row>
    <row r="91" spans="1:13" ht="24.75" thickBot="1">
      <c r="A91" s="246" t="s">
        <v>44</v>
      </c>
      <c r="B91" s="239">
        <v>56998</v>
      </c>
      <c r="C91" s="239">
        <v>56552</v>
      </c>
      <c r="D91" s="239">
        <v>55988</v>
      </c>
      <c r="E91" s="239">
        <v>55414</v>
      </c>
      <c r="G91" s="124"/>
      <c r="H91" s="292" t="s">
        <v>42</v>
      </c>
      <c r="I91" s="293">
        <v>13230</v>
      </c>
      <c r="J91" s="293">
        <v>12874</v>
      </c>
      <c r="K91" s="293">
        <v>12139</v>
      </c>
      <c r="L91" s="293">
        <v>11551</v>
      </c>
      <c r="M91" s="323">
        <v>9854</v>
      </c>
    </row>
    <row r="92" spans="1:13" ht="15.75" thickBot="1">
      <c r="A92" s="246" t="s">
        <v>45</v>
      </c>
      <c r="B92" s="239">
        <v>116845</v>
      </c>
      <c r="C92" s="239">
        <v>117121</v>
      </c>
      <c r="D92" s="239">
        <v>117675</v>
      </c>
      <c r="E92" s="239">
        <v>118894</v>
      </c>
      <c r="G92" s="124"/>
      <c r="H92" s="292" t="s">
        <v>43</v>
      </c>
      <c r="I92" s="293">
        <v>2670</v>
      </c>
      <c r="J92" s="293">
        <v>2596</v>
      </c>
      <c r="K92" s="293">
        <v>2457</v>
      </c>
      <c r="L92" s="293">
        <v>2351</v>
      </c>
      <c r="M92" s="323">
        <v>2011</v>
      </c>
    </row>
    <row r="93" spans="1:13" ht="36.75" thickBot="1">
      <c r="A93" s="246" t="s">
        <v>46</v>
      </c>
      <c r="B93" s="239">
        <v>3492484</v>
      </c>
      <c r="C93" s="239">
        <v>3497758</v>
      </c>
      <c r="D93" s="239">
        <v>3493137</v>
      </c>
      <c r="E93" s="239">
        <v>3494517</v>
      </c>
      <c r="G93" s="124"/>
      <c r="H93" s="292" t="s">
        <v>44</v>
      </c>
      <c r="I93" s="293">
        <v>5300</v>
      </c>
      <c r="J93" s="293">
        <v>5076</v>
      </c>
      <c r="K93" s="293">
        <v>4766</v>
      </c>
      <c r="L93" s="293">
        <v>4494</v>
      </c>
      <c r="M93" s="323">
        <v>3821</v>
      </c>
    </row>
    <row r="94" spans="1:13" ht="15.75" thickBot="1">
      <c r="A94" s="246" t="s">
        <v>47</v>
      </c>
      <c r="B94" s="239">
        <v>41645814</v>
      </c>
      <c r="C94" s="239">
        <v>41724010</v>
      </c>
      <c r="D94" s="239">
        <v>41845027</v>
      </c>
      <c r="E94" s="239">
        <v>42174676</v>
      </c>
      <c r="G94" s="124"/>
      <c r="H94" s="292" t="s">
        <v>45</v>
      </c>
      <c r="I94" s="293">
        <v>7575</v>
      </c>
      <c r="J94" s="293">
        <v>7412</v>
      </c>
      <c r="K94" s="293">
        <v>6954</v>
      </c>
      <c r="L94" s="293">
        <v>6559</v>
      </c>
      <c r="M94" s="323">
        <v>5632</v>
      </c>
    </row>
    <row r="95" spans="1:13">
      <c r="A95" s="246" t="s">
        <v>48</v>
      </c>
      <c r="B95" s="239">
        <v>1206350</v>
      </c>
      <c r="C95" s="239">
        <v>1210672</v>
      </c>
      <c r="D95" s="239">
        <v>1211065</v>
      </c>
      <c r="E95" s="239">
        <v>1210360</v>
      </c>
    </row>
  </sheetData>
  <mergeCells count="1">
    <mergeCell ref="G61:H61"/>
  </mergeCells>
  <pageMargins left="0.74803149606299213" right="0.74803149606299213" top="0.98425196850393704" bottom="0.98425196850393704" header="0.51181102362204722" footer="0.51181102362204722"/>
  <pageSetup paperSize="9" scale="46" orientation="portrait" r:id="rId1"/>
  <headerFooter alignWithMargins="0">
    <oddHeader>&amp;R&amp;"Arial,Bold"&amp;18ROAD TRANSPORT VEHICLES&amp;C&amp;"Arial,Regular"&amp;12&amp;B&amp;K000000OFFICIAL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sheetPr>
  <dimension ref="A1:Q57"/>
  <sheetViews>
    <sheetView zoomScale="62" zoomScaleNormal="100" workbookViewId="0">
      <selection activeCell="T38" sqref="T38"/>
    </sheetView>
  </sheetViews>
  <sheetFormatPr defaultColWidth="8.7109375" defaultRowHeight="15"/>
  <cols>
    <col min="1" max="1" width="25.28515625" style="241" customWidth="1" collapsed="1"/>
    <col min="2" max="17" width="14.7109375" style="241" customWidth="1" collapsed="1"/>
    <col min="18" max="16384" width="8.7109375" style="241"/>
  </cols>
  <sheetData>
    <row r="1" spans="1:17" ht="15.75">
      <c r="A1" s="1" t="s">
        <v>0</v>
      </c>
      <c r="B1"/>
      <c r="C1"/>
      <c r="D1"/>
      <c r="E1"/>
      <c r="F1"/>
      <c r="G1"/>
      <c r="H1"/>
      <c r="I1"/>
      <c r="J1"/>
      <c r="K1"/>
      <c r="L1"/>
      <c r="M1"/>
      <c r="N1"/>
      <c r="O1"/>
      <c r="P1"/>
      <c r="Q1"/>
    </row>
    <row r="2" spans="1:17">
      <c r="A2" s="2" t="s">
        <v>357</v>
      </c>
      <c r="B2"/>
      <c r="C2"/>
      <c r="D2"/>
      <c r="E2"/>
      <c r="F2"/>
      <c r="G2"/>
      <c r="H2"/>
      <c r="I2"/>
      <c r="J2"/>
      <c r="K2"/>
      <c r="L2"/>
      <c r="M2"/>
      <c r="N2"/>
      <c r="O2"/>
      <c r="P2"/>
      <c r="Q2"/>
    </row>
    <row r="3" spans="1:17">
      <c r="A3"/>
      <c r="B3"/>
      <c r="C3"/>
      <c r="D3"/>
      <c r="E3"/>
      <c r="F3"/>
      <c r="G3"/>
      <c r="H3"/>
      <c r="I3"/>
      <c r="J3"/>
      <c r="K3"/>
      <c r="L3"/>
      <c r="M3"/>
      <c r="N3"/>
      <c r="O3"/>
      <c r="P3"/>
      <c r="Q3"/>
    </row>
    <row r="4" spans="1:17">
      <c r="A4" s="246" t="s">
        <v>2</v>
      </c>
      <c r="B4" s="246" t="s">
        <v>3</v>
      </c>
      <c r="C4"/>
      <c r="D4"/>
      <c r="E4"/>
      <c r="F4"/>
      <c r="G4"/>
      <c r="H4"/>
      <c r="I4"/>
      <c r="J4"/>
      <c r="K4"/>
      <c r="L4"/>
      <c r="M4"/>
      <c r="N4"/>
      <c r="O4"/>
      <c r="P4"/>
      <c r="Q4"/>
    </row>
    <row r="5" spans="1:17">
      <c r="A5" s="246" t="s">
        <v>4</v>
      </c>
      <c r="B5" s="246" t="s">
        <v>5</v>
      </c>
      <c r="C5"/>
      <c r="D5"/>
      <c r="E5"/>
      <c r="F5"/>
      <c r="G5"/>
      <c r="H5"/>
      <c r="I5"/>
      <c r="J5"/>
      <c r="K5"/>
      <c r="L5"/>
      <c r="M5"/>
      <c r="N5"/>
      <c r="O5"/>
      <c r="P5"/>
      <c r="Q5"/>
    </row>
    <row r="6" spans="1:17">
      <c r="A6"/>
      <c r="B6"/>
      <c r="C6"/>
      <c r="D6"/>
      <c r="E6"/>
      <c r="F6"/>
      <c r="G6"/>
      <c r="H6"/>
      <c r="I6"/>
      <c r="J6"/>
      <c r="K6"/>
      <c r="L6"/>
      <c r="M6"/>
      <c r="N6"/>
      <c r="O6"/>
      <c r="P6"/>
      <c r="Q6"/>
    </row>
    <row r="7" spans="1:17" ht="21.95" customHeight="1">
      <c r="A7" s="17" t="s">
        <v>7</v>
      </c>
      <c r="B7" s="473" t="s">
        <v>230</v>
      </c>
      <c r="C7" s="475"/>
      <c r="D7" s="475"/>
      <c r="E7" s="475"/>
      <c r="F7" s="473" t="s">
        <v>356</v>
      </c>
      <c r="G7" s="475"/>
      <c r="H7" s="475"/>
      <c r="I7" s="475"/>
      <c r="J7" s="473" t="s">
        <v>398</v>
      </c>
      <c r="K7" s="475"/>
      <c r="L7" s="475"/>
      <c r="M7" s="475"/>
      <c r="N7" s="473" t="s">
        <v>423</v>
      </c>
      <c r="O7" s="475"/>
      <c r="P7" s="475"/>
      <c r="Q7" s="475"/>
    </row>
    <row r="8" spans="1:17" ht="26.1" customHeight="1">
      <c r="A8"/>
      <c r="B8" s="313" t="s">
        <v>8</v>
      </c>
      <c r="C8" s="313" t="s">
        <v>9</v>
      </c>
      <c r="D8" s="313" t="s">
        <v>10</v>
      </c>
      <c r="E8" s="313" t="s">
        <v>11</v>
      </c>
      <c r="F8" s="313" t="s">
        <v>8</v>
      </c>
      <c r="G8" s="313" t="s">
        <v>9</v>
      </c>
      <c r="H8" s="313" t="s">
        <v>10</v>
      </c>
      <c r="I8" s="313" t="s">
        <v>11</v>
      </c>
      <c r="J8" s="313" t="s">
        <v>8</v>
      </c>
      <c r="K8" s="313" t="s">
        <v>9</v>
      </c>
      <c r="L8" s="313" t="s">
        <v>10</v>
      </c>
      <c r="M8" s="313" t="s">
        <v>11</v>
      </c>
      <c r="N8" s="313" t="s">
        <v>8</v>
      </c>
      <c r="O8" s="313" t="s">
        <v>9</v>
      </c>
      <c r="P8" s="313" t="s">
        <v>10</v>
      </c>
      <c r="Q8" s="313" t="s">
        <v>11</v>
      </c>
    </row>
    <row r="9" spans="1:17">
      <c r="A9" s="246" t="s">
        <v>15</v>
      </c>
      <c r="B9" s="314">
        <v>10900</v>
      </c>
      <c r="C9" s="314">
        <v>35600</v>
      </c>
      <c r="D9" s="314">
        <v>30.6</v>
      </c>
      <c r="E9" s="314">
        <v>8.9</v>
      </c>
      <c r="F9" s="314">
        <v>8500</v>
      </c>
      <c r="G9" s="314">
        <v>30400</v>
      </c>
      <c r="H9" s="314">
        <v>28.1</v>
      </c>
      <c r="I9" s="314">
        <v>9.6</v>
      </c>
      <c r="J9" s="314">
        <v>11200</v>
      </c>
      <c r="K9" s="314">
        <v>39500</v>
      </c>
      <c r="L9" s="314">
        <v>28.5</v>
      </c>
      <c r="M9" s="314">
        <v>9</v>
      </c>
      <c r="N9" s="314">
        <v>10900</v>
      </c>
      <c r="O9" s="314">
        <v>34100</v>
      </c>
      <c r="P9" s="314">
        <v>32.1</v>
      </c>
      <c r="Q9" s="314">
        <v>10.8</v>
      </c>
    </row>
    <row r="10" spans="1:17">
      <c r="A10" s="246" t="s">
        <v>16</v>
      </c>
      <c r="B10" s="314">
        <v>6100</v>
      </c>
      <c r="C10" s="314">
        <v>29900</v>
      </c>
      <c r="D10" s="314">
        <v>20.399999999999999</v>
      </c>
      <c r="E10" s="314">
        <v>8.4</v>
      </c>
      <c r="F10" s="314">
        <v>8500</v>
      </c>
      <c r="G10" s="314">
        <v>37200</v>
      </c>
      <c r="H10" s="314">
        <v>23</v>
      </c>
      <c r="I10" s="314">
        <v>8.3000000000000007</v>
      </c>
      <c r="J10" s="314">
        <v>8000</v>
      </c>
      <c r="K10" s="314">
        <v>29800</v>
      </c>
      <c r="L10" s="314">
        <v>27</v>
      </c>
      <c r="M10" s="314">
        <v>10.199999999999999</v>
      </c>
      <c r="N10" s="314">
        <v>5200</v>
      </c>
      <c r="O10" s="314">
        <v>25000</v>
      </c>
      <c r="P10" s="314">
        <v>20.8</v>
      </c>
      <c r="Q10" s="314" t="s">
        <v>12</v>
      </c>
    </row>
    <row r="11" spans="1:17">
      <c r="A11" s="246" t="s">
        <v>17</v>
      </c>
      <c r="B11" s="314">
        <v>5800</v>
      </c>
      <c r="C11" s="314">
        <v>17300</v>
      </c>
      <c r="D11" s="314">
        <v>33.6</v>
      </c>
      <c r="E11" s="314">
        <v>7.7</v>
      </c>
      <c r="F11" s="314">
        <v>6000</v>
      </c>
      <c r="G11" s="314">
        <v>16400</v>
      </c>
      <c r="H11" s="314">
        <v>36.700000000000003</v>
      </c>
      <c r="I11" s="314">
        <v>9.4</v>
      </c>
      <c r="J11" s="314">
        <v>5100</v>
      </c>
      <c r="K11" s="314">
        <v>16300</v>
      </c>
      <c r="L11" s="314">
        <v>31.5</v>
      </c>
      <c r="M11" s="314">
        <v>8.9</v>
      </c>
      <c r="N11" s="314">
        <v>6800</v>
      </c>
      <c r="O11" s="314">
        <v>18600</v>
      </c>
      <c r="P11" s="314">
        <v>36.4</v>
      </c>
      <c r="Q11" s="314">
        <v>11.6</v>
      </c>
    </row>
    <row r="12" spans="1:17">
      <c r="A12" s="246" t="s">
        <v>18</v>
      </c>
      <c r="B12" s="314">
        <v>3100</v>
      </c>
      <c r="C12" s="314">
        <v>11100</v>
      </c>
      <c r="D12" s="314">
        <v>28</v>
      </c>
      <c r="E12" s="314">
        <v>7.9</v>
      </c>
      <c r="F12" s="314">
        <v>2800</v>
      </c>
      <c r="G12" s="314">
        <v>11600</v>
      </c>
      <c r="H12" s="314">
        <v>23.9</v>
      </c>
      <c r="I12" s="314">
        <v>8.4</v>
      </c>
      <c r="J12" s="314">
        <v>3100</v>
      </c>
      <c r="K12" s="314">
        <v>11900</v>
      </c>
      <c r="L12" s="314">
        <v>25.9</v>
      </c>
      <c r="M12" s="314">
        <v>10.1</v>
      </c>
      <c r="N12" s="314">
        <v>5400</v>
      </c>
      <c r="O12" s="314">
        <v>14400</v>
      </c>
      <c r="P12" s="314">
        <v>37.700000000000003</v>
      </c>
      <c r="Q12" s="314">
        <v>12.8</v>
      </c>
    </row>
    <row r="13" spans="1:17">
      <c r="A13" s="246" t="s">
        <v>126</v>
      </c>
      <c r="B13" s="314">
        <v>16000</v>
      </c>
      <c r="C13" s="314">
        <v>81100</v>
      </c>
      <c r="D13" s="314">
        <v>19.7</v>
      </c>
      <c r="E13" s="314">
        <v>6.5</v>
      </c>
      <c r="F13" s="314">
        <v>11100</v>
      </c>
      <c r="G13" s="314">
        <v>69100</v>
      </c>
      <c r="H13" s="314">
        <v>16</v>
      </c>
      <c r="I13" s="314">
        <v>6.5</v>
      </c>
      <c r="J13" s="314">
        <v>18000</v>
      </c>
      <c r="K13" s="314">
        <v>70700</v>
      </c>
      <c r="L13" s="314">
        <v>25.5</v>
      </c>
      <c r="M13" s="314">
        <v>8.1</v>
      </c>
      <c r="N13" s="314">
        <v>10100</v>
      </c>
      <c r="O13" s="314">
        <v>50700</v>
      </c>
      <c r="P13" s="314">
        <v>19.899999999999999</v>
      </c>
      <c r="Q13" s="314">
        <v>9.1999999999999993</v>
      </c>
    </row>
    <row r="14" spans="1:17">
      <c r="A14" s="246" t="s">
        <v>19</v>
      </c>
      <c r="B14" s="314">
        <v>2000</v>
      </c>
      <c r="C14" s="314">
        <v>7000</v>
      </c>
      <c r="D14" s="314">
        <v>28</v>
      </c>
      <c r="E14" s="314">
        <v>10.8</v>
      </c>
      <c r="F14" s="314">
        <v>2400</v>
      </c>
      <c r="G14" s="314">
        <v>8400</v>
      </c>
      <c r="H14" s="314">
        <v>29.1</v>
      </c>
      <c r="I14" s="314">
        <v>13.1</v>
      </c>
      <c r="J14" s="314">
        <v>2500</v>
      </c>
      <c r="K14" s="314">
        <v>9700</v>
      </c>
      <c r="L14" s="314">
        <v>25.4</v>
      </c>
      <c r="M14" s="314">
        <v>9.8000000000000007</v>
      </c>
      <c r="N14" s="314">
        <v>3600</v>
      </c>
      <c r="O14" s="314">
        <v>9200</v>
      </c>
      <c r="P14" s="314">
        <v>39.200000000000003</v>
      </c>
      <c r="Q14" s="314">
        <v>12.7</v>
      </c>
    </row>
    <row r="15" spans="1:17">
      <c r="A15" s="246" t="s">
        <v>20</v>
      </c>
      <c r="B15" s="314">
        <v>5700</v>
      </c>
      <c r="C15" s="314">
        <v>23200</v>
      </c>
      <c r="D15" s="314">
        <v>24.5</v>
      </c>
      <c r="E15" s="314">
        <v>8</v>
      </c>
      <c r="F15" s="314">
        <v>6900</v>
      </c>
      <c r="G15" s="314">
        <v>21900</v>
      </c>
      <c r="H15" s="314">
        <v>31.4</v>
      </c>
      <c r="I15" s="314">
        <v>8.6</v>
      </c>
      <c r="J15" s="314">
        <v>8900</v>
      </c>
      <c r="K15" s="314">
        <v>24800</v>
      </c>
      <c r="L15" s="314">
        <v>36.1</v>
      </c>
      <c r="M15" s="314">
        <v>8.8000000000000007</v>
      </c>
      <c r="N15" s="314">
        <v>10000</v>
      </c>
      <c r="O15" s="314">
        <v>23300</v>
      </c>
      <c r="P15" s="314">
        <v>42.9</v>
      </c>
      <c r="Q15" s="314">
        <v>13.1</v>
      </c>
    </row>
    <row r="16" spans="1:17">
      <c r="A16" s="246" t="s">
        <v>21</v>
      </c>
      <c r="B16" s="314">
        <v>7100</v>
      </c>
      <c r="C16" s="314">
        <v>22200</v>
      </c>
      <c r="D16" s="314">
        <v>32</v>
      </c>
      <c r="E16" s="314">
        <v>8.1</v>
      </c>
      <c r="F16" s="314">
        <v>9300</v>
      </c>
      <c r="G16" s="314">
        <v>23400</v>
      </c>
      <c r="H16" s="314">
        <v>39.6</v>
      </c>
      <c r="I16" s="314">
        <v>9.6999999999999993</v>
      </c>
      <c r="J16" s="314">
        <v>6900</v>
      </c>
      <c r="K16" s="314">
        <v>23700</v>
      </c>
      <c r="L16" s="314">
        <v>29</v>
      </c>
      <c r="M16" s="314">
        <v>8.6</v>
      </c>
      <c r="N16" s="314">
        <v>9300</v>
      </c>
      <c r="O16" s="314">
        <v>28100</v>
      </c>
      <c r="P16" s="314">
        <v>33.200000000000003</v>
      </c>
      <c r="Q16" s="314">
        <v>9.5</v>
      </c>
    </row>
    <row r="17" spans="1:17">
      <c r="A17" s="246" t="s">
        <v>22</v>
      </c>
      <c r="B17" s="314">
        <v>5500</v>
      </c>
      <c r="C17" s="314">
        <v>17600</v>
      </c>
      <c r="D17" s="314">
        <v>31.5</v>
      </c>
      <c r="E17" s="314">
        <v>8.9</v>
      </c>
      <c r="F17" s="314">
        <v>4500</v>
      </c>
      <c r="G17" s="314">
        <v>16100</v>
      </c>
      <c r="H17" s="314">
        <v>27.9</v>
      </c>
      <c r="I17" s="314">
        <v>9.1999999999999993</v>
      </c>
      <c r="J17" s="314">
        <v>7200</v>
      </c>
      <c r="K17" s="314">
        <v>19800</v>
      </c>
      <c r="L17" s="314">
        <v>36.299999999999997</v>
      </c>
      <c r="M17" s="314">
        <v>9.1</v>
      </c>
      <c r="N17" s="314">
        <v>7100</v>
      </c>
      <c r="O17" s="314">
        <v>20500</v>
      </c>
      <c r="P17" s="314">
        <v>34.4</v>
      </c>
      <c r="Q17" s="314">
        <v>11.4</v>
      </c>
    </row>
    <row r="18" spans="1:17">
      <c r="A18" s="246" t="s">
        <v>23</v>
      </c>
      <c r="B18" s="314">
        <v>3600</v>
      </c>
      <c r="C18" s="314">
        <v>14400</v>
      </c>
      <c r="D18" s="314">
        <v>25.1</v>
      </c>
      <c r="E18" s="314">
        <v>6.8</v>
      </c>
      <c r="F18" s="314">
        <v>4600</v>
      </c>
      <c r="G18" s="314">
        <v>15900</v>
      </c>
      <c r="H18" s="314">
        <v>28.7</v>
      </c>
      <c r="I18" s="314">
        <v>7.7</v>
      </c>
      <c r="J18" s="314">
        <v>3900</v>
      </c>
      <c r="K18" s="314">
        <v>14200</v>
      </c>
      <c r="L18" s="314">
        <v>27.6</v>
      </c>
      <c r="M18" s="314">
        <v>8</v>
      </c>
      <c r="N18" s="314">
        <v>4100</v>
      </c>
      <c r="O18" s="314">
        <v>15500</v>
      </c>
      <c r="P18" s="314">
        <v>26.3</v>
      </c>
      <c r="Q18" s="314">
        <v>9.3000000000000007</v>
      </c>
    </row>
    <row r="19" spans="1:17">
      <c r="A19" s="246" t="s">
        <v>24</v>
      </c>
      <c r="B19" s="314">
        <v>5100</v>
      </c>
      <c r="C19" s="314">
        <v>13900</v>
      </c>
      <c r="D19" s="314">
        <v>36.299999999999997</v>
      </c>
      <c r="E19" s="314">
        <v>9.9</v>
      </c>
      <c r="F19" s="314">
        <v>3600</v>
      </c>
      <c r="G19" s="314">
        <v>11300</v>
      </c>
      <c r="H19" s="314">
        <v>32.299999999999997</v>
      </c>
      <c r="I19" s="314">
        <v>12.2</v>
      </c>
      <c r="J19" s="314">
        <v>5800</v>
      </c>
      <c r="K19" s="314">
        <v>14700</v>
      </c>
      <c r="L19" s="314">
        <v>39.6</v>
      </c>
      <c r="M19" s="314">
        <v>11.3</v>
      </c>
      <c r="N19" s="314">
        <v>4300</v>
      </c>
      <c r="O19" s="314">
        <v>11600</v>
      </c>
      <c r="P19" s="314">
        <v>36.9</v>
      </c>
      <c r="Q19" s="314">
        <v>14.1</v>
      </c>
    </row>
    <row r="20" spans="1:17">
      <c r="A20" s="246" t="s">
        <v>25</v>
      </c>
      <c r="B20" s="314">
        <v>2600</v>
      </c>
      <c r="C20" s="314">
        <v>13400</v>
      </c>
      <c r="D20" s="314">
        <v>19.5</v>
      </c>
      <c r="E20" s="314">
        <v>7.4</v>
      </c>
      <c r="F20" s="314">
        <v>2900</v>
      </c>
      <c r="G20" s="314">
        <v>15600</v>
      </c>
      <c r="H20" s="314">
        <v>18.600000000000001</v>
      </c>
      <c r="I20" s="314">
        <v>7.5</v>
      </c>
      <c r="J20" s="314">
        <v>2200</v>
      </c>
      <c r="K20" s="314">
        <v>11600</v>
      </c>
      <c r="L20" s="314">
        <v>19.100000000000001</v>
      </c>
      <c r="M20" s="314" t="s">
        <v>12</v>
      </c>
      <c r="N20" s="314">
        <v>2900</v>
      </c>
      <c r="O20" s="314">
        <v>11300</v>
      </c>
      <c r="P20" s="314">
        <v>26</v>
      </c>
      <c r="Q20" s="314" t="s">
        <v>12</v>
      </c>
    </row>
    <row r="21" spans="1:17">
      <c r="A21" s="246" t="s">
        <v>26</v>
      </c>
      <c r="B21" s="314">
        <v>6200</v>
      </c>
      <c r="C21" s="314">
        <v>21500</v>
      </c>
      <c r="D21" s="314">
        <v>28.8</v>
      </c>
      <c r="E21" s="314">
        <v>9.1999999999999993</v>
      </c>
      <c r="F21" s="314">
        <v>5400</v>
      </c>
      <c r="G21" s="314">
        <v>22100</v>
      </c>
      <c r="H21" s="314">
        <v>24.2</v>
      </c>
      <c r="I21" s="314">
        <v>9.8000000000000007</v>
      </c>
      <c r="J21" s="314">
        <v>7300</v>
      </c>
      <c r="K21" s="314">
        <v>19900</v>
      </c>
      <c r="L21" s="314">
        <v>36.9</v>
      </c>
      <c r="M21" s="314">
        <v>10.7</v>
      </c>
      <c r="N21" s="314">
        <v>9200</v>
      </c>
      <c r="O21" s="314">
        <v>24800</v>
      </c>
      <c r="P21" s="314">
        <v>36.9</v>
      </c>
      <c r="Q21" s="314">
        <v>11.3</v>
      </c>
    </row>
    <row r="22" spans="1:17">
      <c r="A22" s="246" t="s">
        <v>27</v>
      </c>
      <c r="B22" s="314">
        <v>17900</v>
      </c>
      <c r="C22" s="314">
        <v>56200</v>
      </c>
      <c r="D22" s="314">
        <v>31.8</v>
      </c>
      <c r="E22" s="314">
        <v>7.7</v>
      </c>
      <c r="F22" s="314">
        <v>19700</v>
      </c>
      <c r="G22" s="314">
        <v>58300</v>
      </c>
      <c r="H22" s="314">
        <v>33.799999999999997</v>
      </c>
      <c r="I22" s="314">
        <v>8.1</v>
      </c>
      <c r="J22" s="314">
        <v>14700</v>
      </c>
      <c r="K22" s="314">
        <v>49900</v>
      </c>
      <c r="L22" s="314">
        <v>29.5</v>
      </c>
      <c r="M22" s="314">
        <v>8.1</v>
      </c>
      <c r="N22" s="314">
        <v>16100</v>
      </c>
      <c r="O22" s="314">
        <v>48900</v>
      </c>
      <c r="P22" s="314">
        <v>32.9</v>
      </c>
      <c r="Q22" s="314">
        <v>8.6</v>
      </c>
    </row>
    <row r="23" spans="1:17">
      <c r="A23" s="246" t="s">
        <v>28</v>
      </c>
      <c r="B23" s="314">
        <v>38800</v>
      </c>
      <c r="C23" s="314">
        <v>117600</v>
      </c>
      <c r="D23" s="314">
        <v>32.9</v>
      </c>
      <c r="E23" s="314">
        <v>7.2</v>
      </c>
      <c r="F23" s="314">
        <v>36100</v>
      </c>
      <c r="G23" s="314">
        <v>119700</v>
      </c>
      <c r="H23" s="314">
        <v>30.2</v>
      </c>
      <c r="I23" s="314">
        <v>6.9</v>
      </c>
      <c r="J23" s="314">
        <v>32700</v>
      </c>
      <c r="K23" s="314">
        <v>109600</v>
      </c>
      <c r="L23" s="314">
        <v>29.8</v>
      </c>
      <c r="M23" s="314">
        <v>7.5</v>
      </c>
      <c r="N23" s="314">
        <v>26800</v>
      </c>
      <c r="O23" s="314">
        <v>111100</v>
      </c>
      <c r="P23" s="314">
        <v>24.1</v>
      </c>
      <c r="Q23" s="314">
        <v>8.6</v>
      </c>
    </row>
    <row r="24" spans="1:17">
      <c r="A24" s="246" t="s">
        <v>29</v>
      </c>
      <c r="B24" s="314">
        <v>5700</v>
      </c>
      <c r="C24" s="314">
        <v>29100</v>
      </c>
      <c r="D24" s="314">
        <v>19.5</v>
      </c>
      <c r="E24" s="314">
        <v>8.9</v>
      </c>
      <c r="F24" s="314">
        <v>8000</v>
      </c>
      <c r="G24" s="314">
        <v>36100</v>
      </c>
      <c r="H24" s="314">
        <v>22.1</v>
      </c>
      <c r="I24" s="314">
        <v>9.9</v>
      </c>
      <c r="J24" s="314">
        <v>9900</v>
      </c>
      <c r="K24" s="314">
        <v>36300</v>
      </c>
      <c r="L24" s="314">
        <v>27.3</v>
      </c>
      <c r="M24" s="314">
        <v>11.4</v>
      </c>
      <c r="N24" s="314">
        <v>13100</v>
      </c>
      <c r="O24" s="314">
        <v>33200</v>
      </c>
      <c r="P24" s="314">
        <v>39.5</v>
      </c>
      <c r="Q24" s="314">
        <v>14.8</v>
      </c>
    </row>
    <row r="25" spans="1:17">
      <c r="A25" s="246" t="s">
        <v>30</v>
      </c>
      <c r="B25" s="314">
        <v>5200</v>
      </c>
      <c r="C25" s="314">
        <v>13500</v>
      </c>
      <c r="D25" s="314">
        <v>38.200000000000003</v>
      </c>
      <c r="E25" s="314">
        <v>8.5</v>
      </c>
      <c r="F25" s="314">
        <v>3800</v>
      </c>
      <c r="G25" s="314">
        <v>10100</v>
      </c>
      <c r="H25" s="314">
        <v>37.299999999999997</v>
      </c>
      <c r="I25" s="314">
        <v>10.8</v>
      </c>
      <c r="J25" s="314">
        <v>5100</v>
      </c>
      <c r="K25" s="314">
        <v>10100</v>
      </c>
      <c r="L25" s="314">
        <v>50.2</v>
      </c>
      <c r="M25" s="314">
        <v>12.1</v>
      </c>
      <c r="N25" s="314">
        <v>5900</v>
      </c>
      <c r="O25" s="314">
        <v>13000</v>
      </c>
      <c r="P25" s="314">
        <v>45.7</v>
      </c>
      <c r="Q25" s="314">
        <v>13.9</v>
      </c>
    </row>
    <row r="26" spans="1:17">
      <c r="A26" s="246" t="s">
        <v>31</v>
      </c>
      <c r="B26" s="314">
        <v>4200</v>
      </c>
      <c r="C26" s="314">
        <v>11800</v>
      </c>
      <c r="D26" s="314">
        <v>36</v>
      </c>
      <c r="E26" s="314">
        <v>11</v>
      </c>
      <c r="F26" s="314">
        <v>2800</v>
      </c>
      <c r="G26" s="314">
        <v>9900</v>
      </c>
      <c r="H26" s="314">
        <v>27.9</v>
      </c>
      <c r="I26" s="314">
        <v>11.5</v>
      </c>
      <c r="J26" s="314">
        <v>2700</v>
      </c>
      <c r="K26" s="314">
        <v>10900</v>
      </c>
      <c r="L26" s="314">
        <v>24.6</v>
      </c>
      <c r="M26" s="314">
        <v>12.1</v>
      </c>
      <c r="N26" s="314">
        <v>2100</v>
      </c>
      <c r="O26" s="314">
        <v>7600</v>
      </c>
      <c r="P26" s="314">
        <v>27.2</v>
      </c>
      <c r="Q26" s="314" t="s">
        <v>12</v>
      </c>
    </row>
    <row r="27" spans="1:17">
      <c r="A27" s="246" t="s">
        <v>32</v>
      </c>
      <c r="B27" s="314">
        <v>4000</v>
      </c>
      <c r="C27" s="314">
        <v>13100</v>
      </c>
      <c r="D27" s="314">
        <v>30.3</v>
      </c>
      <c r="E27" s="314">
        <v>9.1999999999999993</v>
      </c>
      <c r="F27" s="314">
        <v>4000</v>
      </c>
      <c r="G27" s="314">
        <v>14800</v>
      </c>
      <c r="H27" s="314">
        <v>27.1</v>
      </c>
      <c r="I27" s="314">
        <v>8.8000000000000007</v>
      </c>
      <c r="J27" s="314">
        <v>3200</v>
      </c>
      <c r="K27" s="314">
        <v>11700</v>
      </c>
      <c r="L27" s="314">
        <v>27.3</v>
      </c>
      <c r="M27" s="314">
        <v>10</v>
      </c>
      <c r="N27" s="314">
        <v>4600</v>
      </c>
      <c r="O27" s="314">
        <v>14900</v>
      </c>
      <c r="P27" s="314">
        <v>30.9</v>
      </c>
      <c r="Q27" s="314">
        <v>11</v>
      </c>
    </row>
    <row r="28" spans="1:17">
      <c r="A28" s="246" t="s">
        <v>33</v>
      </c>
      <c r="B28" s="314">
        <v>500</v>
      </c>
      <c r="C28" s="314">
        <v>2400</v>
      </c>
      <c r="D28" s="314">
        <v>21.6</v>
      </c>
      <c r="E28" s="314" t="s">
        <v>12</v>
      </c>
      <c r="F28" s="314">
        <v>700</v>
      </c>
      <c r="G28" s="314">
        <v>2700</v>
      </c>
      <c r="H28" s="314">
        <v>26.8</v>
      </c>
      <c r="I28" s="314" t="s">
        <v>12</v>
      </c>
      <c r="J28" s="314">
        <v>800</v>
      </c>
      <c r="K28" s="314">
        <v>2400</v>
      </c>
      <c r="L28" s="314">
        <v>32.700000000000003</v>
      </c>
      <c r="M28" s="314" t="s">
        <v>12</v>
      </c>
      <c r="N28" s="314">
        <v>1100</v>
      </c>
      <c r="O28" s="314">
        <v>3200</v>
      </c>
      <c r="P28" s="314">
        <v>35</v>
      </c>
      <c r="Q28" s="314" t="s">
        <v>12</v>
      </c>
    </row>
    <row r="29" spans="1:17">
      <c r="A29" s="246" t="s">
        <v>34</v>
      </c>
      <c r="B29" s="314">
        <v>8300</v>
      </c>
      <c r="C29" s="314">
        <v>22500</v>
      </c>
      <c r="D29" s="314">
        <v>37</v>
      </c>
      <c r="E29" s="314">
        <v>8.9</v>
      </c>
      <c r="F29" s="314">
        <v>9300</v>
      </c>
      <c r="G29" s="314">
        <v>23900</v>
      </c>
      <c r="H29" s="314">
        <v>39</v>
      </c>
      <c r="I29" s="314">
        <v>8.8000000000000007</v>
      </c>
      <c r="J29" s="314">
        <v>8200</v>
      </c>
      <c r="K29" s="314">
        <v>20100</v>
      </c>
      <c r="L29" s="314">
        <v>40.799999999999997</v>
      </c>
      <c r="M29" s="314">
        <v>9.3000000000000007</v>
      </c>
      <c r="N29" s="314">
        <v>9600</v>
      </c>
      <c r="O29" s="314">
        <v>22400</v>
      </c>
      <c r="P29" s="314">
        <v>43</v>
      </c>
      <c r="Q29" s="314">
        <v>10.9</v>
      </c>
    </row>
    <row r="30" spans="1:17">
      <c r="A30" s="246" t="s">
        <v>35</v>
      </c>
      <c r="B30" s="314">
        <v>17400</v>
      </c>
      <c r="C30" s="314">
        <v>55200</v>
      </c>
      <c r="D30" s="314">
        <v>31.5</v>
      </c>
      <c r="E30" s="314">
        <v>8.1999999999999993</v>
      </c>
      <c r="F30" s="314">
        <v>29800</v>
      </c>
      <c r="G30" s="314">
        <v>62800</v>
      </c>
      <c r="H30" s="314">
        <v>47.5</v>
      </c>
      <c r="I30" s="314">
        <v>9.1999999999999993</v>
      </c>
      <c r="J30" s="314">
        <v>26300</v>
      </c>
      <c r="K30" s="314">
        <v>65800</v>
      </c>
      <c r="L30" s="314">
        <v>40</v>
      </c>
      <c r="M30" s="314">
        <v>9.1</v>
      </c>
      <c r="N30" s="314">
        <v>22500</v>
      </c>
      <c r="O30" s="314">
        <v>60600</v>
      </c>
      <c r="P30" s="314">
        <v>37.200000000000003</v>
      </c>
      <c r="Q30" s="314">
        <v>10.9</v>
      </c>
    </row>
    <row r="31" spans="1:17">
      <c r="A31" s="246" t="s">
        <v>36</v>
      </c>
      <c r="B31" s="314" t="s">
        <v>71</v>
      </c>
      <c r="C31" s="314">
        <v>1700</v>
      </c>
      <c r="D31" s="314" t="s">
        <v>71</v>
      </c>
      <c r="E31" s="314" t="s">
        <v>71</v>
      </c>
      <c r="F31" s="314" t="s">
        <v>71</v>
      </c>
      <c r="G31" s="314">
        <v>2500</v>
      </c>
      <c r="H31" s="314" t="s">
        <v>71</v>
      </c>
      <c r="I31" s="314" t="s">
        <v>71</v>
      </c>
      <c r="J31" s="314" t="s">
        <v>71</v>
      </c>
      <c r="K31" s="314">
        <v>1500</v>
      </c>
      <c r="L31" s="314" t="s">
        <v>71</v>
      </c>
      <c r="M31" s="314" t="s">
        <v>71</v>
      </c>
      <c r="N31" s="314" t="s">
        <v>71</v>
      </c>
      <c r="O31" s="314">
        <v>1500</v>
      </c>
      <c r="P31" s="314" t="s">
        <v>71</v>
      </c>
      <c r="Q31" s="314" t="s">
        <v>71</v>
      </c>
    </row>
    <row r="32" spans="1:17">
      <c r="A32" s="246" t="s">
        <v>37</v>
      </c>
      <c r="B32" s="314">
        <v>3900</v>
      </c>
      <c r="C32" s="314">
        <v>18400</v>
      </c>
      <c r="D32" s="314">
        <v>21</v>
      </c>
      <c r="E32" s="314">
        <v>7.8</v>
      </c>
      <c r="F32" s="314">
        <v>3500</v>
      </c>
      <c r="G32" s="314">
        <v>17400</v>
      </c>
      <c r="H32" s="314">
        <v>20</v>
      </c>
      <c r="I32" s="314">
        <v>8.1</v>
      </c>
      <c r="J32" s="314">
        <v>5200</v>
      </c>
      <c r="K32" s="314">
        <v>19100</v>
      </c>
      <c r="L32" s="314">
        <v>27.4</v>
      </c>
      <c r="M32" s="314">
        <v>9</v>
      </c>
      <c r="N32" s="314">
        <v>4500</v>
      </c>
      <c r="O32" s="314">
        <v>19300</v>
      </c>
      <c r="P32" s="314">
        <v>23.4</v>
      </c>
      <c r="Q32" s="314">
        <v>10.5</v>
      </c>
    </row>
    <row r="33" spans="1:17">
      <c r="A33" s="246" t="s">
        <v>38</v>
      </c>
      <c r="B33" s="314">
        <v>5100</v>
      </c>
      <c r="C33" s="314">
        <v>21700</v>
      </c>
      <c r="D33" s="314">
        <v>23.4</v>
      </c>
      <c r="E33" s="314">
        <v>8.8000000000000007</v>
      </c>
      <c r="F33" s="314">
        <v>10300</v>
      </c>
      <c r="G33" s="314">
        <v>24400</v>
      </c>
      <c r="H33" s="314">
        <v>42.1</v>
      </c>
      <c r="I33" s="314">
        <v>10.199999999999999</v>
      </c>
      <c r="J33" s="314">
        <v>13500</v>
      </c>
      <c r="K33" s="314">
        <v>29400</v>
      </c>
      <c r="L33" s="314">
        <v>46.1</v>
      </c>
      <c r="M33" s="314">
        <v>10.7</v>
      </c>
      <c r="N33" s="314">
        <v>8700</v>
      </c>
      <c r="O33" s="314">
        <v>25100</v>
      </c>
      <c r="P33" s="314">
        <v>34.6</v>
      </c>
      <c r="Q33" s="314">
        <v>11.9</v>
      </c>
    </row>
    <row r="34" spans="1:17">
      <c r="A34" s="246" t="s">
        <v>39</v>
      </c>
      <c r="B34" s="314">
        <v>3200</v>
      </c>
      <c r="C34" s="314">
        <v>13200</v>
      </c>
      <c r="D34" s="314">
        <v>24.3</v>
      </c>
      <c r="E34" s="314">
        <v>9.4</v>
      </c>
      <c r="F34" s="314">
        <v>4900</v>
      </c>
      <c r="G34" s="314">
        <v>17100</v>
      </c>
      <c r="H34" s="314">
        <v>28.5</v>
      </c>
      <c r="I34" s="314">
        <v>9.5</v>
      </c>
      <c r="J34" s="314">
        <v>2400</v>
      </c>
      <c r="K34" s="314">
        <v>10100</v>
      </c>
      <c r="L34" s="314">
        <v>24</v>
      </c>
      <c r="M34" s="314">
        <v>10.199999999999999</v>
      </c>
      <c r="N34" s="314">
        <v>3100</v>
      </c>
      <c r="O34" s="314">
        <v>14000</v>
      </c>
      <c r="P34" s="314">
        <v>22.1</v>
      </c>
      <c r="Q34" s="314">
        <v>11</v>
      </c>
    </row>
    <row r="35" spans="1:17">
      <c r="A35" s="246" t="s">
        <v>40</v>
      </c>
      <c r="B35" s="314">
        <v>1500</v>
      </c>
      <c r="C35" s="314">
        <v>3600</v>
      </c>
      <c r="D35" s="314">
        <v>42.3</v>
      </c>
      <c r="E35" s="314" t="s">
        <v>12</v>
      </c>
      <c r="F35" s="314">
        <v>1200</v>
      </c>
      <c r="G35" s="314">
        <v>3700</v>
      </c>
      <c r="H35" s="314">
        <v>32.200000000000003</v>
      </c>
      <c r="I35" s="314" t="s">
        <v>12</v>
      </c>
      <c r="J35" s="314" t="s">
        <v>71</v>
      </c>
      <c r="K35" s="314">
        <v>3300</v>
      </c>
      <c r="L35" s="314" t="s">
        <v>71</v>
      </c>
      <c r="M35" s="314" t="s">
        <v>71</v>
      </c>
      <c r="N35" s="314" t="s">
        <v>71</v>
      </c>
      <c r="O35" s="314">
        <v>2200</v>
      </c>
      <c r="P35" s="314" t="s">
        <v>71</v>
      </c>
      <c r="Q35" s="314" t="s">
        <v>71</v>
      </c>
    </row>
    <row r="36" spans="1:17">
      <c r="A36" s="246" t="s">
        <v>41</v>
      </c>
      <c r="B36" s="314">
        <v>4600</v>
      </c>
      <c r="C36" s="314">
        <v>16000</v>
      </c>
      <c r="D36" s="314">
        <v>29</v>
      </c>
      <c r="E36" s="314">
        <v>8.5</v>
      </c>
      <c r="F36" s="314">
        <v>5200</v>
      </c>
      <c r="G36" s="314">
        <v>17800</v>
      </c>
      <c r="H36" s="314">
        <v>29.2</v>
      </c>
      <c r="I36" s="314">
        <v>8.5</v>
      </c>
      <c r="J36" s="314">
        <v>8300</v>
      </c>
      <c r="K36" s="314">
        <v>17700</v>
      </c>
      <c r="L36" s="314">
        <v>46.6</v>
      </c>
      <c r="M36" s="314">
        <v>10.199999999999999</v>
      </c>
      <c r="N36" s="314">
        <v>8500</v>
      </c>
      <c r="O36" s="314">
        <v>19800</v>
      </c>
      <c r="P36" s="314">
        <v>42.7</v>
      </c>
      <c r="Q36" s="314">
        <v>11.3</v>
      </c>
    </row>
    <row r="37" spans="1:17">
      <c r="A37" s="246" t="s">
        <v>42</v>
      </c>
      <c r="B37" s="314">
        <v>10900</v>
      </c>
      <c r="C37" s="314">
        <v>39600</v>
      </c>
      <c r="D37" s="314">
        <v>27.6</v>
      </c>
      <c r="E37" s="314">
        <v>8.8000000000000007</v>
      </c>
      <c r="F37" s="314">
        <v>10300</v>
      </c>
      <c r="G37" s="314">
        <v>38300</v>
      </c>
      <c r="H37" s="314">
        <v>26.9</v>
      </c>
      <c r="I37" s="314">
        <v>9.3000000000000007</v>
      </c>
      <c r="J37" s="314">
        <v>11100</v>
      </c>
      <c r="K37" s="314">
        <v>34500</v>
      </c>
      <c r="L37" s="314">
        <v>32.200000000000003</v>
      </c>
      <c r="M37" s="314">
        <v>9.6999999999999993</v>
      </c>
      <c r="N37" s="314">
        <v>16000</v>
      </c>
      <c r="O37" s="314">
        <v>42300</v>
      </c>
      <c r="P37" s="314">
        <v>37.700000000000003</v>
      </c>
      <c r="Q37" s="314">
        <v>12</v>
      </c>
    </row>
    <row r="38" spans="1:17">
      <c r="A38" s="242" t="s">
        <v>235</v>
      </c>
      <c r="B38" s="314">
        <f>SUM(B37,B30)</f>
        <v>28300</v>
      </c>
      <c r="C38" s="314">
        <f>SUM(C37,C30)</f>
        <v>94800</v>
      </c>
      <c r="D38" s="315">
        <f>100*(B38/C38)</f>
        <v>29.852320675105489</v>
      </c>
      <c r="E38" s="315"/>
      <c r="F38" s="314">
        <f>SUM(F37,F30)</f>
        <v>40100</v>
      </c>
      <c r="G38" s="314">
        <f>SUM(G37,G30)</f>
        <v>101100</v>
      </c>
      <c r="H38" s="315">
        <f>100*(F38/G38)</f>
        <v>39.663699307616227</v>
      </c>
      <c r="I38" s="315"/>
      <c r="J38" s="314">
        <f>SUM(J37,J30)</f>
        <v>37400</v>
      </c>
      <c r="K38" s="314">
        <f>SUM(K37,K30)</f>
        <v>100300</v>
      </c>
      <c r="L38" s="315">
        <f>100*(J38/K38)</f>
        <v>37.288135593220339</v>
      </c>
      <c r="M38" s="315"/>
      <c r="N38" s="314">
        <f>SUM(N37,N30)</f>
        <v>38500</v>
      </c>
      <c r="O38" s="314">
        <f>SUM(O37,O30)</f>
        <v>102900</v>
      </c>
      <c r="P38" s="315">
        <f>100*(N38/O38)</f>
        <v>37.414965986394563</v>
      </c>
      <c r="Q38" s="315"/>
    </row>
    <row r="39" spans="1:17">
      <c r="A39" s="246" t="s">
        <v>43</v>
      </c>
      <c r="B39" s="314">
        <v>3400</v>
      </c>
      <c r="C39" s="314">
        <v>13500</v>
      </c>
      <c r="D39" s="314">
        <v>25.2</v>
      </c>
      <c r="E39" s="314">
        <v>8.1999999999999993</v>
      </c>
      <c r="F39" s="314">
        <v>2700</v>
      </c>
      <c r="G39" s="314">
        <v>13800</v>
      </c>
      <c r="H39" s="314">
        <v>19.3</v>
      </c>
      <c r="I39" s="314">
        <v>8.5</v>
      </c>
      <c r="J39" s="314">
        <v>4200</v>
      </c>
      <c r="K39" s="314">
        <v>12100</v>
      </c>
      <c r="L39" s="314">
        <v>34.6</v>
      </c>
      <c r="M39" s="314">
        <v>9.6999999999999993</v>
      </c>
      <c r="N39" s="314">
        <v>3500</v>
      </c>
      <c r="O39" s="314">
        <v>10300</v>
      </c>
      <c r="P39" s="314">
        <v>33.700000000000003</v>
      </c>
      <c r="Q39" s="314">
        <v>12.2</v>
      </c>
    </row>
    <row r="40" spans="1:17">
      <c r="A40" s="246" t="s">
        <v>44</v>
      </c>
      <c r="B40" s="314">
        <v>4700</v>
      </c>
      <c r="C40" s="314">
        <v>12900</v>
      </c>
      <c r="D40" s="314">
        <v>36.700000000000003</v>
      </c>
      <c r="E40" s="314">
        <v>8.6</v>
      </c>
      <c r="F40" s="314">
        <v>5600</v>
      </c>
      <c r="G40" s="314">
        <v>14600</v>
      </c>
      <c r="H40" s="314">
        <v>38.1</v>
      </c>
      <c r="I40" s="314">
        <v>8.9</v>
      </c>
      <c r="J40" s="314">
        <v>5500</v>
      </c>
      <c r="K40" s="314">
        <v>12500</v>
      </c>
      <c r="L40" s="314">
        <v>43.8</v>
      </c>
      <c r="M40" s="314">
        <v>10</v>
      </c>
      <c r="N40" s="314">
        <v>4800</v>
      </c>
      <c r="O40" s="314">
        <v>14400</v>
      </c>
      <c r="P40" s="314">
        <v>33.4</v>
      </c>
      <c r="Q40" s="314">
        <v>10.1</v>
      </c>
    </row>
    <row r="41" spans="1:17">
      <c r="A41" s="246" t="s">
        <v>45</v>
      </c>
      <c r="B41" s="314">
        <v>9700</v>
      </c>
      <c r="C41" s="314">
        <v>27100</v>
      </c>
      <c r="D41" s="314">
        <v>35.6</v>
      </c>
      <c r="E41" s="314">
        <v>9.5</v>
      </c>
      <c r="F41" s="314">
        <v>7400</v>
      </c>
      <c r="G41" s="314">
        <v>28000</v>
      </c>
      <c r="H41" s="314">
        <v>26.5</v>
      </c>
      <c r="I41" s="314">
        <v>9.9</v>
      </c>
      <c r="J41" s="314">
        <v>8500</v>
      </c>
      <c r="K41" s="314">
        <v>25100</v>
      </c>
      <c r="L41" s="314">
        <v>34.1</v>
      </c>
      <c r="M41" s="314">
        <v>10.1</v>
      </c>
      <c r="N41" s="314">
        <v>5000</v>
      </c>
      <c r="O41" s="314">
        <v>25900</v>
      </c>
      <c r="P41" s="314">
        <v>19.3</v>
      </c>
      <c r="Q41" s="314">
        <v>9.6999999999999993</v>
      </c>
    </row>
    <row r="42" spans="1:17">
      <c r="A42" s="246"/>
      <c r="B42" s="239"/>
      <c r="C42" s="239"/>
      <c r="D42" s="240"/>
      <c r="E42" s="240"/>
      <c r="F42" s="239"/>
      <c r="G42" s="239"/>
      <c r="H42" s="240"/>
      <c r="I42" s="240"/>
      <c r="J42" s="239"/>
      <c r="K42" s="239"/>
      <c r="L42" s="240"/>
      <c r="M42" s="240"/>
      <c r="N42" s="239"/>
      <c r="O42" s="239"/>
      <c r="P42" s="240"/>
      <c r="Q42" s="240"/>
    </row>
    <row r="43" spans="1:17">
      <c r="A43" s="246" t="s">
        <v>46</v>
      </c>
      <c r="B43" s="314">
        <v>228600</v>
      </c>
      <c r="C43" s="314">
        <v>797300</v>
      </c>
      <c r="D43" s="314">
        <v>28.7</v>
      </c>
      <c r="E43" s="314">
        <v>1.5</v>
      </c>
      <c r="F43" s="314">
        <v>241600</v>
      </c>
      <c r="G43" s="314">
        <v>815200</v>
      </c>
      <c r="H43" s="314">
        <v>29.6</v>
      </c>
      <c r="I43" s="314">
        <v>1.7</v>
      </c>
      <c r="J43" s="314">
        <v>253000</v>
      </c>
      <c r="K43" s="314">
        <v>788500</v>
      </c>
      <c r="L43" s="314">
        <v>32.1</v>
      </c>
      <c r="M43" s="314">
        <v>1.8</v>
      </c>
      <c r="N43" s="314">
        <v>245300</v>
      </c>
      <c r="O43" s="314">
        <v>777000</v>
      </c>
      <c r="P43" s="314">
        <v>31.6</v>
      </c>
      <c r="Q43" s="314">
        <v>2.1</v>
      </c>
    </row>
    <row r="44" spans="1:17">
      <c r="A44" s="242" t="s">
        <v>47</v>
      </c>
      <c r="B44" s="314">
        <v>2099500</v>
      </c>
      <c r="C44" s="314">
        <v>8756500</v>
      </c>
      <c r="D44" s="314">
        <v>24</v>
      </c>
      <c r="E44" s="314">
        <v>0.5</v>
      </c>
      <c r="F44" s="314">
        <v>2235300</v>
      </c>
      <c r="G44" s="314">
        <v>8990700</v>
      </c>
      <c r="H44" s="314">
        <v>24.9</v>
      </c>
      <c r="I44" s="314">
        <v>0.5</v>
      </c>
      <c r="J44" s="314">
        <v>2350300</v>
      </c>
      <c r="K44" s="314">
        <v>9001600</v>
      </c>
      <c r="L44" s="314">
        <v>26.1</v>
      </c>
      <c r="M44" s="314">
        <v>0.6</v>
      </c>
      <c r="N44" s="314">
        <v>2446300</v>
      </c>
      <c r="O44" s="314">
        <v>8887200</v>
      </c>
      <c r="P44" s="314">
        <v>27.5</v>
      </c>
      <c r="Q44" s="314">
        <v>0.7</v>
      </c>
    </row>
    <row r="45" spans="1:17" customFormat="1">
      <c r="A45" s="10" t="s">
        <v>156</v>
      </c>
      <c r="B45" s="15" cm="1">
        <f t="array" ref="B45">SUM(SUMIFS(B$9:B$41,$A$9:$A$41,{"Aberdeen City","Aberdeenshire"}))</f>
        <v>17000</v>
      </c>
      <c r="C45" s="15" cm="1">
        <f t="array" ref="C45">SUM(SUMIFS(C$9:C$41,$A$9:$A$41,{"Aberdeen City","Aberdeenshire"}))</f>
        <v>65500</v>
      </c>
      <c r="D45" s="14">
        <f t="shared" ref="D45:D52" si="0">SUM(B45/C45)*100</f>
        <v>25.954198473282442</v>
      </c>
      <c r="E45" s="15"/>
      <c r="F45" s="15" cm="1">
        <f t="array" ref="F45">SUM(SUMIFS(F$9:F$41,$A$9:$A$41,{"Aberdeen City","Aberdeenshire"}))</f>
        <v>17000</v>
      </c>
      <c r="G45" s="15" cm="1">
        <f t="array" ref="G45">SUM(SUMIFS(G$9:G$41,$A$9:$A$41,{"Aberdeen City","Aberdeenshire"}))</f>
        <v>67600</v>
      </c>
      <c r="H45" s="14">
        <f t="shared" ref="H45:H52" si="1">SUM(F45/G45)*100</f>
        <v>25.147928994082839</v>
      </c>
      <c r="I45" s="15"/>
      <c r="J45" s="15" cm="1">
        <f t="array" ref="J45">SUM(SUMIFS(J$9:J$41,$A$9:$A$41,{"Aberdeen City","Aberdeenshire"}))</f>
        <v>19200</v>
      </c>
      <c r="K45" s="15" cm="1">
        <f t="array" ref="K45">SUM(SUMIFS(K$9:K$41,$A$9:$A$41,{"Aberdeen City","Aberdeenshire"}))</f>
        <v>69300</v>
      </c>
      <c r="L45" s="14">
        <f t="shared" ref="L45:L52" si="2">SUM(J45/K45)*100</f>
        <v>27.705627705627705</v>
      </c>
      <c r="M45" s="15"/>
      <c r="N45" s="15" cm="1">
        <f t="array" ref="N45">SUM(SUMIFS(N$9:N$41,$A$9:$A$41,{"Aberdeen City","Aberdeenshire"}))</f>
        <v>16100</v>
      </c>
      <c r="O45" s="15" cm="1">
        <f t="array" ref="O45">SUM(SUMIFS(O$9:O$41,$A$9:$A$41,{"Aberdeen City","Aberdeenshire"}))</f>
        <v>59100</v>
      </c>
      <c r="P45" s="14">
        <f t="shared" ref="P45:P52" si="3">SUM(N45/O45)*100</f>
        <v>27.241962774957702</v>
      </c>
      <c r="Q45" s="15"/>
    </row>
    <row r="46" spans="1:17" customFormat="1">
      <c r="A46" s="10" t="s">
        <v>359</v>
      </c>
      <c r="B46" s="125" cm="1">
        <f t="array" ref="B46">SUM(SUMIFS(B$9:B$41,$A$9:$A$41,{"Falkirk","Stirling","Clackmannanshire"}))</f>
        <v>11600</v>
      </c>
      <c r="C46" s="125" cm="1">
        <f t="array" ref="C46">SUM(SUMIFS(C$9:C$41,$A$9:$A$41,{"Falkirk","Stirling","Clackmannanshire"}))</f>
        <v>42000</v>
      </c>
      <c r="D46" s="316">
        <f t="shared" si="0"/>
        <v>27.61904761904762</v>
      </c>
      <c r="E46" s="14"/>
      <c r="F46" s="125" cm="1">
        <f t="array" ref="F46">SUM(SUMIFS(F$9:F$41,$A$9:$A$41,{"Falkirk","Stirling","Clackmannanshire"}))</f>
        <v>10500</v>
      </c>
      <c r="G46" s="125" cm="1">
        <f t="array" ref="G46">SUM(SUMIFS(G$9:G$41,$A$9:$A$41,{"Falkirk","Stirling","Clackmannanshire"}))</f>
        <v>44300</v>
      </c>
      <c r="H46" s="316">
        <f t="shared" si="1"/>
        <v>23.702031602708804</v>
      </c>
      <c r="I46" s="14"/>
      <c r="J46" s="125" cm="1">
        <f t="array" ref="J46">SUM(SUMIFS(J$9:J$41,$A$9:$A$41,{"Falkirk","Stirling","Clackmannanshire"}))</f>
        <v>14000</v>
      </c>
      <c r="K46" s="125" cm="1">
        <f t="array" ref="K46">SUM(SUMIFS(K$9:K$41,$A$9:$A$41,{"Falkirk","Stirling","Clackmannanshire"}))</f>
        <v>41700</v>
      </c>
      <c r="L46" s="316">
        <f t="shared" si="2"/>
        <v>33.573141486810556</v>
      </c>
      <c r="M46" s="14"/>
      <c r="N46" s="125" cm="1">
        <f t="array" ref="N46">SUM(SUMIFS(N$9:N$41,$A$9:$A$41,{"Falkirk","Stirling","Clackmannanshire"}))</f>
        <v>16300</v>
      </c>
      <c r="O46" s="125" cm="1">
        <f t="array" ref="O46">SUM(SUMIFS(O$9:O$41,$A$9:$A$41,{"Falkirk","Stirling","Clackmannanshire"}))</f>
        <v>44300</v>
      </c>
      <c r="P46" s="316">
        <f t="shared" si="3"/>
        <v>36.794582392776526</v>
      </c>
      <c r="Q46" s="14"/>
    </row>
    <row r="47" spans="1:17" customFormat="1">
      <c r="A47" s="10" t="s">
        <v>157</v>
      </c>
      <c r="B47" s="125" cm="1">
        <f t="array" ref="B47">SUM(SUMIFS(B$9:B$41,$A$9:$A$41,{"East Lothian","Edinburgh, City of","Fife","Midlothian","Scottish Borders","West Lothian"}))</f>
        <v>56100</v>
      </c>
      <c r="C47" s="125" cm="1">
        <f t="array" ref="C47">SUM(SUMIFS(C$9:C$41,$A$9:$A$41,{"East Lothian","Edinburgh, City of","Fife","Midlothian","Scottish Borders","West Lothian"}))</f>
        <v>203300</v>
      </c>
      <c r="D47" s="14">
        <f t="shared" si="0"/>
        <v>27.594687653713724</v>
      </c>
      <c r="E47" s="15"/>
      <c r="F47" s="125" cm="1">
        <f t="array" ref="F47">SUM(SUMIFS(F$9:F$41,$A$9:$A$41,{"East Lothian","Edinburgh, City of","Fife","Midlothian","Scottish Borders","West Lothian"}))</f>
        <v>49500</v>
      </c>
      <c r="G47" s="125" cm="1">
        <f t="array" ref="G47">SUM(SUMIFS(G$9:G$41,$A$9:$A$41,{"East Lothian","Edinburgh, City of","Fife","Midlothian","Scottish Borders","West Lothian"}))</f>
        <v>193700</v>
      </c>
      <c r="H47" s="14">
        <f t="shared" si="1"/>
        <v>25.554981930820858</v>
      </c>
      <c r="I47" s="15"/>
      <c r="J47" s="125" cm="1">
        <f t="array" ref="J47">SUM(SUMIFS(J$9:J$41,$A$9:$A$41,{"East Lothian","Edinburgh, City of","Fife","Midlothian","Scottish Borders","West Lothian"}))</f>
        <v>52100</v>
      </c>
      <c r="K47" s="125" cm="1">
        <f t="array" ref="K47">SUM(SUMIFS(K$9:K$41,$A$9:$A$41,{"East Lothian","Edinburgh, City of","Fife","Midlothian","Scottish Borders","West Lothian"}))</f>
        <v>181400</v>
      </c>
      <c r="L47" s="14">
        <f t="shared" si="2"/>
        <v>28.721058434399115</v>
      </c>
      <c r="M47" s="15"/>
      <c r="N47" s="125" cm="1">
        <f t="array" ref="N47">SUM(SUMIFS(N$9:N$41,$A$9:$A$41,{"East Lothian","Edinburgh, City of","Fife","Midlothian","Scottish Borders","West Lothian"}))</f>
        <v>40700</v>
      </c>
      <c r="O47" s="125" cm="1">
        <f t="array" ref="O47">SUM(SUMIFS(O$9:O$41,$A$9:$A$41,{"East Lothian","Edinburgh, City of","Fife","Midlothian","Scottish Borders","West Lothian"}))</f>
        <v>158700</v>
      </c>
      <c r="P47" s="14">
        <f t="shared" si="3"/>
        <v>25.645872715816004</v>
      </c>
      <c r="Q47" s="15"/>
    </row>
    <row r="48" spans="1:17" customFormat="1">
      <c r="A48" s="10" t="s">
        <v>158</v>
      </c>
      <c r="B48" s="125" cm="1">
        <f t="array" ref="B48">SUM(SUMIFS(B$9:B$41,$A$9:$A$41,{"Angus","Dundee City","Fife","Perth and Kinross"}))</f>
        <v>34700</v>
      </c>
      <c r="C48" s="125" cm="1">
        <f t="array" ref="C48">SUM(SUMIFS(C$9:C$41,$A$9:$A$41,{"Angus","Dundee City","Fife","Perth and Kinross"}))</f>
        <v>114100</v>
      </c>
      <c r="D48" s="14">
        <f t="shared" si="0"/>
        <v>30.411919368974583</v>
      </c>
      <c r="E48" s="15"/>
      <c r="F48" s="125" cm="1">
        <f t="array" ref="F48">SUM(SUMIFS(F$9:F$41,$A$9:$A$41,{"Angus","Dundee City","Fife","Perth and Kinross"}))</f>
        <v>38500</v>
      </c>
      <c r="G48" s="125" cm="1">
        <f t="array" ref="G48">SUM(SUMIFS(G$9:G$41,$A$9:$A$41,{"Angus","Dundee City","Fife","Perth and Kinross"}))</f>
        <v>115500</v>
      </c>
      <c r="H48" s="14">
        <f t="shared" si="1"/>
        <v>33.333333333333329</v>
      </c>
      <c r="I48" s="15"/>
      <c r="J48" s="125" cm="1">
        <f t="array" ref="J48">SUM(SUMIFS(J$9:J$41,$A$9:$A$41,{"Angus","Dundee City","Fife","Perth and Kinross"}))</f>
        <v>31900</v>
      </c>
      <c r="K48" s="125" cm="1">
        <f t="array" ref="K48">SUM(SUMIFS(K$9:K$41,$A$9:$A$41,{"Angus","Dundee City","Fife","Perth and Kinross"}))</f>
        <v>109000</v>
      </c>
      <c r="L48" s="14">
        <f t="shared" si="2"/>
        <v>29.266055045871557</v>
      </c>
      <c r="M48" s="15"/>
      <c r="N48" s="125" cm="1">
        <f t="array" ref="N48">SUM(SUMIFS(N$9:N$41,$A$9:$A$41,{"Angus","Dundee City","Fife","Perth and Kinross"}))</f>
        <v>36700</v>
      </c>
      <c r="O48" s="125" cm="1">
        <f t="array" ref="O48">SUM(SUMIFS(O$9:O$41,$A$9:$A$41,{"Angus","Dundee City","Fife","Perth and Kinross"}))</f>
        <v>114900</v>
      </c>
      <c r="P48" s="14">
        <f t="shared" si="3"/>
        <v>31.940818102698</v>
      </c>
      <c r="Q48" s="15"/>
    </row>
    <row r="49" spans="1:17">
      <c r="A49" s="242" t="s">
        <v>246</v>
      </c>
      <c r="B49" s="125" cm="1">
        <f t="array" ref="B49">SUM(SUMIFS(B$9:B$41,$A$9:$A$41,{"Na h-Eileanan Siar","Argyll and Bute","Shetland Islands","Highland","Orkney Islands","Scottish Borders","Dumfries and Galloway","Aberdeenshire"}))</f>
        <v>25800</v>
      </c>
      <c r="C49" s="125">
        <f>SUM(SUMIFS(C$9:C$41,$A$9:$A$41,{"Na h-Eileanan Siar","Argyll and Bute","Shetland Islands","Highland","Orkney Islands","Scottish Borders","Dumfries and Galloway","Aberdeenshire"}))</f>
        <v>114200</v>
      </c>
      <c r="D49" s="316">
        <f t="shared" si="0"/>
        <v>22.591943957968478</v>
      </c>
      <c r="E49" s="14"/>
      <c r="F49" s="125">
        <f>SUM(SUMIFS(F$9:F$41,$A$9:$A$41,{"Na h-Eileanan Siar","Argyll and Bute","Shetland Islands","Highland","Orkney Islands","Scottish Borders","Dumfries and Galloway","Aberdeenshire"}))</f>
        <v>33000</v>
      </c>
      <c r="G49" s="125">
        <f>SUM(SUMIFS(G$9:G$41,$A$9:$A$41,{"Na h-Eileanan Siar","Argyll and Bute","Shetland Islands","Highland","Orkney Islands","Scottish Borders","Dumfries and Galloway","Aberdeenshire"}))</f>
        <v>132800</v>
      </c>
      <c r="H49" s="316">
        <f t="shared" si="1"/>
        <v>24.849397590361448</v>
      </c>
      <c r="I49" s="14"/>
      <c r="J49" s="125">
        <f>SUM(SUMIFS(J$9:J$41,$A$9:$A$41,{"Na h-Eileanan Siar","Argyll and Bute","Shetland Islands","Highland","Orkney Islands","Scottish Borders","Dumfries and Galloway","Aberdeenshire"}))</f>
        <v>33100</v>
      </c>
      <c r="K49" s="125">
        <f>SUM(SUMIFS(K$9:K$41,$A$9:$A$41,{"Na h-Eileanan Siar","Argyll and Bute","Shetland Islands","Highland","Orkney Islands","Scottish Borders","Dumfries and Galloway","Aberdeenshire"}))</f>
        <v>120100</v>
      </c>
      <c r="L49" s="316">
        <f t="shared" si="2"/>
        <v>27.560366361365528</v>
      </c>
      <c r="M49" s="14"/>
      <c r="N49" s="125">
        <f>SUM(SUMIFS(N$9:N$41,$A$9:$A$41,{"Na h-Eileanan Siar","Argyll and Bute","Shetland Islands","Highland","Orkney Islands","Scottish Borders","Dumfries and Galloway","Aberdeenshire"}))</f>
        <v>37900</v>
      </c>
      <c r="O49" s="125">
        <f>SUM(SUMIFS(O$9:O$41,$A$9:$A$41,{"Na h-Eileanan Siar","Argyll and Bute","Shetland Islands","Highland","Orkney Islands","Scottish Borders","Dumfries and Galloway","Aberdeenshire"}))</f>
        <v>116800</v>
      </c>
      <c r="P49" s="316">
        <f t="shared" si="3"/>
        <v>32.448630136986303</v>
      </c>
      <c r="Q49" s="244"/>
    </row>
    <row r="50" spans="1:17">
      <c r="A50" s="242" t="s">
        <v>247</v>
      </c>
      <c r="B50" s="125">
        <f>SUM(SUMIFS(B$9:B$41,$A$9:$A$41,{"Perth and Kinross","Stirling","Moray","South Ayrshire","East Ayrshire","East Lothian","North Ayrshire","Fife"}))</f>
        <v>52700</v>
      </c>
      <c r="C50" s="125">
        <f>SUM(SUMIFS(C$9:C$41,$A$9:$A$41,{"Perth and Kinross","Stirling","Moray","South Ayrshire","East Ayrshire","East Lothian","North Ayrshire","Fife"}))</f>
        <v>171200</v>
      </c>
      <c r="D50" s="316">
        <f t="shared" si="0"/>
        <v>30.782710280373831</v>
      </c>
      <c r="E50" s="14"/>
      <c r="F50" s="125">
        <f>SUM(SUMIFS(F$9:F$41,$A$9:$A$41,{"Perth and Kinross","Stirling","Moray","South Ayrshire","East Ayrshire","East Lothian","North Ayrshire","Fife"}))</f>
        <v>52500</v>
      </c>
      <c r="G50" s="125">
        <f>SUM(SUMIFS(G$9:G$41,$A$9:$A$41,{"Perth and Kinross","Stirling","Moray","South Ayrshire","East Ayrshire","East Lothian","North Ayrshire","Fife"}))</f>
        <v>173400</v>
      </c>
      <c r="H50" s="316">
        <f t="shared" si="1"/>
        <v>30.276816608996537</v>
      </c>
      <c r="I50" s="14"/>
      <c r="J50" s="125">
        <f>SUM(SUMIFS(J$9:J$41,$A$9:$A$41,{"Perth and Kinross","Stirling","Moray","South Ayrshire","East Ayrshire","East Lothian","North Ayrshire","Fife"}))</f>
        <v>56800</v>
      </c>
      <c r="K50" s="125">
        <f>SUM(SUMIFS(K$9:K$41,$A$9:$A$41,{"Perth and Kinross","Stirling","Moray","South Ayrshire","East Ayrshire","East Lothian","North Ayrshire","Fife"}))</f>
        <v>165100</v>
      </c>
      <c r="L50" s="316">
        <f t="shared" si="2"/>
        <v>34.403391883706846</v>
      </c>
      <c r="M50" s="14"/>
      <c r="N50" s="125">
        <f>SUM(SUMIFS(N$9:N$41,$A$9:$A$41,{"Perth and Kinross","Stirling","Moray","South Ayrshire","East Ayrshire","East Lothian","North Ayrshire","Fife"}))</f>
        <v>58200</v>
      </c>
      <c r="O50" s="125">
        <f>SUM(SUMIFS(O$9:O$41,$A$9:$A$41,{"Perth and Kinross","Stirling","Moray","South Ayrshire","East Ayrshire","East Lothian","North Ayrshire","Fife"}))</f>
        <v>167700</v>
      </c>
      <c r="P50" s="316">
        <f t="shared" si="3"/>
        <v>34.704830053667266</v>
      </c>
      <c r="Q50" s="244"/>
    </row>
    <row r="51" spans="1:17">
      <c r="A51" s="242" t="s">
        <v>248</v>
      </c>
      <c r="B51" s="125">
        <f>SUM(SUMIFS(B$9:B$41,$A$9:$A$41,{"Angus","Clackmannanshire","Midlothian","South Lanarkshire","Inverclyde","Renfrewshire","West Lothian","East Renfrewshire"}))</f>
        <v>45500</v>
      </c>
      <c r="C51" s="125">
        <f>SUM(SUMIFS(C$9:C$41,$A$9:$A$41,{"Angus","Clackmannanshire","Midlothian","South Lanarkshire","Inverclyde","Renfrewshire","West Lothian","East Renfrewshire"}))</f>
        <v>151400</v>
      </c>
      <c r="D51" s="316">
        <f t="shared" si="0"/>
        <v>30.052840158520478</v>
      </c>
      <c r="E51" s="14"/>
      <c r="F51" s="125">
        <f>SUM(SUMIFS(F$9:F$41,$A$9:$A$41,{"Angus","Clackmannanshire","Midlothian","South Lanarkshire","Inverclyde","Renfrewshire","West Lothian","East Renfrewshire"}))</f>
        <v>45900</v>
      </c>
      <c r="G51" s="125">
        <f>SUM(SUMIFS(G$9:G$41,$A$9:$A$41,{"Angus","Clackmannanshire","Midlothian","South Lanarkshire","Inverclyde","Renfrewshire","West Lothian","East Renfrewshire"}))</f>
        <v>151100</v>
      </c>
      <c r="H51" s="316">
        <f t="shared" si="1"/>
        <v>30.377233620119128</v>
      </c>
      <c r="I51" s="14"/>
      <c r="J51" s="125">
        <f>SUM(SUMIFS(J$9:J$41,$A$9:$A$41,{"Angus","Clackmannanshire","Midlothian","South Lanarkshire","Inverclyde","Renfrewshire","West Lothian","East Renfrewshire"}))</f>
        <v>50700</v>
      </c>
      <c r="K51" s="125">
        <f>SUM(SUMIFS(K$9:K$41,$A$9:$A$41,{"Angus","Clackmannanshire","Midlothian","South Lanarkshire","Inverclyde","Renfrewshire","West Lothian","East Renfrewshire"}))</f>
        <v>147600</v>
      </c>
      <c r="L51" s="316">
        <f t="shared" si="2"/>
        <v>34.349593495934961</v>
      </c>
      <c r="M51" s="14"/>
      <c r="N51" s="125">
        <f>SUM(SUMIFS(N$9:N$41,$A$9:$A$41,{"Angus","Clackmannanshire","Midlothian","South Lanarkshire","Inverclyde","Renfrewshire","West Lothian","East Renfrewshire"}))</f>
        <v>51000</v>
      </c>
      <c r="O51" s="125">
        <f>SUM(SUMIFS(O$9:O$41,$A$9:$A$41,{"Angus","Clackmannanshire","Midlothian","South Lanarkshire","Inverclyde","Renfrewshire","West Lothian","East Renfrewshire"}))</f>
        <v>153000</v>
      </c>
      <c r="P51" s="316">
        <f t="shared" si="3"/>
        <v>33.333333333333329</v>
      </c>
      <c r="Q51" s="244"/>
    </row>
    <row r="52" spans="1:17">
      <c r="A52" s="242" t="s">
        <v>249</v>
      </c>
      <c r="B52" s="125">
        <f>SUM(SUMIFS(B$9:B$41,$A$9:$A$41,{"North Lanarkshire","Falkirk","East Dunbartonshire","Aberdeen City","Edinburgh, City of","West Dunbartonshire","Dundee City","Glasgow City"}))</f>
        <v>104700</v>
      </c>
      <c r="C52" s="125">
        <f>SUM(SUMIFS(C$9:C$41,$A$9:$A$41,{"North Lanarkshire","Falkirk","East Dunbartonshire","Aberdeen City","Edinburgh, City of","West Dunbartonshire","Dundee City","Glasgow City"}))</f>
        <v>360500</v>
      </c>
      <c r="D52" s="316">
        <f t="shared" si="0"/>
        <v>29.042995839112347</v>
      </c>
      <c r="E52" s="14"/>
      <c r="F52" s="125">
        <f>SUM(SUMIFS(F$9:F$41,$A$9:$A$41,{"North Lanarkshire","Falkirk","East Dunbartonshire","Aberdeen City","Edinburgh, City of","West Dunbartonshire","Dundee City","Glasgow City"}))</f>
        <v>110400</v>
      </c>
      <c r="G52" s="125">
        <f>SUM(SUMIFS(G$9:G$41,$A$9:$A$41,{"North Lanarkshire","Falkirk","East Dunbartonshire","Aberdeen City","Edinburgh, City of","West Dunbartonshire","Dundee City","Glasgow City"}))</f>
        <v>358000</v>
      </c>
      <c r="H52" s="316">
        <f t="shared" si="1"/>
        <v>30.837988826815643</v>
      </c>
      <c r="I52" s="14"/>
      <c r="J52" s="125">
        <f>SUM(SUMIFS(J$9:J$41,$A$9:$A$41,{"North Lanarkshire","Falkirk","East Dunbartonshire","Aberdeen City","Edinburgh, City of","West Dunbartonshire","Dundee City","Glasgow City"}))</f>
        <v>111800</v>
      </c>
      <c r="K52" s="125">
        <f>SUM(SUMIFS(K$9:K$41,$A$9:$A$41,{"North Lanarkshire","Falkirk","East Dunbartonshire","Aberdeen City","Edinburgh, City of","West Dunbartonshire","Dundee City","Glasgow City"}))</f>
        <v>355900</v>
      </c>
      <c r="L52" s="316">
        <f t="shared" si="2"/>
        <v>31.41331834785052</v>
      </c>
      <c r="M52" s="14"/>
      <c r="N52" s="125">
        <f>SUM(SUMIFS(N$9:N$41,$A$9:$A$41,{"North Lanarkshire","Falkirk","East Dunbartonshire","Aberdeen City","Edinburgh, City of","West Dunbartonshire","Dundee City","Glasgow City"}))</f>
        <v>97700</v>
      </c>
      <c r="O52" s="125">
        <f>SUM(SUMIFS(O$9:O$41,$A$9:$A$41,{"North Lanarkshire","Falkirk","East Dunbartonshire","Aberdeen City","Edinburgh, City of","West Dunbartonshire","Dundee City","Glasgow City"}))</f>
        <v>339300</v>
      </c>
      <c r="P52" s="316">
        <f t="shared" si="3"/>
        <v>28.794577070439136</v>
      </c>
      <c r="Q52" s="244"/>
    </row>
    <row r="53" spans="1:17">
      <c r="A53" s="242" t="s">
        <v>48</v>
      </c>
      <c r="B53" s="314">
        <v>88300</v>
      </c>
      <c r="C53" s="314">
        <v>288300</v>
      </c>
      <c r="D53" s="314">
        <v>30.6</v>
      </c>
      <c r="E53" s="314">
        <v>2.9</v>
      </c>
      <c r="F53" s="314">
        <v>103300</v>
      </c>
      <c r="G53" s="314">
        <v>301400</v>
      </c>
      <c r="H53" s="314">
        <v>34.299999999999997</v>
      </c>
      <c r="I53" s="314">
        <v>3.1</v>
      </c>
      <c r="J53" s="314">
        <v>100300</v>
      </c>
      <c r="K53" s="314">
        <v>287700</v>
      </c>
      <c r="L53" s="314">
        <v>34.9</v>
      </c>
      <c r="M53" s="314">
        <v>3.4</v>
      </c>
      <c r="N53" s="314">
        <v>91700</v>
      </c>
      <c r="O53" s="314">
        <v>293300</v>
      </c>
      <c r="P53" s="314">
        <v>31.3</v>
      </c>
      <c r="Q53" s="314">
        <v>3.9</v>
      </c>
    </row>
    <row r="55" spans="1:17">
      <c r="A55" s="247" t="s">
        <v>513</v>
      </c>
    </row>
    <row r="56" spans="1:17">
      <c r="A56" s="247" t="s">
        <v>13</v>
      </c>
    </row>
    <row r="57" spans="1:17">
      <c r="A57" s="247" t="s">
        <v>14</v>
      </c>
    </row>
  </sheetData>
  <mergeCells count="4">
    <mergeCell ref="B7:E7"/>
    <mergeCell ref="F7:I7"/>
    <mergeCell ref="J7:M7"/>
    <mergeCell ref="N7:Q7"/>
  </mergeCells>
  <conditionalFormatting sqref="A1:XFD1048576">
    <cfRule type="expression" dxfId="80"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autoPageBreaks="0"/>
  </sheetPr>
  <dimension ref="A1:Q52"/>
  <sheetViews>
    <sheetView zoomScale="70" zoomScaleNormal="70" workbookViewId="0">
      <selection activeCell="T38" sqref="T38"/>
    </sheetView>
  </sheetViews>
  <sheetFormatPr defaultColWidth="8.7109375" defaultRowHeight="15"/>
  <cols>
    <col min="1" max="1" width="25" customWidth="1" collapsed="1"/>
    <col min="2" max="17" width="14" customWidth="1" collapsed="1"/>
  </cols>
  <sheetData>
    <row r="1" spans="1:17" ht="15.75">
      <c r="A1" s="1" t="s">
        <v>0</v>
      </c>
    </row>
    <row r="2" spans="1:17">
      <c r="A2" s="2" t="s">
        <v>63</v>
      </c>
    </row>
    <row r="4" spans="1:17">
      <c r="A4" s="10" t="s">
        <v>2</v>
      </c>
      <c r="B4" s="10" t="s">
        <v>3</v>
      </c>
    </row>
    <row r="5" spans="1:17">
      <c r="A5" s="10" t="s">
        <v>4</v>
      </c>
      <c r="B5" s="10" t="s">
        <v>81</v>
      </c>
    </row>
    <row r="7" spans="1:17" ht="21.95" customHeight="1">
      <c r="A7" s="17" t="s">
        <v>7</v>
      </c>
      <c r="B7" s="478" t="s">
        <v>6</v>
      </c>
      <c r="C7" s="478"/>
      <c r="D7" s="478"/>
      <c r="E7" s="478"/>
      <c r="F7" s="478" t="s">
        <v>230</v>
      </c>
      <c r="G7" s="478"/>
      <c r="H7" s="478"/>
      <c r="I7" s="478"/>
      <c r="J7" s="478" t="s">
        <v>356</v>
      </c>
      <c r="K7" s="478"/>
      <c r="L7" s="478"/>
      <c r="M7" s="478"/>
      <c r="N7" s="478" t="s">
        <v>398</v>
      </c>
      <c r="O7" s="478"/>
      <c r="P7" s="478"/>
      <c r="Q7" s="478"/>
    </row>
    <row r="8" spans="1:17" ht="26.1" customHeight="1">
      <c r="B8" s="313" t="s">
        <v>8</v>
      </c>
      <c r="C8" s="313" t="s">
        <v>9</v>
      </c>
      <c r="D8" s="313" t="s">
        <v>10</v>
      </c>
      <c r="E8" s="313" t="s">
        <v>11</v>
      </c>
      <c r="F8" s="313" t="s">
        <v>8</v>
      </c>
      <c r="G8" s="313" t="s">
        <v>9</v>
      </c>
      <c r="H8" s="313" t="s">
        <v>10</v>
      </c>
      <c r="I8" s="313" t="s">
        <v>11</v>
      </c>
      <c r="J8" s="313" t="s">
        <v>8</v>
      </c>
      <c r="K8" s="313" t="s">
        <v>9</v>
      </c>
      <c r="L8" s="313" t="s">
        <v>10</v>
      </c>
      <c r="M8" s="313" t="s">
        <v>11</v>
      </c>
      <c r="N8" s="313" t="s">
        <v>8</v>
      </c>
      <c r="O8" s="313" t="s">
        <v>9</v>
      </c>
      <c r="P8" s="313" t="s">
        <v>10</v>
      </c>
      <c r="Q8" s="313" t="s">
        <v>11</v>
      </c>
    </row>
    <row r="9" spans="1:17">
      <c r="A9" s="10" t="s">
        <v>15</v>
      </c>
      <c r="B9" s="314">
        <v>35600</v>
      </c>
      <c r="C9" s="314">
        <v>156800</v>
      </c>
      <c r="D9" s="314">
        <v>22.7</v>
      </c>
      <c r="E9" s="314">
        <v>4</v>
      </c>
      <c r="F9" s="314">
        <v>30400</v>
      </c>
      <c r="G9" s="314">
        <v>154600</v>
      </c>
      <c r="H9" s="314">
        <v>19.600000000000001</v>
      </c>
      <c r="I9" s="314">
        <v>3.8</v>
      </c>
      <c r="J9" s="314">
        <v>39500</v>
      </c>
      <c r="K9" s="314">
        <v>158300</v>
      </c>
      <c r="L9" s="314">
        <v>24.9</v>
      </c>
      <c r="M9" s="314">
        <v>4.4000000000000004</v>
      </c>
      <c r="N9" s="314">
        <v>34100</v>
      </c>
      <c r="O9" s="314">
        <v>157800</v>
      </c>
      <c r="P9" s="314">
        <v>21.6</v>
      </c>
      <c r="Q9" s="314">
        <v>4.5999999999999996</v>
      </c>
    </row>
    <row r="10" spans="1:17">
      <c r="A10" s="10" t="s">
        <v>16</v>
      </c>
      <c r="B10" s="314">
        <v>29900</v>
      </c>
      <c r="C10" s="314">
        <v>164700</v>
      </c>
      <c r="D10" s="314">
        <v>18.2</v>
      </c>
      <c r="E10" s="314">
        <v>3.4</v>
      </c>
      <c r="F10" s="314">
        <v>37200</v>
      </c>
      <c r="G10" s="314">
        <v>165900</v>
      </c>
      <c r="H10" s="314">
        <v>22.4</v>
      </c>
      <c r="I10" s="314">
        <v>3.8</v>
      </c>
      <c r="J10" s="314">
        <v>29800</v>
      </c>
      <c r="K10" s="314">
        <v>168000</v>
      </c>
      <c r="L10" s="314">
        <v>17.7</v>
      </c>
      <c r="M10" s="314">
        <v>3.8</v>
      </c>
      <c r="N10" s="314">
        <v>25000</v>
      </c>
      <c r="O10" s="314">
        <v>170600</v>
      </c>
      <c r="P10" s="314">
        <v>14.6</v>
      </c>
      <c r="Q10" s="314">
        <v>4.3</v>
      </c>
    </row>
    <row r="11" spans="1:17">
      <c r="A11" s="10" t="s">
        <v>17</v>
      </c>
      <c r="B11" s="314">
        <v>17300</v>
      </c>
      <c r="C11" s="314">
        <v>68900</v>
      </c>
      <c r="D11" s="314">
        <v>25.1</v>
      </c>
      <c r="E11" s="314">
        <v>3.5</v>
      </c>
      <c r="F11" s="314">
        <v>16400</v>
      </c>
      <c r="G11" s="314">
        <v>69700</v>
      </c>
      <c r="H11" s="314">
        <v>23.5</v>
      </c>
      <c r="I11" s="314">
        <v>4</v>
      </c>
      <c r="J11" s="314">
        <v>16300</v>
      </c>
      <c r="K11" s="314">
        <v>69300</v>
      </c>
      <c r="L11" s="314">
        <v>23.5</v>
      </c>
      <c r="M11" s="314">
        <v>4.0999999999999996</v>
      </c>
      <c r="N11" s="314">
        <v>18600</v>
      </c>
      <c r="O11" s="314">
        <v>69800</v>
      </c>
      <c r="P11" s="314">
        <v>26.7</v>
      </c>
      <c r="Q11" s="314">
        <v>5.7</v>
      </c>
    </row>
    <row r="12" spans="1:17">
      <c r="A12" s="10" t="s">
        <v>18</v>
      </c>
      <c r="B12" s="314">
        <v>11100</v>
      </c>
      <c r="C12" s="314">
        <v>48500</v>
      </c>
      <c r="D12" s="314">
        <v>22.9</v>
      </c>
      <c r="E12" s="314">
        <v>3.7</v>
      </c>
      <c r="F12" s="314">
        <v>11600</v>
      </c>
      <c r="G12" s="314">
        <v>48200</v>
      </c>
      <c r="H12" s="314">
        <v>24</v>
      </c>
      <c r="I12" s="314">
        <v>4.3</v>
      </c>
      <c r="J12" s="314">
        <v>11900</v>
      </c>
      <c r="K12" s="314">
        <v>48800</v>
      </c>
      <c r="L12" s="314">
        <v>24.3</v>
      </c>
      <c r="M12" s="314">
        <v>4.9000000000000004</v>
      </c>
      <c r="N12" s="314">
        <v>14400</v>
      </c>
      <c r="O12" s="314">
        <v>48900</v>
      </c>
      <c r="P12" s="314">
        <v>29.5</v>
      </c>
      <c r="Q12" s="314">
        <v>6.8</v>
      </c>
    </row>
    <row r="13" spans="1:17">
      <c r="A13" s="10" t="s">
        <v>126</v>
      </c>
      <c r="B13" s="314">
        <v>81100</v>
      </c>
      <c r="C13" s="314">
        <v>358300</v>
      </c>
      <c r="D13" s="314">
        <v>22.6</v>
      </c>
      <c r="E13" s="314">
        <v>3.3</v>
      </c>
      <c r="F13" s="314">
        <v>69100</v>
      </c>
      <c r="G13" s="314">
        <v>352500</v>
      </c>
      <c r="H13" s="314">
        <v>19.600000000000001</v>
      </c>
      <c r="I13" s="314">
        <v>3.2</v>
      </c>
      <c r="J13" s="314">
        <v>70700</v>
      </c>
      <c r="K13" s="314">
        <v>357700</v>
      </c>
      <c r="L13" s="314">
        <v>19.8</v>
      </c>
      <c r="M13" s="314">
        <v>3.5</v>
      </c>
      <c r="N13" s="314">
        <v>50700</v>
      </c>
      <c r="O13" s="314">
        <v>356500</v>
      </c>
      <c r="P13" s="314">
        <v>14.2</v>
      </c>
      <c r="Q13" s="314">
        <v>3.4</v>
      </c>
    </row>
    <row r="14" spans="1:17">
      <c r="A14" s="10" t="s">
        <v>19</v>
      </c>
      <c r="B14" s="314">
        <v>7000</v>
      </c>
      <c r="C14" s="314">
        <v>31400</v>
      </c>
      <c r="D14" s="314">
        <v>22.3</v>
      </c>
      <c r="E14" s="314">
        <v>5.2</v>
      </c>
      <c r="F14" s="314">
        <v>8400</v>
      </c>
      <c r="G14" s="314">
        <v>31100</v>
      </c>
      <c r="H14" s="314">
        <v>27</v>
      </c>
      <c r="I14" s="314">
        <v>6.8</v>
      </c>
      <c r="J14" s="314">
        <v>9700</v>
      </c>
      <c r="K14" s="314">
        <v>31800</v>
      </c>
      <c r="L14" s="314">
        <v>30.5</v>
      </c>
      <c r="M14" s="314">
        <v>5.7</v>
      </c>
      <c r="N14" s="314">
        <v>9200</v>
      </c>
      <c r="O14" s="314">
        <v>32200</v>
      </c>
      <c r="P14" s="314">
        <v>28.6</v>
      </c>
      <c r="Q14" s="314">
        <v>6.4</v>
      </c>
    </row>
    <row r="15" spans="1:17">
      <c r="A15" s="10" t="s">
        <v>20</v>
      </c>
      <c r="B15" s="314">
        <v>23200</v>
      </c>
      <c r="C15" s="314">
        <v>84800</v>
      </c>
      <c r="D15" s="314">
        <v>27.4</v>
      </c>
      <c r="E15" s="314">
        <v>4.3</v>
      </c>
      <c r="F15" s="314">
        <v>21900</v>
      </c>
      <c r="G15" s="314">
        <v>84400</v>
      </c>
      <c r="H15" s="314">
        <v>26</v>
      </c>
      <c r="I15" s="314">
        <v>4.2</v>
      </c>
      <c r="J15" s="314">
        <v>24800</v>
      </c>
      <c r="K15" s="314">
        <v>84600</v>
      </c>
      <c r="L15" s="314">
        <v>29.3</v>
      </c>
      <c r="M15" s="314">
        <v>4.5999999999999996</v>
      </c>
      <c r="N15" s="314">
        <v>23300</v>
      </c>
      <c r="O15" s="314">
        <v>85200</v>
      </c>
      <c r="P15" s="314">
        <v>27.4</v>
      </c>
      <c r="Q15" s="314">
        <v>6.3</v>
      </c>
    </row>
    <row r="16" spans="1:17">
      <c r="A16" s="10" t="s">
        <v>21</v>
      </c>
      <c r="B16" s="314">
        <v>22200</v>
      </c>
      <c r="C16" s="314">
        <v>93700</v>
      </c>
      <c r="D16" s="314">
        <v>23.7</v>
      </c>
      <c r="E16" s="314">
        <v>3.6</v>
      </c>
      <c r="F16" s="314">
        <v>23400</v>
      </c>
      <c r="G16" s="314">
        <v>94600</v>
      </c>
      <c r="H16" s="314">
        <v>24.7</v>
      </c>
      <c r="I16" s="314">
        <v>4.2</v>
      </c>
      <c r="J16" s="314">
        <v>23700</v>
      </c>
      <c r="K16" s="314">
        <v>94900</v>
      </c>
      <c r="L16" s="314">
        <v>25</v>
      </c>
      <c r="M16" s="314">
        <v>4.2</v>
      </c>
      <c r="N16" s="314">
        <v>28100</v>
      </c>
      <c r="O16" s="314">
        <v>95900</v>
      </c>
      <c r="P16" s="314">
        <v>29.3</v>
      </c>
      <c r="Q16" s="314">
        <v>5.0999999999999996</v>
      </c>
    </row>
    <row r="17" spans="1:17">
      <c r="A17" s="10" t="s">
        <v>22</v>
      </c>
      <c r="B17" s="314">
        <v>17600</v>
      </c>
      <c r="C17" s="314">
        <v>72400</v>
      </c>
      <c r="D17" s="314">
        <v>24.3</v>
      </c>
      <c r="E17" s="314">
        <v>4</v>
      </c>
      <c r="F17" s="314">
        <v>16100</v>
      </c>
      <c r="G17" s="314">
        <v>73800</v>
      </c>
      <c r="H17" s="314">
        <v>21.9</v>
      </c>
      <c r="I17" s="314">
        <v>4.0999999999999996</v>
      </c>
      <c r="J17" s="314">
        <v>19800</v>
      </c>
      <c r="K17" s="314">
        <v>74200</v>
      </c>
      <c r="L17" s="314">
        <v>26.7</v>
      </c>
      <c r="M17" s="314">
        <v>4.4000000000000004</v>
      </c>
      <c r="N17" s="314">
        <v>20500</v>
      </c>
      <c r="O17" s="314">
        <v>73700</v>
      </c>
      <c r="P17" s="314">
        <v>27.9</v>
      </c>
      <c r="Q17" s="314">
        <v>5.7</v>
      </c>
    </row>
    <row r="18" spans="1:17">
      <c r="A18" s="10" t="s">
        <v>23</v>
      </c>
      <c r="B18" s="314">
        <v>14400</v>
      </c>
      <c r="C18" s="314">
        <v>64400</v>
      </c>
      <c r="D18" s="314">
        <v>22.4</v>
      </c>
      <c r="E18" s="314">
        <v>3.2</v>
      </c>
      <c r="F18" s="314">
        <v>15900</v>
      </c>
      <c r="G18" s="314">
        <v>64700</v>
      </c>
      <c r="H18" s="314">
        <v>24.6</v>
      </c>
      <c r="I18" s="314">
        <v>3.7</v>
      </c>
      <c r="J18" s="314">
        <v>14200</v>
      </c>
      <c r="K18" s="314">
        <v>64200</v>
      </c>
      <c r="L18" s="314">
        <v>22.1</v>
      </c>
      <c r="M18" s="314">
        <v>3.7</v>
      </c>
      <c r="N18" s="314">
        <v>15500</v>
      </c>
      <c r="O18" s="314">
        <v>63300</v>
      </c>
      <c r="P18" s="314">
        <v>24.5</v>
      </c>
      <c r="Q18" s="314">
        <v>4.5999999999999996</v>
      </c>
    </row>
    <row r="19" spans="1:17">
      <c r="A19" s="10" t="s">
        <v>24</v>
      </c>
      <c r="B19" s="314">
        <v>13900</v>
      </c>
      <c r="C19" s="314">
        <v>63900</v>
      </c>
      <c r="D19" s="314">
        <v>21.8</v>
      </c>
      <c r="E19" s="314">
        <v>4</v>
      </c>
      <c r="F19" s="314">
        <v>11300</v>
      </c>
      <c r="G19" s="314">
        <v>64800</v>
      </c>
      <c r="H19" s="314">
        <v>17.399999999999999</v>
      </c>
      <c r="I19" s="314">
        <v>4.2</v>
      </c>
      <c r="J19" s="314">
        <v>14700</v>
      </c>
      <c r="K19" s="314">
        <v>64600</v>
      </c>
      <c r="L19" s="314">
        <v>22.7</v>
      </c>
      <c r="M19" s="314">
        <v>4.5999999999999996</v>
      </c>
      <c r="N19" s="314">
        <v>11600</v>
      </c>
      <c r="O19" s="314">
        <v>65800</v>
      </c>
      <c r="P19" s="314">
        <v>17.600000000000001</v>
      </c>
      <c r="Q19" s="314">
        <v>5</v>
      </c>
    </row>
    <row r="20" spans="1:17">
      <c r="A20" s="10" t="s">
        <v>25</v>
      </c>
      <c r="B20" s="314">
        <v>13400</v>
      </c>
      <c r="C20" s="314">
        <v>57600</v>
      </c>
      <c r="D20" s="314">
        <v>23.3</v>
      </c>
      <c r="E20" s="314">
        <v>3.9</v>
      </c>
      <c r="F20" s="314">
        <v>15600</v>
      </c>
      <c r="G20" s="314">
        <v>56500</v>
      </c>
      <c r="H20" s="314">
        <v>27.6</v>
      </c>
      <c r="I20" s="314">
        <v>4.5</v>
      </c>
      <c r="J20" s="314">
        <v>11600</v>
      </c>
      <c r="K20" s="314">
        <v>56700</v>
      </c>
      <c r="L20" s="314">
        <v>20.5</v>
      </c>
      <c r="M20" s="314">
        <v>4.5</v>
      </c>
      <c r="N20" s="314">
        <v>11300</v>
      </c>
      <c r="O20" s="314">
        <v>55500</v>
      </c>
      <c r="P20" s="314">
        <v>20.399999999999999</v>
      </c>
      <c r="Q20" s="314">
        <v>5.5</v>
      </c>
    </row>
    <row r="21" spans="1:17">
      <c r="A21" s="10" t="s">
        <v>26</v>
      </c>
      <c r="B21" s="314">
        <v>21500</v>
      </c>
      <c r="C21" s="314">
        <v>101500</v>
      </c>
      <c r="D21" s="314">
        <v>21.2</v>
      </c>
      <c r="E21" s="314">
        <v>3.9</v>
      </c>
      <c r="F21" s="314">
        <v>22100</v>
      </c>
      <c r="G21" s="314">
        <v>101000</v>
      </c>
      <c r="H21" s="314">
        <v>21.9</v>
      </c>
      <c r="I21" s="314">
        <v>4.2</v>
      </c>
      <c r="J21" s="314">
        <v>19900</v>
      </c>
      <c r="K21" s="314">
        <v>101700</v>
      </c>
      <c r="L21" s="314">
        <v>19.5</v>
      </c>
      <c r="M21" s="314">
        <v>4</v>
      </c>
      <c r="N21" s="314">
        <v>24800</v>
      </c>
      <c r="O21" s="314">
        <v>100300</v>
      </c>
      <c r="P21" s="314">
        <v>24.8</v>
      </c>
      <c r="Q21" s="314">
        <v>4.9000000000000004</v>
      </c>
    </row>
    <row r="22" spans="1:17">
      <c r="A22" s="10" t="s">
        <v>27</v>
      </c>
      <c r="B22" s="314">
        <v>56200</v>
      </c>
      <c r="C22" s="314">
        <v>228900</v>
      </c>
      <c r="D22" s="314">
        <v>24.6</v>
      </c>
      <c r="E22" s="314">
        <v>3.4</v>
      </c>
      <c r="F22" s="314">
        <v>58300</v>
      </c>
      <c r="G22" s="314">
        <v>223900</v>
      </c>
      <c r="H22" s="314">
        <v>26</v>
      </c>
      <c r="I22" s="314">
        <v>3.7</v>
      </c>
      <c r="J22" s="314">
        <v>49900</v>
      </c>
      <c r="K22" s="314">
        <v>226300</v>
      </c>
      <c r="L22" s="314">
        <v>22.1</v>
      </c>
      <c r="M22" s="314">
        <v>3.6</v>
      </c>
      <c r="N22" s="314">
        <v>48900</v>
      </c>
      <c r="O22" s="314">
        <v>224600</v>
      </c>
      <c r="P22" s="314">
        <v>21.8</v>
      </c>
      <c r="Q22" s="314">
        <v>3.7</v>
      </c>
    </row>
    <row r="23" spans="1:17">
      <c r="A23" s="10" t="s">
        <v>28</v>
      </c>
      <c r="B23" s="314">
        <v>117600</v>
      </c>
      <c r="C23" s="314">
        <v>436800</v>
      </c>
      <c r="D23" s="314">
        <v>26.9</v>
      </c>
      <c r="E23" s="314">
        <v>3.5</v>
      </c>
      <c r="F23" s="314">
        <v>119700</v>
      </c>
      <c r="G23" s="314">
        <v>435400</v>
      </c>
      <c r="H23" s="314">
        <v>27.5</v>
      </c>
      <c r="I23" s="314">
        <v>3.4</v>
      </c>
      <c r="J23" s="314">
        <v>109600</v>
      </c>
      <c r="K23" s="314">
        <v>431300</v>
      </c>
      <c r="L23" s="314">
        <v>25.4</v>
      </c>
      <c r="M23" s="314">
        <v>3.5</v>
      </c>
      <c r="N23" s="314">
        <v>111100</v>
      </c>
      <c r="O23" s="314">
        <v>434100</v>
      </c>
      <c r="P23" s="314">
        <v>25.6</v>
      </c>
      <c r="Q23" s="314">
        <v>4.4000000000000004</v>
      </c>
    </row>
    <row r="24" spans="1:17">
      <c r="A24" s="10" t="s">
        <v>29</v>
      </c>
      <c r="B24" s="314">
        <v>29100</v>
      </c>
      <c r="C24" s="314">
        <v>142300</v>
      </c>
      <c r="D24" s="314">
        <v>20.5</v>
      </c>
      <c r="E24" s="314">
        <v>4.3</v>
      </c>
      <c r="F24" s="314">
        <v>36100</v>
      </c>
      <c r="G24" s="314">
        <v>143000</v>
      </c>
      <c r="H24" s="314">
        <v>25.3</v>
      </c>
      <c r="I24" s="314">
        <v>5.4</v>
      </c>
      <c r="J24" s="314">
        <v>36300</v>
      </c>
      <c r="K24" s="314">
        <v>141200</v>
      </c>
      <c r="L24" s="314">
        <v>25.7</v>
      </c>
      <c r="M24" s="314">
        <v>5.7</v>
      </c>
      <c r="N24" s="314">
        <v>33200</v>
      </c>
      <c r="O24" s="314">
        <v>145000</v>
      </c>
      <c r="P24" s="314">
        <v>22.9</v>
      </c>
      <c r="Q24" s="314">
        <v>6.2</v>
      </c>
    </row>
    <row r="25" spans="1:17">
      <c r="A25" s="10" t="s">
        <v>30</v>
      </c>
      <c r="B25" s="314">
        <v>13500</v>
      </c>
      <c r="C25" s="314">
        <v>47400</v>
      </c>
      <c r="D25" s="314">
        <v>28.5</v>
      </c>
      <c r="E25" s="314">
        <v>4.2</v>
      </c>
      <c r="F25" s="314">
        <v>10100</v>
      </c>
      <c r="G25" s="314">
        <v>46900</v>
      </c>
      <c r="H25" s="314">
        <v>21.5</v>
      </c>
      <c r="I25" s="314">
        <v>4.2</v>
      </c>
      <c r="J25" s="314">
        <v>10100</v>
      </c>
      <c r="K25" s="314">
        <v>46600</v>
      </c>
      <c r="L25" s="314">
        <v>21.6</v>
      </c>
      <c r="M25" s="314">
        <v>4.7</v>
      </c>
      <c r="N25" s="314">
        <v>13000</v>
      </c>
      <c r="O25" s="314">
        <v>47200</v>
      </c>
      <c r="P25" s="314">
        <v>27.5</v>
      </c>
      <c r="Q25" s="314">
        <v>6.5</v>
      </c>
    </row>
    <row r="26" spans="1:17">
      <c r="A26" s="10" t="s">
        <v>31</v>
      </c>
      <c r="B26" s="314">
        <v>11800</v>
      </c>
      <c r="C26" s="314">
        <v>55700</v>
      </c>
      <c r="D26" s="314">
        <v>21.1</v>
      </c>
      <c r="E26" s="314">
        <v>4.3</v>
      </c>
      <c r="F26" s="314">
        <v>9900</v>
      </c>
      <c r="G26" s="314">
        <v>57400</v>
      </c>
      <c r="H26" s="314">
        <v>17.3</v>
      </c>
      <c r="I26" s="314">
        <v>4.2</v>
      </c>
      <c r="J26" s="314">
        <v>10900</v>
      </c>
      <c r="K26" s="314">
        <v>57000</v>
      </c>
      <c r="L26" s="314">
        <v>19.100000000000001</v>
      </c>
      <c r="M26" s="314">
        <v>4.9000000000000004</v>
      </c>
      <c r="N26" s="314">
        <v>7600</v>
      </c>
      <c r="O26" s="314">
        <v>57000</v>
      </c>
      <c r="P26" s="314">
        <v>13.4</v>
      </c>
      <c r="Q26" s="314">
        <v>5.0999999999999996</v>
      </c>
    </row>
    <row r="27" spans="1:17">
      <c r="A27" s="10" t="s">
        <v>32</v>
      </c>
      <c r="B27" s="314">
        <v>13100</v>
      </c>
      <c r="C27" s="314">
        <v>59200</v>
      </c>
      <c r="D27" s="314">
        <v>22.2</v>
      </c>
      <c r="E27" s="314">
        <v>3.9</v>
      </c>
      <c r="F27" s="314">
        <v>14800</v>
      </c>
      <c r="G27" s="314">
        <v>59900</v>
      </c>
      <c r="H27" s="314">
        <v>24.7</v>
      </c>
      <c r="I27" s="314">
        <v>4.4000000000000004</v>
      </c>
      <c r="J27" s="314">
        <v>11700</v>
      </c>
      <c r="K27" s="314">
        <v>59800</v>
      </c>
      <c r="L27" s="314">
        <v>19.600000000000001</v>
      </c>
      <c r="M27" s="314">
        <v>4.0999999999999996</v>
      </c>
      <c r="N27" s="314">
        <v>14900</v>
      </c>
      <c r="O27" s="314">
        <v>60500</v>
      </c>
      <c r="P27" s="314">
        <v>24.7</v>
      </c>
      <c r="Q27" s="314">
        <v>5.4</v>
      </c>
    </row>
    <row r="28" spans="1:17">
      <c r="A28" s="10" t="s">
        <v>33</v>
      </c>
      <c r="B28" s="314">
        <v>2400</v>
      </c>
      <c r="C28" s="314">
        <v>15100</v>
      </c>
      <c r="D28" s="314">
        <v>15.6</v>
      </c>
      <c r="E28" s="314">
        <v>4.4000000000000004</v>
      </c>
      <c r="F28" s="314">
        <v>2700</v>
      </c>
      <c r="G28" s="314">
        <v>15100</v>
      </c>
      <c r="H28" s="314">
        <v>17.600000000000001</v>
      </c>
      <c r="I28" s="314">
        <v>5.7</v>
      </c>
      <c r="J28" s="314">
        <v>2400</v>
      </c>
      <c r="K28" s="314">
        <v>15100</v>
      </c>
      <c r="L28" s="314">
        <v>15.9</v>
      </c>
      <c r="M28" s="314">
        <v>6.2</v>
      </c>
      <c r="N28" s="314">
        <v>3200</v>
      </c>
      <c r="O28" s="314">
        <v>15400</v>
      </c>
      <c r="P28" s="314">
        <v>20.9</v>
      </c>
      <c r="Q28" s="314">
        <v>8.6999999999999993</v>
      </c>
    </row>
    <row r="29" spans="1:17">
      <c r="A29" s="10" t="s">
        <v>34</v>
      </c>
      <c r="B29" s="314">
        <v>22500</v>
      </c>
      <c r="C29" s="314">
        <v>78400</v>
      </c>
      <c r="D29" s="314">
        <v>28.7</v>
      </c>
      <c r="E29" s="314">
        <v>4.5</v>
      </c>
      <c r="F29" s="314">
        <v>23900</v>
      </c>
      <c r="G29" s="314">
        <v>78700</v>
      </c>
      <c r="H29" s="314">
        <v>30.4</v>
      </c>
      <c r="I29" s="314">
        <v>4.5</v>
      </c>
      <c r="J29" s="314">
        <v>20100</v>
      </c>
      <c r="K29" s="314">
        <v>79600</v>
      </c>
      <c r="L29" s="314">
        <v>25.2</v>
      </c>
      <c r="M29" s="314">
        <v>4.2</v>
      </c>
      <c r="N29" s="314">
        <v>22400</v>
      </c>
      <c r="O29" s="314">
        <v>80900</v>
      </c>
      <c r="P29" s="314">
        <v>27.7</v>
      </c>
      <c r="Q29" s="314">
        <v>5.5</v>
      </c>
    </row>
    <row r="30" spans="1:17">
      <c r="A30" s="10" t="s">
        <v>35</v>
      </c>
      <c r="B30" s="314">
        <v>55200</v>
      </c>
      <c r="C30" s="314">
        <v>216300</v>
      </c>
      <c r="D30" s="314">
        <v>25.5</v>
      </c>
      <c r="E30" s="314">
        <v>3.9</v>
      </c>
      <c r="F30" s="314">
        <v>62800</v>
      </c>
      <c r="G30" s="314">
        <v>217200</v>
      </c>
      <c r="H30" s="314">
        <v>28.9</v>
      </c>
      <c r="I30" s="314">
        <v>4.3</v>
      </c>
      <c r="J30" s="314">
        <v>65800</v>
      </c>
      <c r="K30" s="314">
        <v>219800</v>
      </c>
      <c r="L30" s="314">
        <v>29.9</v>
      </c>
      <c r="M30" s="314">
        <v>4.5999999999999996</v>
      </c>
      <c r="N30" s="314">
        <v>60600</v>
      </c>
      <c r="O30" s="314">
        <v>219800</v>
      </c>
      <c r="P30" s="314">
        <v>27.6</v>
      </c>
      <c r="Q30" s="314">
        <v>5.2</v>
      </c>
    </row>
    <row r="31" spans="1:17" ht="14.1" customHeight="1">
      <c r="A31" s="10" t="s">
        <v>36</v>
      </c>
      <c r="B31" s="314">
        <v>1700</v>
      </c>
      <c r="C31" s="314">
        <v>12700</v>
      </c>
      <c r="D31" s="314">
        <v>13.1</v>
      </c>
      <c r="E31" s="314" t="s">
        <v>12</v>
      </c>
      <c r="F31" s="314">
        <v>2500</v>
      </c>
      <c r="G31" s="314">
        <v>12700</v>
      </c>
      <c r="H31" s="314">
        <v>19.399999999999999</v>
      </c>
      <c r="I31" s="314" t="s">
        <v>12</v>
      </c>
      <c r="J31" s="314">
        <v>1500</v>
      </c>
      <c r="K31" s="314">
        <v>12100</v>
      </c>
      <c r="L31" s="314">
        <v>12.5</v>
      </c>
      <c r="M31" s="314" t="s">
        <v>12</v>
      </c>
      <c r="N31" s="314">
        <v>1500</v>
      </c>
      <c r="O31" s="314">
        <v>13000</v>
      </c>
      <c r="P31" s="314">
        <v>11.7</v>
      </c>
      <c r="Q31" s="314" t="s">
        <v>12</v>
      </c>
    </row>
    <row r="32" spans="1:17">
      <c r="A32" s="10" t="s">
        <v>37</v>
      </c>
      <c r="B32" s="314">
        <v>18400</v>
      </c>
      <c r="C32" s="314">
        <v>90200</v>
      </c>
      <c r="D32" s="314">
        <v>20.399999999999999</v>
      </c>
      <c r="E32" s="314">
        <v>3.5</v>
      </c>
      <c r="F32" s="314">
        <v>17400</v>
      </c>
      <c r="G32" s="314">
        <v>89100</v>
      </c>
      <c r="H32" s="314">
        <v>19.600000000000001</v>
      </c>
      <c r="I32" s="314">
        <v>3.6</v>
      </c>
      <c r="J32" s="314">
        <v>19100</v>
      </c>
      <c r="K32" s="314">
        <v>89400</v>
      </c>
      <c r="L32" s="314">
        <v>21.3</v>
      </c>
      <c r="M32" s="314">
        <v>4</v>
      </c>
      <c r="N32" s="314">
        <v>19300</v>
      </c>
      <c r="O32" s="314">
        <v>91700</v>
      </c>
      <c r="P32" s="314">
        <v>21</v>
      </c>
      <c r="Q32" s="314">
        <v>4.7</v>
      </c>
    </row>
    <row r="33" spans="1:17">
      <c r="A33" s="10" t="s">
        <v>38</v>
      </c>
      <c r="B33" s="314">
        <v>21700</v>
      </c>
      <c r="C33" s="314">
        <v>112500</v>
      </c>
      <c r="D33" s="314">
        <v>19.2</v>
      </c>
      <c r="E33" s="314">
        <v>3.7</v>
      </c>
      <c r="F33" s="314">
        <v>24400</v>
      </c>
      <c r="G33" s="314">
        <v>111900</v>
      </c>
      <c r="H33" s="314">
        <v>21.8</v>
      </c>
      <c r="I33" s="314">
        <v>4</v>
      </c>
      <c r="J33" s="314">
        <v>29400</v>
      </c>
      <c r="K33" s="314">
        <v>113600</v>
      </c>
      <c r="L33" s="314">
        <v>25.9</v>
      </c>
      <c r="M33" s="314">
        <v>4.7</v>
      </c>
      <c r="N33" s="314">
        <v>25100</v>
      </c>
      <c r="O33" s="314">
        <v>112100</v>
      </c>
      <c r="P33" s="314">
        <v>22.4</v>
      </c>
      <c r="Q33" s="314">
        <v>5</v>
      </c>
    </row>
    <row r="34" spans="1:17">
      <c r="A34" s="10" t="s">
        <v>39</v>
      </c>
      <c r="B34" s="314">
        <v>13200</v>
      </c>
      <c r="C34" s="314">
        <v>66400</v>
      </c>
      <c r="D34" s="314">
        <v>19.899999999999999</v>
      </c>
      <c r="E34" s="314">
        <v>3.9</v>
      </c>
      <c r="F34" s="314">
        <v>17100</v>
      </c>
      <c r="G34" s="314">
        <v>66000</v>
      </c>
      <c r="H34" s="314">
        <v>25.9</v>
      </c>
      <c r="I34" s="314">
        <v>4.5999999999999996</v>
      </c>
      <c r="J34" s="314">
        <v>10100</v>
      </c>
      <c r="K34" s="314">
        <v>66500</v>
      </c>
      <c r="L34" s="314">
        <v>15.2</v>
      </c>
      <c r="M34" s="314">
        <v>3.6</v>
      </c>
      <c r="N34" s="314">
        <v>14000</v>
      </c>
      <c r="O34" s="314">
        <v>66000</v>
      </c>
      <c r="P34" s="314">
        <v>21.3</v>
      </c>
      <c r="Q34" s="314">
        <v>5.3</v>
      </c>
    </row>
    <row r="35" spans="1:17">
      <c r="A35" s="10" t="s">
        <v>40</v>
      </c>
      <c r="B35" s="314">
        <v>3600</v>
      </c>
      <c r="C35" s="314">
        <v>14300</v>
      </c>
      <c r="D35" s="314">
        <v>25.4</v>
      </c>
      <c r="E35" s="314">
        <v>11.6</v>
      </c>
      <c r="F35" s="314">
        <v>3700</v>
      </c>
      <c r="G35" s="314">
        <v>13900</v>
      </c>
      <c r="H35" s="314">
        <v>26.3</v>
      </c>
      <c r="I35" s="314">
        <v>14.4</v>
      </c>
      <c r="J35" s="314">
        <v>3300</v>
      </c>
      <c r="K35" s="314">
        <v>14000</v>
      </c>
      <c r="L35" s="314">
        <v>23.9</v>
      </c>
      <c r="M35" s="314">
        <v>14.3</v>
      </c>
      <c r="N35" s="314">
        <v>2200</v>
      </c>
      <c r="O35" s="314">
        <v>14200</v>
      </c>
      <c r="P35" s="314">
        <v>15.7</v>
      </c>
      <c r="Q35" s="314" t="s">
        <v>12</v>
      </c>
    </row>
    <row r="36" spans="1:17">
      <c r="A36" s="10" t="s">
        <v>41</v>
      </c>
      <c r="B36" s="314">
        <v>16000</v>
      </c>
      <c r="C36" s="314">
        <v>64700</v>
      </c>
      <c r="D36" s="314">
        <v>24.7</v>
      </c>
      <c r="E36" s="314">
        <v>4.0999999999999996</v>
      </c>
      <c r="F36" s="314">
        <v>17800</v>
      </c>
      <c r="G36" s="314">
        <v>65400</v>
      </c>
      <c r="H36" s="314">
        <v>27.2</v>
      </c>
      <c r="I36" s="314">
        <v>4.5</v>
      </c>
      <c r="J36" s="314">
        <v>17700</v>
      </c>
      <c r="K36" s="314">
        <v>64100</v>
      </c>
      <c r="L36" s="314">
        <v>27.7</v>
      </c>
      <c r="M36" s="314">
        <v>4.8</v>
      </c>
      <c r="N36" s="314">
        <v>19800</v>
      </c>
      <c r="O36" s="314">
        <v>64800</v>
      </c>
      <c r="P36" s="314">
        <v>30.6</v>
      </c>
      <c r="Q36" s="314">
        <v>6</v>
      </c>
    </row>
    <row r="37" spans="1:17">
      <c r="A37" s="10" t="s">
        <v>42</v>
      </c>
      <c r="B37" s="314">
        <v>39600</v>
      </c>
      <c r="C37" s="314">
        <v>197200</v>
      </c>
      <c r="D37" s="314">
        <v>20.100000000000001</v>
      </c>
      <c r="E37" s="314">
        <v>3.5</v>
      </c>
      <c r="F37" s="314">
        <v>38300</v>
      </c>
      <c r="G37" s="314">
        <v>197800</v>
      </c>
      <c r="H37" s="314">
        <v>19.399999999999999</v>
      </c>
      <c r="I37" s="314">
        <v>3.6</v>
      </c>
      <c r="J37" s="314">
        <v>34500</v>
      </c>
      <c r="K37" s="314">
        <v>196000</v>
      </c>
      <c r="L37" s="314">
        <v>17.600000000000001</v>
      </c>
      <c r="M37" s="314">
        <v>3.5</v>
      </c>
      <c r="N37" s="314">
        <v>42300</v>
      </c>
      <c r="O37" s="314">
        <v>199800</v>
      </c>
      <c r="P37" s="314">
        <v>21.2</v>
      </c>
      <c r="Q37" s="314">
        <v>4.5999999999999996</v>
      </c>
    </row>
    <row r="38" spans="1:17">
      <c r="A38" s="10" t="s">
        <v>43</v>
      </c>
      <c r="B38" s="314">
        <v>13500</v>
      </c>
      <c r="C38" s="314">
        <v>58600</v>
      </c>
      <c r="D38" s="314">
        <v>23</v>
      </c>
      <c r="E38" s="314">
        <v>3.9</v>
      </c>
      <c r="F38" s="314">
        <v>13800</v>
      </c>
      <c r="G38" s="314">
        <v>58700</v>
      </c>
      <c r="H38" s="314">
        <v>23.5</v>
      </c>
      <c r="I38" s="314">
        <v>4.4000000000000004</v>
      </c>
      <c r="J38" s="314">
        <v>12100</v>
      </c>
      <c r="K38" s="314">
        <v>58500</v>
      </c>
      <c r="L38" s="314">
        <v>20.6</v>
      </c>
      <c r="M38" s="314">
        <v>3.8</v>
      </c>
      <c r="N38" s="314">
        <v>10300</v>
      </c>
      <c r="O38" s="314">
        <v>59700</v>
      </c>
      <c r="P38" s="314">
        <v>17.2</v>
      </c>
      <c r="Q38" s="314">
        <v>4.0999999999999996</v>
      </c>
    </row>
    <row r="39" spans="1:17">
      <c r="A39" s="10" t="s">
        <v>44</v>
      </c>
      <c r="B39" s="314">
        <v>12900</v>
      </c>
      <c r="C39" s="314">
        <v>55600</v>
      </c>
      <c r="D39" s="314">
        <v>23.2</v>
      </c>
      <c r="E39" s="314">
        <v>3.6</v>
      </c>
      <c r="F39" s="314">
        <v>14600</v>
      </c>
      <c r="G39" s="314">
        <v>55500</v>
      </c>
      <c r="H39" s="314">
        <v>26.4</v>
      </c>
      <c r="I39" s="314">
        <v>4.2</v>
      </c>
      <c r="J39" s="314">
        <v>12500</v>
      </c>
      <c r="K39" s="314">
        <v>56800</v>
      </c>
      <c r="L39" s="314">
        <v>22</v>
      </c>
      <c r="M39" s="314">
        <v>4</v>
      </c>
      <c r="N39" s="314">
        <v>14400</v>
      </c>
      <c r="O39" s="314">
        <v>55600</v>
      </c>
      <c r="P39" s="314">
        <v>25.9</v>
      </c>
      <c r="Q39" s="314">
        <v>4.8</v>
      </c>
    </row>
    <row r="40" spans="1:17">
      <c r="A40" s="10" t="s">
        <v>45</v>
      </c>
      <c r="B40" s="314">
        <v>27100</v>
      </c>
      <c r="C40" s="314">
        <v>117600</v>
      </c>
      <c r="D40" s="314">
        <v>23</v>
      </c>
      <c r="E40" s="314">
        <v>3.9</v>
      </c>
      <c r="F40" s="314">
        <v>28000</v>
      </c>
      <c r="G40" s="314">
        <v>116900</v>
      </c>
      <c r="H40" s="314">
        <v>23.9</v>
      </c>
      <c r="I40" s="314">
        <v>4.4000000000000004</v>
      </c>
      <c r="J40" s="314">
        <v>25100</v>
      </c>
      <c r="K40" s="314">
        <v>117100</v>
      </c>
      <c r="L40" s="314">
        <v>21.4</v>
      </c>
      <c r="M40" s="314">
        <v>4</v>
      </c>
      <c r="N40" s="314">
        <v>25900</v>
      </c>
      <c r="O40" s="314">
        <v>117100</v>
      </c>
      <c r="P40" s="314">
        <v>22.1</v>
      </c>
      <c r="Q40" s="314">
        <v>4.8</v>
      </c>
    </row>
    <row r="41" spans="1:17">
      <c r="B41" s="239"/>
      <c r="C41" s="239"/>
      <c r="D41" s="240"/>
      <c r="E41" s="240"/>
      <c r="F41" s="239"/>
      <c r="G41" s="239"/>
      <c r="H41" s="240"/>
      <c r="I41" s="240"/>
      <c r="J41" s="239"/>
      <c r="K41" s="239"/>
      <c r="L41" s="240"/>
      <c r="M41" s="240"/>
      <c r="N41" s="239"/>
      <c r="O41" s="239"/>
      <c r="P41" s="240"/>
      <c r="Q41" s="240"/>
    </row>
    <row r="42" spans="1:17">
      <c r="A42" s="10" t="s">
        <v>46</v>
      </c>
      <c r="B42" s="314">
        <v>797300</v>
      </c>
      <c r="C42" s="314">
        <v>3436800</v>
      </c>
      <c r="D42" s="314">
        <v>23.2</v>
      </c>
      <c r="E42" s="314">
        <v>0.7</v>
      </c>
      <c r="F42" s="314">
        <v>815200</v>
      </c>
      <c r="G42" s="314">
        <v>3427200</v>
      </c>
      <c r="H42" s="314">
        <v>23.8</v>
      </c>
      <c r="I42" s="314">
        <v>0.8</v>
      </c>
      <c r="J42" s="314">
        <v>788500</v>
      </c>
      <c r="K42" s="314">
        <v>3439500</v>
      </c>
      <c r="L42" s="314">
        <v>22.9</v>
      </c>
      <c r="M42" s="314">
        <v>0.8</v>
      </c>
      <c r="N42" s="314">
        <v>777000</v>
      </c>
      <c r="O42" s="314">
        <v>3454000</v>
      </c>
      <c r="P42" s="314">
        <v>22.5</v>
      </c>
      <c r="Q42" s="314">
        <v>0.9</v>
      </c>
    </row>
    <row r="43" spans="1:17">
      <c r="A43" s="10" t="s">
        <v>47</v>
      </c>
      <c r="B43" s="314">
        <v>8756500</v>
      </c>
      <c r="C43" s="314">
        <v>41369600</v>
      </c>
      <c r="D43" s="314">
        <v>21.2</v>
      </c>
      <c r="E43" s="314">
        <v>0.2</v>
      </c>
      <c r="F43" s="314">
        <v>8990700</v>
      </c>
      <c r="G43" s="314">
        <v>41368300</v>
      </c>
      <c r="H43" s="314">
        <v>21.7</v>
      </c>
      <c r="I43" s="314">
        <v>0.2</v>
      </c>
      <c r="J43" s="314">
        <v>9001600</v>
      </c>
      <c r="K43" s="314">
        <v>41514600</v>
      </c>
      <c r="L43" s="314">
        <v>21.7</v>
      </c>
      <c r="M43" s="314">
        <v>0.3</v>
      </c>
      <c r="N43" s="314">
        <v>8887200</v>
      </c>
      <c r="O43" s="314">
        <v>41678800</v>
      </c>
      <c r="P43" s="314">
        <v>21.3</v>
      </c>
      <c r="Q43" s="314">
        <v>0.3</v>
      </c>
    </row>
    <row r="44" spans="1:17">
      <c r="A44" s="10" t="s">
        <v>156</v>
      </c>
      <c r="B44" s="15" cm="1">
        <f t="array" ref="B44">SUM(SUMIFS(B$9:B$40,$A$9:$A$40,{"Aberdeen City","Aberdeenshire"}))</f>
        <v>65500</v>
      </c>
      <c r="C44" s="15" cm="1">
        <f t="array" ref="C44">SUM(SUMIFS(C$9:C$40,$A$9:$A$40,{"Aberdeen City","Aberdeenshire"}))</f>
        <v>321500</v>
      </c>
      <c r="D44" s="14">
        <f t="shared" ref="D44" si="0">SUM(B44/C44)*100</f>
        <v>20.373250388802489</v>
      </c>
      <c r="E44" s="15"/>
      <c r="F44" s="15" cm="1">
        <f t="array" ref="F44">SUM(SUMIFS(F$9:F$40,$A$9:$A$40,{"Aberdeen City","Aberdeenshire"}))</f>
        <v>67600</v>
      </c>
      <c r="G44" s="15" cm="1">
        <f t="array" ref="G44">SUM(SUMIFS(G$9:G$40,$A$9:$A$40,{"Aberdeen City","Aberdeenshire"}))</f>
        <v>320500</v>
      </c>
      <c r="H44" s="14">
        <f t="shared" ref="H44" si="1">SUM(F44/G44)*100</f>
        <v>21.092043681747271</v>
      </c>
      <c r="I44" s="15"/>
      <c r="J44" s="15" cm="1">
        <f t="array" ref="J44">SUM(SUMIFS(J$9:J$40,$A$9:$A$40,{"Aberdeen City","Aberdeenshire"}))</f>
        <v>69300</v>
      </c>
      <c r="K44" s="15" cm="1">
        <f t="array" ref="K44">SUM(SUMIFS(K$9:K$40,$A$9:$A$40,{"Aberdeen City","Aberdeenshire"}))</f>
        <v>326300</v>
      </c>
      <c r="L44" s="14">
        <f t="shared" ref="L44" si="2">SUM(J44/K44)*100</f>
        <v>21.238124425375421</v>
      </c>
      <c r="M44" s="15"/>
      <c r="N44" s="15" cm="1">
        <f t="array" ref="N44">SUM(SUMIFS(N$9:N$40,$A$9:$A$40,{"Aberdeen City","Aberdeenshire"}))</f>
        <v>59100</v>
      </c>
      <c r="O44" s="15" cm="1">
        <f t="array" ref="O44">SUM(SUMIFS(O$9:O$40,$A$9:$A$40,{"Aberdeen City","Aberdeenshire"}))</f>
        <v>328400</v>
      </c>
      <c r="P44" s="14">
        <f t="shared" ref="P44" si="3">SUM(N44/O44)*100</f>
        <v>17.996345919610231</v>
      </c>
      <c r="Q44" s="15"/>
    </row>
    <row r="45" spans="1:17">
      <c r="A45" s="10" t="s">
        <v>359</v>
      </c>
      <c r="B45" s="125" cm="1">
        <f t="array" ref="B45">SUM(SUMIFS(B$9:B$41,$A$9:$A$41,{"Falkirk","Stirling","Clackmannanshire"}))</f>
        <v>42000</v>
      </c>
      <c r="C45" s="125" cm="1">
        <f t="array" ref="C45">SUM(SUMIFS(C$9:C$41,$A$9:$A$41,{"Falkirk","Stirling","Clackmannanshire"}))</f>
        <v>191500</v>
      </c>
      <c r="D45" s="316">
        <f t="shared" ref="D45" si="4">SUM(B45/C45)*100</f>
        <v>21.932114882506529</v>
      </c>
      <c r="E45" s="14"/>
      <c r="F45" s="125" cm="1">
        <f t="array" ref="F45">SUM(SUMIFS(F$9:F$41,$A$9:$A$41,{"Falkirk","Stirling","Clackmannanshire"}))</f>
        <v>44300</v>
      </c>
      <c r="G45" s="125" cm="1">
        <f t="array" ref="G45">SUM(SUMIFS(G$9:G$41,$A$9:$A$41,{"Falkirk","Stirling","Clackmannanshire"}))</f>
        <v>190800</v>
      </c>
      <c r="H45" s="316">
        <f t="shared" ref="H45" si="5">SUM(F45/G45)*100</f>
        <v>23.218029350104821</v>
      </c>
      <c r="I45" s="14"/>
      <c r="J45" s="125" cm="1">
        <f t="array" ref="J45">SUM(SUMIFS(J$9:J$41,$A$9:$A$41,{"Falkirk","Stirling","Clackmannanshire"}))</f>
        <v>41700</v>
      </c>
      <c r="K45" s="125" cm="1">
        <f t="array" ref="K45">SUM(SUMIFS(K$9:K$41,$A$9:$A$41,{"Falkirk","Stirling","Clackmannanshire"}))</f>
        <v>192000</v>
      </c>
      <c r="L45" s="316">
        <f t="shared" ref="L45" si="6">SUM(J45/K45)*100</f>
        <v>21.71875</v>
      </c>
      <c r="M45" s="14"/>
      <c r="N45" s="125" cm="1">
        <f t="array" ref="N45">SUM(SUMIFS(N$9:N$41,$A$9:$A$41,{"Falkirk","Stirling","Clackmannanshire"}))</f>
        <v>44300</v>
      </c>
      <c r="O45" s="125" cm="1">
        <f t="array" ref="O45">SUM(SUMIFS(O$9:O$41,$A$9:$A$41,{"Falkirk","Stirling","Clackmannanshire"}))</f>
        <v>192200</v>
      </c>
      <c r="P45" s="316">
        <f t="shared" ref="P45" si="7">SUM(N45/O45)*100</f>
        <v>23.048907388137359</v>
      </c>
      <c r="Q45" s="14"/>
    </row>
    <row r="46" spans="1:17">
      <c r="A46" s="10" t="s">
        <v>157</v>
      </c>
      <c r="B46" s="125" cm="1">
        <f t="array" ref="B46">SUM(SUMIFS(B$9:B$40,$A$9:$A$40,{"East Lothian","Edinburgh, City of","Fife","Midlothian","Scottish Borders","West Lothian"}))</f>
        <v>203300</v>
      </c>
      <c r="C46" s="125" cm="1">
        <f t="array" ref="C46">SUM(SUMIFS(C$9:C$40,$A$9:$A$40,{"East Lothian","Edinburgh, City of","Fife","Midlothian","Scottish Borders","West Lothian"}))</f>
        <v>890800</v>
      </c>
      <c r="D46" s="14">
        <f t="shared" ref="D46:D47" si="8">SUM(B46/C46)*100</f>
        <v>22.822182308037718</v>
      </c>
      <c r="E46" s="15"/>
      <c r="F46" s="125" cm="1">
        <f t="array" ref="F46">SUM(SUMIFS(F$9:F$40,$A$9:$A$40,{"East Lothian","Edinburgh, City of","Fife","Midlothian","Scottish Borders","West Lothian"}))</f>
        <v>193700</v>
      </c>
      <c r="G46" s="125" cm="1">
        <f t="array" ref="G46">SUM(SUMIFS(G$9:G$40,$A$9:$A$40,{"East Lothian","Edinburgh, City of","Fife","Midlothian","Scottish Borders","West Lothian"}))</f>
        <v>881500</v>
      </c>
      <c r="H46" s="14">
        <f t="shared" ref="H46:H47" si="9">SUM(F46/G46)*100</f>
        <v>21.973908111174133</v>
      </c>
      <c r="I46" s="15"/>
      <c r="J46" s="125" cm="1">
        <f t="array" ref="J46">SUM(SUMIFS(J$9:J$40,$A$9:$A$40,{"East Lothian","Edinburgh, City of","Fife","Midlothian","Scottish Borders","West Lothian"}))</f>
        <v>181400</v>
      </c>
      <c r="K46" s="125" cm="1">
        <f t="array" ref="K46">SUM(SUMIFS(K$9:K$40,$A$9:$A$40,{"East Lothian","Edinburgh, City of","Fife","Midlothian","Scottish Borders","West Lothian"}))</f>
        <v>889200</v>
      </c>
      <c r="L46" s="14">
        <f t="shared" ref="L46:L47" si="10">SUM(J46/K46)*100</f>
        <v>20.400359874044085</v>
      </c>
      <c r="M46" s="15"/>
      <c r="N46" s="125" cm="1">
        <f t="array" ref="N46">SUM(SUMIFS(N$9:N$40,$A$9:$A$40,{"East Lothian","Edinburgh, City of","Fife","Midlothian","Scottish Borders","West Lothian"}))</f>
        <v>158700</v>
      </c>
      <c r="O46" s="125" cm="1">
        <f t="array" ref="O46">SUM(SUMIFS(O$9:O$40,$A$9:$A$40,{"East Lothian","Edinburgh, City of","Fife","Midlothian","Scottish Borders","West Lothian"}))</f>
        <v>887000</v>
      </c>
      <c r="P46" s="14">
        <f t="shared" ref="P46:P47" si="11">SUM(N46/O46)*100</f>
        <v>17.891770011273959</v>
      </c>
      <c r="Q46" s="15"/>
    </row>
    <row r="47" spans="1:17">
      <c r="A47" s="10" t="s">
        <v>158</v>
      </c>
      <c r="B47" s="125" cm="1">
        <f t="array" ref="B47">SUM(SUMIFS(B$9:B$40,$A$9:$A$40,{"Angus","Dundee City","Fife","Perth and Kinross"}))</f>
        <v>114100</v>
      </c>
      <c r="C47" s="125" cm="1">
        <f t="array" ref="C47">SUM(SUMIFS(C$9:C$40,$A$9:$A$40,{"Angus","Dundee City","Fife","Perth and Kinross"}))</f>
        <v>481700</v>
      </c>
      <c r="D47" s="14">
        <f t="shared" si="8"/>
        <v>23.686942080132862</v>
      </c>
      <c r="E47" s="15"/>
      <c r="F47" s="125" cm="1">
        <f t="array" ref="F47">SUM(SUMIFS(F$9:F$40,$A$9:$A$40,{"Angus","Dundee City","Fife","Perth and Kinross"}))</f>
        <v>115500</v>
      </c>
      <c r="G47" s="125" cm="1">
        <f t="array" ref="G47">SUM(SUMIFS(G$9:G$40,$A$9:$A$40,{"Angus","Dundee City","Fife","Perth and Kinross"}))</f>
        <v>477300</v>
      </c>
      <c r="H47" s="14">
        <f t="shared" si="9"/>
        <v>24.198617221873036</v>
      </c>
      <c r="I47" s="15"/>
      <c r="J47" s="125" cm="1">
        <f t="array" ref="J47">SUM(SUMIFS(J$9:J$40,$A$9:$A$40,{"Angus","Dundee City","Fife","Perth and Kinross"}))</f>
        <v>109000</v>
      </c>
      <c r="K47" s="125" cm="1">
        <f t="array" ref="K47">SUM(SUMIFS(K$9:K$40,$A$9:$A$40,{"Angus","Dundee City","Fife","Perth and Kinross"}))</f>
        <v>479900</v>
      </c>
      <c r="L47" s="14">
        <f t="shared" si="10"/>
        <v>22.713065221921234</v>
      </c>
      <c r="M47" s="15"/>
      <c r="N47" s="125" cm="1">
        <f t="array" ref="N47">SUM(SUMIFS(N$9:N$40,$A$9:$A$40,{"Angus","Dundee City","Fife","Perth and Kinross"}))</f>
        <v>114900</v>
      </c>
      <c r="O47" s="125" cm="1">
        <f t="array" ref="O47">SUM(SUMIFS(O$9:O$40,$A$9:$A$40,{"Angus","Dundee City","Fife","Perth and Kinross"}))</f>
        <v>482000</v>
      </c>
      <c r="P47" s="14">
        <f t="shared" si="11"/>
        <v>23.838174273858922</v>
      </c>
      <c r="Q47" s="15"/>
    </row>
    <row r="48" spans="1:17">
      <c r="A48" s="10" t="s">
        <v>246</v>
      </c>
      <c r="B48" s="125" cm="1">
        <f t="array" ref="B48">SUM(SUMIFS(B$9:B$41,$A$9:$A$41,{"Na h-Eileanan Siar","Argyll and Bute","Shetland Islands","Highland","Orkney Islands","Scottish Borders","Dumfries and Galloway","Aberdeenshire"}))</f>
        <v>114200</v>
      </c>
      <c r="C48" s="125">
        <f>SUM(SUMIFS(C$9:C$41,$A$9:$A$41,{"Na h-Eileanan Siar","Argyll and Bute","Shetland Islands","Highland","Orkney Islands","Scottish Borders","Dumfries and Galloway","Aberdeenshire"}))</f>
        <v>548800</v>
      </c>
      <c r="D48" s="316">
        <f t="shared" ref="D48:D51" si="12">SUM(B48/C48)*100</f>
        <v>20.809037900874635</v>
      </c>
      <c r="E48" s="14"/>
      <c r="F48" s="125">
        <f>SUM(SUMIFS(F$9:F$41,$A$9:$A$41,{"Na h-Eileanan Siar","Argyll and Bute","Shetland Islands","Highland","Orkney Islands","Scottish Borders","Dumfries and Galloway","Aberdeenshire"}))</f>
        <v>132800</v>
      </c>
      <c r="G48" s="125">
        <f>SUM(SUMIFS(G$9:G$41,$A$9:$A$41,{"Na h-Eileanan Siar","Argyll and Bute","Shetland Islands","Highland","Orkney Islands","Scottish Borders","Dumfries and Galloway","Aberdeenshire"}))</f>
        <v>549200</v>
      </c>
      <c r="H48" s="316">
        <f t="shared" ref="H48:H51" si="13">SUM(F48/G48)*100</f>
        <v>24.180626365622722</v>
      </c>
      <c r="I48" s="14"/>
      <c r="J48" s="125">
        <f>SUM(SUMIFS(J$9:J$41,$A$9:$A$41,{"Na h-Eileanan Siar","Argyll and Bute","Shetland Islands","Highland","Orkney Islands","Scottish Borders","Dumfries and Galloway","Aberdeenshire"}))</f>
        <v>120100</v>
      </c>
      <c r="K48" s="125">
        <f>SUM(SUMIFS(K$9:K$41,$A$9:$A$41,{"Na h-Eileanan Siar","Argyll and Bute","Shetland Islands","Highland","Orkney Islands","Scottish Borders","Dumfries and Galloway","Aberdeenshire"}))</f>
        <v>550300</v>
      </c>
      <c r="L48" s="316">
        <f t="shared" ref="L48:L51" si="14">SUM(J48/K48)*100</f>
        <v>21.82445938578957</v>
      </c>
      <c r="M48" s="14"/>
      <c r="N48" s="125">
        <f>SUM(SUMIFS(N$9:N$41,$A$9:$A$41,{"Na h-Eileanan Siar","Argyll and Bute","Shetland Islands","Highland","Orkney Islands","Scottish Borders","Dumfries and Galloway","Aberdeenshire"}))</f>
        <v>116800</v>
      </c>
      <c r="O48" s="125">
        <f>SUM(SUMIFS(O$9:O$41,$A$9:$A$41,{"Na h-Eileanan Siar","Argyll and Bute","Shetland Islands","Highland","Orkney Islands","Scottish Borders","Dumfries and Galloway","Aberdeenshire"}))</f>
        <v>558300</v>
      </c>
      <c r="P48" s="316">
        <f t="shared" ref="P48:P51" si="15">SUM(N48/O48)*100</f>
        <v>20.92065197922264</v>
      </c>
      <c r="Q48" s="14"/>
    </row>
    <row r="49" spans="1:17">
      <c r="A49" s="10" t="s">
        <v>247</v>
      </c>
      <c r="B49" s="125">
        <f>SUM(SUMIFS(B$9:B$41,$A$9:$A$41,{"Perth and Kinross","Stirling","Moray","South Ayrshire","East Ayrshire","East Lothian","North Ayrshire","Fife"}))</f>
        <v>171200</v>
      </c>
      <c r="C49" s="125">
        <f>SUM(SUMIFS(C$9:C$41,$A$9:$A$41,{"Perth and Kinross","Stirling","Moray","South Ayrshire","East Ayrshire","East Lothian","North Ayrshire","Fife"}))</f>
        <v>716300</v>
      </c>
      <c r="D49" s="316">
        <f t="shared" si="12"/>
        <v>23.900600307133882</v>
      </c>
      <c r="E49" s="14"/>
      <c r="F49" s="125">
        <f>SUM(SUMIFS(F$9:F$41,$A$9:$A$41,{"Perth and Kinross","Stirling","Moray","South Ayrshire","East Ayrshire","East Lothian","North Ayrshire","Fife"}))</f>
        <v>173400</v>
      </c>
      <c r="G49" s="125">
        <f>SUM(SUMIFS(G$9:G$41,$A$9:$A$41,{"Perth and Kinross","Stirling","Moray","South Ayrshire","East Ayrshire","East Lothian","North Ayrshire","Fife"}))</f>
        <v>714300</v>
      </c>
      <c r="H49" s="316">
        <f t="shared" si="13"/>
        <v>24.275514489710208</v>
      </c>
      <c r="I49" s="14"/>
      <c r="J49" s="125">
        <f>SUM(SUMIFS(J$9:J$41,$A$9:$A$41,{"Perth and Kinross","Stirling","Moray","South Ayrshire","East Ayrshire","East Lothian","North Ayrshire","Fife"}))</f>
        <v>165100</v>
      </c>
      <c r="K49" s="125">
        <f>SUM(SUMIFS(K$9:K$41,$A$9:$A$41,{"Perth and Kinross","Stirling","Moray","South Ayrshire","East Ayrshire","East Lothian","North Ayrshire","Fife"}))</f>
        <v>716500</v>
      </c>
      <c r="L49" s="316">
        <f t="shared" si="14"/>
        <v>23.042568039078855</v>
      </c>
      <c r="M49" s="14"/>
      <c r="N49" s="125">
        <f>SUM(SUMIFS(N$9:N$41,$A$9:$A$41,{"Perth and Kinross","Stirling","Moray","South Ayrshire","East Ayrshire","East Lothian","North Ayrshire","Fife"}))</f>
        <v>167700</v>
      </c>
      <c r="O49" s="125">
        <f>SUM(SUMIFS(O$9:O$41,$A$9:$A$41,{"Perth and Kinross","Stirling","Moray","South Ayrshire","East Ayrshire","East Lothian","North Ayrshire","Fife"}))</f>
        <v>721700</v>
      </c>
      <c r="P49" s="316">
        <f t="shared" si="15"/>
        <v>23.2368019952889</v>
      </c>
      <c r="Q49" s="14"/>
    </row>
    <row r="50" spans="1:17">
      <c r="A50" s="10" t="s">
        <v>248</v>
      </c>
      <c r="B50" s="125">
        <f>SUM(SUMIFS(B$9:B$41,$A$9:$A$41,{"Angus","Clackmannanshire","Midlothian","South Lanarkshire","Inverclyde","Renfrewshire","West Lothian","East Renfrewshire"}))</f>
        <v>151400</v>
      </c>
      <c r="C50" s="125">
        <f>SUM(SUMIFS(C$9:C$41,$A$9:$A$41,{"Angus","Clackmannanshire","Midlothian","South Lanarkshire","Inverclyde","Renfrewshire","West Lothian","East Renfrewshire"}))</f>
        <v>688300</v>
      </c>
      <c r="D50" s="316">
        <f t="shared" si="12"/>
        <v>21.99622257736452</v>
      </c>
      <c r="E50" s="14"/>
      <c r="F50" s="125">
        <f>SUM(SUMIFS(F$9:F$41,$A$9:$A$41,{"Angus","Clackmannanshire","Midlothian","South Lanarkshire","Inverclyde","Renfrewshire","West Lothian","East Renfrewshire"}))</f>
        <v>151100</v>
      </c>
      <c r="G50" s="125">
        <f>SUM(SUMIFS(G$9:G$41,$A$9:$A$41,{"Angus","Clackmannanshire","Midlothian","South Lanarkshire","Inverclyde","Renfrewshire","West Lothian","East Renfrewshire"}))</f>
        <v>688200</v>
      </c>
      <c r="H50" s="316">
        <f t="shared" si="13"/>
        <v>21.955826794536474</v>
      </c>
      <c r="I50" s="14"/>
      <c r="J50" s="125">
        <f>SUM(SUMIFS(J$9:J$41,$A$9:$A$41,{"Angus","Clackmannanshire","Midlothian","South Lanarkshire","Inverclyde","Renfrewshire","West Lothian","East Renfrewshire"}))</f>
        <v>147600</v>
      </c>
      <c r="K50" s="125">
        <f>SUM(SUMIFS(K$9:K$41,$A$9:$A$41,{"Angus","Clackmannanshire","Midlothian","South Lanarkshire","Inverclyde","Renfrewshire","West Lothian","East Renfrewshire"}))</f>
        <v>688100</v>
      </c>
      <c r="L50" s="316">
        <f t="shared" si="14"/>
        <v>21.450370585670687</v>
      </c>
      <c r="M50" s="14"/>
      <c r="N50" s="125">
        <f>SUM(SUMIFS(N$9:N$41,$A$9:$A$41,{"Angus","Clackmannanshire","Midlothian","South Lanarkshire","Inverclyde","Renfrewshire","West Lothian","East Renfrewshire"}))</f>
        <v>153000</v>
      </c>
      <c r="O50" s="125">
        <f>SUM(SUMIFS(O$9:O$41,$A$9:$A$41,{"Angus","Clackmannanshire","Midlothian","South Lanarkshire","Inverclyde","Renfrewshire","West Lothian","East Renfrewshire"}))</f>
        <v>690700</v>
      </c>
      <c r="P50" s="316">
        <f t="shared" si="15"/>
        <v>22.151440567540178</v>
      </c>
      <c r="Q50" s="14"/>
    </row>
    <row r="51" spans="1:17">
      <c r="A51" s="10" t="s">
        <v>249</v>
      </c>
      <c r="B51" s="125">
        <f>SUM(SUMIFS(B$9:B$41,$A$9:$A$41,{"North Lanarkshire","Falkirk","East Dunbartonshire","Aberdeen City","Edinburgh, City of","West Dunbartonshire","Dundee City","Glasgow City"}))</f>
        <v>360500</v>
      </c>
      <c r="C51" s="125">
        <f>SUM(SUMIFS(C$9:C$41,$A$9:$A$41,{"North Lanarkshire","Falkirk","East Dunbartonshire","Aberdeen City","Edinburgh, City of","West Dunbartonshire","Dundee City","Glasgow City"}))</f>
        <v>1483400</v>
      </c>
      <c r="D51" s="316">
        <f t="shared" si="12"/>
        <v>24.302278549278682</v>
      </c>
      <c r="E51" s="14"/>
      <c r="F51" s="125">
        <f>SUM(SUMIFS(F$9:F$41,$A$9:$A$41,{"North Lanarkshire","Falkirk","East Dunbartonshire","Aberdeen City","Edinburgh, City of","West Dunbartonshire","Dundee City","Glasgow City"}))</f>
        <v>358000</v>
      </c>
      <c r="G51" s="125">
        <f>SUM(SUMIFS(G$9:G$41,$A$9:$A$41,{"North Lanarkshire","Falkirk","East Dunbartonshire","Aberdeen City","Edinburgh, City of","West Dunbartonshire","Dundee City","Glasgow City"}))</f>
        <v>1475500</v>
      </c>
      <c r="H51" s="316">
        <f t="shared" si="13"/>
        <v>24.262961707895627</v>
      </c>
      <c r="I51" s="14"/>
      <c r="J51" s="125">
        <f>SUM(SUMIFS(J$9:J$41,$A$9:$A$41,{"North Lanarkshire","Falkirk","East Dunbartonshire","Aberdeen City","Edinburgh, City of","West Dunbartonshire","Dundee City","Glasgow City"}))</f>
        <v>355900</v>
      </c>
      <c r="K51" s="125">
        <f>SUM(SUMIFS(K$9:K$41,$A$9:$A$41,{"North Lanarkshire","Falkirk","East Dunbartonshire","Aberdeen City","Edinburgh, City of","West Dunbartonshire","Dundee City","Glasgow City"}))</f>
        <v>1484700</v>
      </c>
      <c r="L51" s="316">
        <f t="shared" si="14"/>
        <v>23.971172627466828</v>
      </c>
      <c r="M51" s="14"/>
      <c r="N51" s="125">
        <f>SUM(SUMIFS(N$9:N$41,$A$9:$A$41,{"North Lanarkshire","Falkirk","East Dunbartonshire","Aberdeen City","Edinburgh, City of","West Dunbartonshire","Dundee City","Glasgow City"}))</f>
        <v>339300</v>
      </c>
      <c r="O51" s="125">
        <f>SUM(SUMIFS(O$9:O$41,$A$9:$A$41,{"North Lanarkshire","Falkirk","East Dunbartonshire","Aberdeen City","Edinburgh, City of","West Dunbartonshire","Dundee City","Glasgow City"}))</f>
        <v>1483300</v>
      </c>
      <c r="P51" s="316">
        <f t="shared" si="15"/>
        <v>22.874671340929009</v>
      </c>
      <c r="Q51" s="14"/>
    </row>
    <row r="52" spans="1:17">
      <c r="A52" s="10" t="s">
        <v>48</v>
      </c>
      <c r="B52" s="314">
        <v>288300</v>
      </c>
      <c r="C52" s="314">
        <v>1187900</v>
      </c>
      <c r="D52" s="314">
        <v>24.3</v>
      </c>
      <c r="E52" s="314">
        <v>1.3</v>
      </c>
      <c r="F52" s="314">
        <v>301400</v>
      </c>
      <c r="G52" s="314">
        <v>1186000</v>
      </c>
      <c r="H52" s="314">
        <v>25.4</v>
      </c>
      <c r="I52" s="314">
        <v>1.4</v>
      </c>
      <c r="J52" s="314">
        <v>287700</v>
      </c>
      <c r="K52" s="314">
        <v>1184900</v>
      </c>
      <c r="L52" s="314">
        <v>24.3</v>
      </c>
      <c r="M52" s="314">
        <v>1.5</v>
      </c>
      <c r="N52" s="314">
        <v>293300</v>
      </c>
      <c r="O52" s="314">
        <v>1187400</v>
      </c>
      <c r="P52" s="314">
        <v>24.7</v>
      </c>
      <c r="Q52" s="314">
        <v>1.8</v>
      </c>
    </row>
  </sheetData>
  <mergeCells count="4">
    <mergeCell ref="B7:E7"/>
    <mergeCell ref="F7:I7"/>
    <mergeCell ref="J7:M7"/>
    <mergeCell ref="N7:Q7"/>
  </mergeCells>
  <conditionalFormatting sqref="A1:XFD1048576">
    <cfRule type="expression" dxfId="79"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autoPageBreaks="0"/>
  </sheetPr>
  <dimension ref="A1:S53"/>
  <sheetViews>
    <sheetView zoomScale="67" zoomScaleNormal="85" workbookViewId="0">
      <selection activeCell="T38" sqref="T38"/>
    </sheetView>
  </sheetViews>
  <sheetFormatPr defaultColWidth="8.7109375" defaultRowHeight="15"/>
  <cols>
    <col min="1" max="1" width="25" customWidth="1" collapsed="1"/>
    <col min="2" max="17" width="14" customWidth="1" collapsed="1"/>
    <col min="19" max="19" width="11.85546875" bestFit="1" customWidth="1"/>
  </cols>
  <sheetData>
    <row r="1" spans="1:17" ht="15.75">
      <c r="A1" s="1" t="s">
        <v>0</v>
      </c>
    </row>
    <row r="2" spans="1:17">
      <c r="A2" s="2" t="s">
        <v>63</v>
      </c>
    </row>
    <row r="4" spans="1:17">
      <c r="A4" s="10" t="s">
        <v>2</v>
      </c>
      <c r="B4" s="10" t="s">
        <v>3</v>
      </c>
    </row>
    <row r="5" spans="1:17">
      <c r="A5" s="10" t="s">
        <v>4</v>
      </c>
      <c r="B5" s="10" t="s">
        <v>62</v>
      </c>
    </row>
    <row r="7" spans="1:17" ht="21.95" customHeight="1">
      <c r="A7" s="17" t="s">
        <v>7</v>
      </c>
      <c r="B7" s="478" t="s">
        <v>230</v>
      </c>
      <c r="C7" s="475"/>
      <c r="D7" s="475"/>
      <c r="E7" s="475"/>
      <c r="F7" s="478" t="s">
        <v>356</v>
      </c>
      <c r="G7" s="475"/>
      <c r="H7" s="475"/>
      <c r="I7" s="475"/>
      <c r="J7" s="478" t="s">
        <v>398</v>
      </c>
      <c r="K7" s="475"/>
      <c r="L7" s="475"/>
      <c r="M7" s="475"/>
      <c r="N7" s="473" t="s">
        <v>423</v>
      </c>
      <c r="O7" s="475"/>
      <c r="P7" s="475"/>
      <c r="Q7" s="475"/>
    </row>
    <row r="8" spans="1:17" ht="26.1" customHeight="1">
      <c r="B8" s="313" t="s">
        <v>8</v>
      </c>
      <c r="C8" s="313" t="s">
        <v>9</v>
      </c>
      <c r="D8" s="313" t="s">
        <v>10</v>
      </c>
      <c r="E8" s="313" t="s">
        <v>11</v>
      </c>
      <c r="F8" s="313" t="s">
        <v>8</v>
      </c>
      <c r="G8" s="313" t="s">
        <v>9</v>
      </c>
      <c r="H8" s="313" t="s">
        <v>10</v>
      </c>
      <c r="I8" s="313" t="s">
        <v>11</v>
      </c>
      <c r="J8" s="313" t="s">
        <v>8</v>
      </c>
      <c r="K8" s="313" t="s">
        <v>9</v>
      </c>
      <c r="L8" s="313" t="s">
        <v>10</v>
      </c>
      <c r="M8" s="313" t="s">
        <v>11</v>
      </c>
      <c r="N8" s="313" t="s">
        <v>8</v>
      </c>
      <c r="O8" s="313" t="s">
        <v>9</v>
      </c>
      <c r="P8" s="313" t="s">
        <v>10</v>
      </c>
      <c r="Q8" s="313" t="s">
        <v>11</v>
      </c>
    </row>
    <row r="9" spans="1:17">
      <c r="A9" s="10" t="s">
        <v>15</v>
      </c>
      <c r="B9" s="314">
        <v>112300</v>
      </c>
      <c r="C9" s="314">
        <v>156800</v>
      </c>
      <c r="D9" s="315">
        <v>71.599999999999994</v>
      </c>
      <c r="E9" s="315">
        <v>4.3</v>
      </c>
      <c r="F9" s="314">
        <v>118900</v>
      </c>
      <c r="G9" s="314">
        <v>154600</v>
      </c>
      <c r="H9" s="315">
        <v>76.900000000000006</v>
      </c>
      <c r="I9" s="315">
        <v>4</v>
      </c>
      <c r="J9" s="314">
        <v>112800</v>
      </c>
      <c r="K9" s="314">
        <v>158300</v>
      </c>
      <c r="L9" s="315">
        <v>71.2</v>
      </c>
      <c r="M9" s="315">
        <v>4.5999999999999996</v>
      </c>
      <c r="N9" s="314">
        <v>118000</v>
      </c>
      <c r="O9" s="314">
        <v>157800</v>
      </c>
      <c r="P9" s="314">
        <v>74.7</v>
      </c>
      <c r="Q9" s="314">
        <v>4.9000000000000004</v>
      </c>
    </row>
    <row r="10" spans="1:17">
      <c r="A10" s="10" t="s">
        <v>16</v>
      </c>
      <c r="B10" s="314">
        <v>131100</v>
      </c>
      <c r="C10" s="314">
        <v>164700</v>
      </c>
      <c r="D10" s="315">
        <v>79.599999999999994</v>
      </c>
      <c r="E10" s="315">
        <v>3.6</v>
      </c>
      <c r="F10" s="314">
        <v>122900</v>
      </c>
      <c r="G10" s="314">
        <v>165900</v>
      </c>
      <c r="H10" s="315">
        <v>74.099999999999994</v>
      </c>
      <c r="I10" s="315">
        <v>4</v>
      </c>
      <c r="J10" s="314">
        <v>131200</v>
      </c>
      <c r="K10" s="314">
        <v>168000</v>
      </c>
      <c r="L10" s="315">
        <v>78.099999999999994</v>
      </c>
      <c r="M10" s="315">
        <v>4.0999999999999996</v>
      </c>
      <c r="N10" s="314">
        <v>143500</v>
      </c>
      <c r="O10" s="314">
        <v>170600</v>
      </c>
      <c r="P10" s="314">
        <v>84.1</v>
      </c>
      <c r="Q10" s="314">
        <v>4.5</v>
      </c>
    </row>
    <row r="11" spans="1:17">
      <c r="A11" s="10" t="s">
        <v>17</v>
      </c>
      <c r="B11" s="314">
        <v>49800</v>
      </c>
      <c r="C11" s="314">
        <v>68900</v>
      </c>
      <c r="D11" s="315">
        <v>72.3</v>
      </c>
      <c r="E11" s="315">
        <v>3.7</v>
      </c>
      <c r="F11" s="314">
        <v>51800</v>
      </c>
      <c r="G11" s="314">
        <v>69700</v>
      </c>
      <c r="H11" s="315">
        <v>74.3</v>
      </c>
      <c r="I11" s="315">
        <v>4.2</v>
      </c>
      <c r="J11" s="314">
        <v>51700</v>
      </c>
      <c r="K11" s="314">
        <v>69300</v>
      </c>
      <c r="L11" s="315">
        <v>74.599999999999994</v>
      </c>
      <c r="M11" s="315">
        <v>4.2</v>
      </c>
      <c r="N11" s="314">
        <v>50000</v>
      </c>
      <c r="O11" s="314">
        <v>69800</v>
      </c>
      <c r="P11" s="314">
        <v>71.599999999999994</v>
      </c>
      <c r="Q11" s="314">
        <v>5.9</v>
      </c>
    </row>
    <row r="12" spans="1:17">
      <c r="A12" s="10" t="s">
        <v>18</v>
      </c>
      <c r="B12" s="314">
        <v>36700</v>
      </c>
      <c r="C12" s="314">
        <v>48500</v>
      </c>
      <c r="D12" s="315">
        <v>75.599999999999994</v>
      </c>
      <c r="E12" s="315">
        <v>3.8</v>
      </c>
      <c r="F12" s="314">
        <v>35900</v>
      </c>
      <c r="G12" s="314">
        <v>48200</v>
      </c>
      <c r="H12" s="315">
        <v>74.5</v>
      </c>
      <c r="I12" s="315">
        <v>4.4000000000000004</v>
      </c>
      <c r="J12" s="314">
        <v>36500</v>
      </c>
      <c r="K12" s="314">
        <v>48800</v>
      </c>
      <c r="L12" s="315">
        <v>74.7</v>
      </c>
      <c r="M12" s="315">
        <v>5</v>
      </c>
      <c r="N12" s="314">
        <v>33100</v>
      </c>
      <c r="O12" s="314">
        <v>48900</v>
      </c>
      <c r="P12" s="314">
        <v>67.8</v>
      </c>
      <c r="Q12" s="314">
        <v>6.9</v>
      </c>
    </row>
    <row r="13" spans="1:17">
      <c r="A13" s="10" t="s">
        <v>126</v>
      </c>
      <c r="B13" s="314">
        <v>265600</v>
      </c>
      <c r="C13" s="314">
        <v>358300</v>
      </c>
      <c r="D13" s="315">
        <v>74.099999999999994</v>
      </c>
      <c r="E13" s="315">
        <v>3.4</v>
      </c>
      <c r="F13" s="314">
        <v>276600</v>
      </c>
      <c r="G13" s="314">
        <v>352500</v>
      </c>
      <c r="H13" s="315">
        <v>78.5</v>
      </c>
      <c r="I13" s="315">
        <v>3.3</v>
      </c>
      <c r="J13" s="314">
        <v>283400</v>
      </c>
      <c r="K13" s="314">
        <v>357700</v>
      </c>
      <c r="L13" s="315">
        <v>79.2</v>
      </c>
      <c r="M13" s="315">
        <v>3.6</v>
      </c>
      <c r="N13" s="314">
        <v>292900</v>
      </c>
      <c r="O13" s="314">
        <v>356500</v>
      </c>
      <c r="P13" s="314">
        <v>82.1</v>
      </c>
      <c r="Q13" s="314">
        <v>3.7</v>
      </c>
    </row>
    <row r="14" spans="1:17">
      <c r="A14" s="10" t="s">
        <v>19</v>
      </c>
      <c r="B14" s="314">
        <v>22900</v>
      </c>
      <c r="C14" s="314">
        <v>31400</v>
      </c>
      <c r="D14" s="315">
        <v>72.8</v>
      </c>
      <c r="E14" s="315">
        <v>5.6</v>
      </c>
      <c r="F14" s="314">
        <v>22500</v>
      </c>
      <c r="G14" s="314">
        <v>31100</v>
      </c>
      <c r="H14" s="315">
        <v>72.2</v>
      </c>
      <c r="I14" s="315">
        <v>6.8</v>
      </c>
      <c r="J14" s="314">
        <v>21400</v>
      </c>
      <c r="K14" s="314">
        <v>31800</v>
      </c>
      <c r="L14" s="315">
        <v>67.2</v>
      </c>
      <c r="M14" s="315">
        <v>5.8</v>
      </c>
      <c r="N14" s="314">
        <v>21700</v>
      </c>
      <c r="O14" s="314">
        <v>32200</v>
      </c>
      <c r="P14" s="314">
        <v>67.3</v>
      </c>
      <c r="Q14" s="314">
        <v>6.6</v>
      </c>
    </row>
    <row r="15" spans="1:17">
      <c r="A15" s="10" t="s">
        <v>20</v>
      </c>
      <c r="B15" s="314">
        <v>57800</v>
      </c>
      <c r="C15" s="314">
        <v>84800</v>
      </c>
      <c r="D15" s="315">
        <v>68.099999999999994</v>
      </c>
      <c r="E15" s="315">
        <v>4.4000000000000004</v>
      </c>
      <c r="F15" s="314">
        <v>59800</v>
      </c>
      <c r="G15" s="314">
        <v>84400</v>
      </c>
      <c r="H15" s="315">
        <v>70.900000000000006</v>
      </c>
      <c r="I15" s="315">
        <v>4.3</v>
      </c>
      <c r="J15" s="314">
        <v>56900</v>
      </c>
      <c r="K15" s="314">
        <v>84600</v>
      </c>
      <c r="L15" s="315">
        <v>67.3</v>
      </c>
      <c r="M15" s="315">
        <v>4.7</v>
      </c>
      <c r="N15" s="314">
        <v>57700</v>
      </c>
      <c r="O15" s="314">
        <v>85200</v>
      </c>
      <c r="P15" s="314">
        <v>67.8</v>
      </c>
      <c r="Q15" s="314">
        <v>6.6</v>
      </c>
    </row>
    <row r="16" spans="1:17">
      <c r="A16" s="10" t="s">
        <v>21</v>
      </c>
      <c r="B16" s="314">
        <v>67300</v>
      </c>
      <c r="C16" s="314">
        <v>93700</v>
      </c>
      <c r="D16" s="315">
        <v>71.8</v>
      </c>
      <c r="E16" s="315">
        <v>3.8</v>
      </c>
      <c r="F16" s="314">
        <v>67100</v>
      </c>
      <c r="G16" s="314">
        <v>94600</v>
      </c>
      <c r="H16" s="315">
        <v>71</v>
      </c>
      <c r="I16" s="315">
        <v>4.4000000000000004</v>
      </c>
      <c r="J16" s="314">
        <v>65300</v>
      </c>
      <c r="K16" s="314">
        <v>94900</v>
      </c>
      <c r="L16" s="315">
        <v>68.8</v>
      </c>
      <c r="M16" s="315">
        <v>4.5</v>
      </c>
      <c r="N16" s="314">
        <v>61100</v>
      </c>
      <c r="O16" s="314">
        <v>95900</v>
      </c>
      <c r="P16" s="314">
        <v>63.7</v>
      </c>
      <c r="Q16" s="314">
        <v>5.4</v>
      </c>
    </row>
    <row r="17" spans="1:17">
      <c r="A17" s="10" t="s">
        <v>22</v>
      </c>
      <c r="B17" s="314">
        <v>52900</v>
      </c>
      <c r="C17" s="314">
        <v>72400</v>
      </c>
      <c r="D17" s="315">
        <v>73.099999999999994</v>
      </c>
      <c r="E17" s="315">
        <v>4.0999999999999996</v>
      </c>
      <c r="F17" s="314">
        <v>55600</v>
      </c>
      <c r="G17" s="314">
        <v>73800</v>
      </c>
      <c r="H17" s="315">
        <v>75.3</v>
      </c>
      <c r="I17" s="315">
        <v>4.3</v>
      </c>
      <c r="J17" s="314">
        <v>52900</v>
      </c>
      <c r="K17" s="314">
        <v>74200</v>
      </c>
      <c r="L17" s="315">
        <v>71.3</v>
      </c>
      <c r="M17" s="315">
        <v>4.5</v>
      </c>
      <c r="N17" s="314">
        <v>52500</v>
      </c>
      <c r="O17" s="314">
        <v>73700</v>
      </c>
      <c r="P17" s="314">
        <v>71.2</v>
      </c>
      <c r="Q17" s="314">
        <v>5.7</v>
      </c>
    </row>
    <row r="18" spans="1:17">
      <c r="A18" s="10" t="s">
        <v>23</v>
      </c>
      <c r="B18" s="314">
        <v>48800</v>
      </c>
      <c r="C18" s="314">
        <v>64400</v>
      </c>
      <c r="D18" s="315">
        <v>75.900000000000006</v>
      </c>
      <c r="E18" s="315">
        <v>3.3</v>
      </c>
      <c r="F18" s="314">
        <v>46900</v>
      </c>
      <c r="G18" s="314">
        <v>64700</v>
      </c>
      <c r="H18" s="315">
        <v>72.400000000000006</v>
      </c>
      <c r="I18" s="315">
        <v>3.9</v>
      </c>
      <c r="J18" s="314">
        <v>48900</v>
      </c>
      <c r="K18" s="314">
        <v>64200</v>
      </c>
      <c r="L18" s="315">
        <v>76.3</v>
      </c>
      <c r="M18" s="315">
        <v>3.7</v>
      </c>
      <c r="N18" s="314">
        <v>46500</v>
      </c>
      <c r="O18" s="314">
        <v>63300</v>
      </c>
      <c r="P18" s="314">
        <v>73.5</v>
      </c>
      <c r="Q18" s="314">
        <v>4.7</v>
      </c>
    </row>
    <row r="19" spans="1:17">
      <c r="A19" s="10" t="s">
        <v>24</v>
      </c>
      <c r="B19" s="314">
        <v>48100</v>
      </c>
      <c r="C19" s="314">
        <v>63900</v>
      </c>
      <c r="D19" s="315">
        <v>75.3</v>
      </c>
      <c r="E19" s="315">
        <v>4.2</v>
      </c>
      <c r="F19" s="314">
        <v>51500</v>
      </c>
      <c r="G19" s="314">
        <v>64800</v>
      </c>
      <c r="H19" s="315">
        <v>79.5</v>
      </c>
      <c r="I19" s="315">
        <v>4.5</v>
      </c>
      <c r="J19" s="314">
        <v>49300</v>
      </c>
      <c r="K19" s="314">
        <v>64600</v>
      </c>
      <c r="L19" s="315">
        <v>76.2</v>
      </c>
      <c r="M19" s="315">
        <v>4.7</v>
      </c>
      <c r="N19" s="314">
        <v>51800</v>
      </c>
      <c r="O19" s="314">
        <v>65800</v>
      </c>
      <c r="P19" s="314">
        <v>78.599999999999994</v>
      </c>
      <c r="Q19" s="314">
        <v>5.4</v>
      </c>
    </row>
    <row r="20" spans="1:17">
      <c r="A20" s="10" t="s">
        <v>25</v>
      </c>
      <c r="B20" s="314">
        <v>42400</v>
      </c>
      <c r="C20" s="314">
        <v>57600</v>
      </c>
      <c r="D20" s="315">
        <v>73.599999999999994</v>
      </c>
      <c r="E20" s="315">
        <v>4.0999999999999996</v>
      </c>
      <c r="F20" s="314">
        <v>39400</v>
      </c>
      <c r="G20" s="314">
        <v>56500</v>
      </c>
      <c r="H20" s="315">
        <v>69.8</v>
      </c>
      <c r="I20" s="315">
        <v>4.5999999999999996</v>
      </c>
      <c r="J20" s="314">
        <v>43600</v>
      </c>
      <c r="K20" s="314">
        <v>56700</v>
      </c>
      <c r="L20" s="315">
        <v>76.900000000000006</v>
      </c>
      <c r="M20" s="315">
        <v>4.7</v>
      </c>
      <c r="N20" s="314">
        <v>43000</v>
      </c>
      <c r="O20" s="314">
        <v>55500</v>
      </c>
      <c r="P20" s="314">
        <v>77.5</v>
      </c>
      <c r="Q20" s="314">
        <v>5.7</v>
      </c>
    </row>
    <row r="21" spans="1:17">
      <c r="A21" s="10" t="s">
        <v>26</v>
      </c>
      <c r="B21" s="314">
        <v>76300</v>
      </c>
      <c r="C21" s="314">
        <v>101500</v>
      </c>
      <c r="D21" s="315">
        <v>75.099999999999994</v>
      </c>
      <c r="E21" s="315">
        <v>4.0999999999999996</v>
      </c>
      <c r="F21" s="314">
        <v>77500</v>
      </c>
      <c r="G21" s="314">
        <v>101000</v>
      </c>
      <c r="H21" s="315">
        <v>76.7</v>
      </c>
      <c r="I21" s="315">
        <v>4.3</v>
      </c>
      <c r="J21" s="314">
        <v>77300</v>
      </c>
      <c r="K21" s="314">
        <v>101700</v>
      </c>
      <c r="L21" s="315">
        <v>76</v>
      </c>
      <c r="M21" s="315">
        <v>4.3</v>
      </c>
      <c r="N21" s="314">
        <v>73000</v>
      </c>
      <c r="O21" s="314">
        <v>100300</v>
      </c>
      <c r="P21" s="314">
        <v>72.8</v>
      </c>
      <c r="Q21" s="314">
        <v>5.0999999999999996</v>
      </c>
    </row>
    <row r="22" spans="1:17">
      <c r="A22" s="10" t="s">
        <v>27</v>
      </c>
      <c r="B22" s="314">
        <v>161300</v>
      </c>
      <c r="C22" s="314">
        <v>228900</v>
      </c>
      <c r="D22" s="315">
        <v>70.5</v>
      </c>
      <c r="E22" s="315">
        <v>3.6</v>
      </c>
      <c r="F22" s="314">
        <v>153200</v>
      </c>
      <c r="G22" s="314">
        <v>223900</v>
      </c>
      <c r="H22" s="315">
        <v>68.400000000000006</v>
      </c>
      <c r="I22" s="315">
        <v>3.9</v>
      </c>
      <c r="J22" s="314">
        <v>169100</v>
      </c>
      <c r="K22" s="314">
        <v>226300</v>
      </c>
      <c r="L22" s="315">
        <v>74.7</v>
      </c>
      <c r="M22" s="315">
        <v>3.7</v>
      </c>
      <c r="N22" s="314">
        <v>169600</v>
      </c>
      <c r="O22" s="314">
        <v>224600</v>
      </c>
      <c r="P22" s="314">
        <v>75.5</v>
      </c>
      <c r="Q22" s="314">
        <v>3.9</v>
      </c>
    </row>
    <row r="23" spans="1:17">
      <c r="A23" s="10" t="s">
        <v>28</v>
      </c>
      <c r="B23" s="314">
        <v>304800</v>
      </c>
      <c r="C23" s="314">
        <v>436800</v>
      </c>
      <c r="D23" s="315">
        <v>69.8</v>
      </c>
      <c r="E23" s="315">
        <v>3.6</v>
      </c>
      <c r="F23" s="314">
        <v>303600</v>
      </c>
      <c r="G23" s="314">
        <v>435400</v>
      </c>
      <c r="H23" s="315">
        <v>69.7</v>
      </c>
      <c r="I23" s="315">
        <v>3.5</v>
      </c>
      <c r="J23" s="314">
        <v>311100</v>
      </c>
      <c r="K23" s="314">
        <v>431300</v>
      </c>
      <c r="L23" s="315">
        <v>72.099999999999994</v>
      </c>
      <c r="M23" s="315">
        <v>3.6</v>
      </c>
      <c r="N23" s="314">
        <v>309000</v>
      </c>
      <c r="O23" s="314">
        <v>434100</v>
      </c>
      <c r="P23" s="314">
        <v>71.2</v>
      </c>
      <c r="Q23" s="314">
        <v>4.5999999999999996</v>
      </c>
    </row>
    <row r="24" spans="1:17">
      <c r="A24" s="10" t="s">
        <v>29</v>
      </c>
      <c r="B24" s="314">
        <v>110700</v>
      </c>
      <c r="C24" s="314">
        <v>142300</v>
      </c>
      <c r="D24" s="315">
        <v>77.8</v>
      </c>
      <c r="E24" s="315">
        <v>4.4000000000000004</v>
      </c>
      <c r="F24" s="314">
        <v>102500</v>
      </c>
      <c r="G24" s="314">
        <v>143000</v>
      </c>
      <c r="H24" s="315">
        <v>71.7</v>
      </c>
      <c r="I24" s="315">
        <v>5.6</v>
      </c>
      <c r="J24" s="314">
        <v>100900</v>
      </c>
      <c r="K24" s="314">
        <v>141200</v>
      </c>
      <c r="L24" s="315">
        <v>71.5</v>
      </c>
      <c r="M24" s="315">
        <v>5.9</v>
      </c>
      <c r="N24" s="314">
        <v>110200</v>
      </c>
      <c r="O24" s="314">
        <v>145000</v>
      </c>
      <c r="P24" s="314">
        <v>76</v>
      </c>
      <c r="Q24" s="314">
        <v>6.3</v>
      </c>
    </row>
    <row r="25" spans="1:17">
      <c r="A25" s="10" t="s">
        <v>30</v>
      </c>
      <c r="B25" s="314">
        <v>32300</v>
      </c>
      <c r="C25" s="314">
        <v>47400</v>
      </c>
      <c r="D25" s="315">
        <v>68.2</v>
      </c>
      <c r="E25" s="315">
        <v>4.4000000000000004</v>
      </c>
      <c r="F25" s="314">
        <v>35300</v>
      </c>
      <c r="G25" s="314">
        <v>46900</v>
      </c>
      <c r="H25" s="315">
        <v>75.099999999999994</v>
      </c>
      <c r="I25" s="315">
        <v>4.5</v>
      </c>
      <c r="J25" s="314">
        <v>35600</v>
      </c>
      <c r="K25" s="314">
        <v>46600</v>
      </c>
      <c r="L25" s="315">
        <v>76.3</v>
      </c>
      <c r="M25" s="315">
        <v>4.9000000000000004</v>
      </c>
      <c r="N25" s="314">
        <v>32300</v>
      </c>
      <c r="O25" s="314">
        <v>47200</v>
      </c>
      <c r="P25" s="314">
        <v>68.400000000000006</v>
      </c>
      <c r="Q25" s="314">
        <v>6.8</v>
      </c>
    </row>
    <row r="26" spans="1:17">
      <c r="A26" s="10" t="s">
        <v>31</v>
      </c>
      <c r="B26" s="314">
        <v>42900</v>
      </c>
      <c r="C26" s="314">
        <v>55700</v>
      </c>
      <c r="D26" s="315">
        <v>77.099999999999994</v>
      </c>
      <c r="E26" s="315">
        <v>4.4000000000000004</v>
      </c>
      <c r="F26" s="314">
        <v>46400</v>
      </c>
      <c r="G26" s="314">
        <v>57400</v>
      </c>
      <c r="H26" s="315">
        <v>80.900000000000006</v>
      </c>
      <c r="I26" s="315">
        <v>4.4000000000000004</v>
      </c>
      <c r="J26" s="314">
        <v>45200</v>
      </c>
      <c r="K26" s="314">
        <v>57000</v>
      </c>
      <c r="L26" s="315">
        <v>79.400000000000006</v>
      </c>
      <c r="M26" s="315">
        <v>5.0999999999999996</v>
      </c>
      <c r="N26" s="314">
        <v>48600</v>
      </c>
      <c r="O26" s="314">
        <v>57000</v>
      </c>
      <c r="P26" s="314">
        <v>85.3</v>
      </c>
      <c r="Q26" s="314">
        <v>5.3</v>
      </c>
    </row>
    <row r="27" spans="1:17">
      <c r="A27" s="10" t="s">
        <v>32</v>
      </c>
      <c r="B27" s="314">
        <v>44500</v>
      </c>
      <c r="C27" s="314">
        <v>59200</v>
      </c>
      <c r="D27" s="315">
        <v>75.099999999999994</v>
      </c>
      <c r="E27" s="315">
        <v>4.0999999999999996</v>
      </c>
      <c r="F27" s="314">
        <v>43600</v>
      </c>
      <c r="G27" s="314">
        <v>59900</v>
      </c>
      <c r="H27" s="315">
        <v>72.8</v>
      </c>
      <c r="I27" s="315">
        <v>4.5999999999999996</v>
      </c>
      <c r="J27" s="314">
        <v>45800</v>
      </c>
      <c r="K27" s="314">
        <v>59800</v>
      </c>
      <c r="L27" s="315">
        <v>76.599999999999994</v>
      </c>
      <c r="M27" s="315">
        <v>4.4000000000000004</v>
      </c>
      <c r="N27" s="314">
        <v>43500</v>
      </c>
      <c r="O27" s="314">
        <v>60500</v>
      </c>
      <c r="P27" s="314">
        <v>71.900000000000006</v>
      </c>
      <c r="Q27" s="314">
        <v>5.7</v>
      </c>
    </row>
    <row r="28" spans="1:17">
      <c r="A28" s="10" t="s">
        <v>33</v>
      </c>
      <c r="B28" s="314">
        <v>12200</v>
      </c>
      <c r="C28" s="314">
        <v>15100</v>
      </c>
      <c r="D28" s="315">
        <v>81</v>
      </c>
      <c r="E28" s="315">
        <v>4.7</v>
      </c>
      <c r="F28" s="314">
        <v>12200</v>
      </c>
      <c r="G28" s="314">
        <v>15100</v>
      </c>
      <c r="H28" s="315">
        <v>80.5</v>
      </c>
      <c r="I28" s="315">
        <v>5.9</v>
      </c>
      <c r="J28" s="314">
        <v>12700</v>
      </c>
      <c r="K28" s="314">
        <v>15100</v>
      </c>
      <c r="L28" s="315">
        <v>84.1</v>
      </c>
      <c r="M28" s="315">
        <v>6.2</v>
      </c>
      <c r="N28" s="314">
        <v>12000</v>
      </c>
      <c r="O28" s="314">
        <v>15400</v>
      </c>
      <c r="P28" s="314">
        <v>77.8</v>
      </c>
      <c r="Q28" s="314">
        <v>8.9</v>
      </c>
    </row>
    <row r="29" spans="1:17">
      <c r="A29" s="10" t="s">
        <v>34</v>
      </c>
      <c r="B29" s="314">
        <v>53100</v>
      </c>
      <c r="C29" s="314">
        <v>78400</v>
      </c>
      <c r="D29" s="315">
        <v>67.7</v>
      </c>
      <c r="E29" s="315">
        <v>4.5999999999999996</v>
      </c>
      <c r="F29" s="314">
        <v>50900</v>
      </c>
      <c r="G29" s="314">
        <v>78700</v>
      </c>
      <c r="H29" s="315">
        <v>64.7</v>
      </c>
      <c r="I29" s="315">
        <v>4.7</v>
      </c>
      <c r="J29" s="314">
        <v>58600</v>
      </c>
      <c r="K29" s="314">
        <v>79600</v>
      </c>
      <c r="L29" s="315">
        <v>73.599999999999994</v>
      </c>
      <c r="M29" s="315">
        <v>4.3</v>
      </c>
      <c r="N29" s="314">
        <v>56900</v>
      </c>
      <c r="O29" s="314">
        <v>80900</v>
      </c>
      <c r="P29" s="314">
        <v>70.3</v>
      </c>
      <c r="Q29" s="314">
        <v>5.6</v>
      </c>
    </row>
    <row r="30" spans="1:17">
      <c r="A30" s="10" t="s">
        <v>35</v>
      </c>
      <c r="B30" s="314">
        <v>150900</v>
      </c>
      <c r="C30" s="314">
        <v>216300</v>
      </c>
      <c r="D30" s="315">
        <v>69.7</v>
      </c>
      <c r="E30" s="315">
        <v>4.0999999999999996</v>
      </c>
      <c r="F30" s="314">
        <v>148800</v>
      </c>
      <c r="G30" s="314">
        <v>217200</v>
      </c>
      <c r="H30" s="315">
        <v>68.5</v>
      </c>
      <c r="I30" s="315">
        <v>4.4000000000000004</v>
      </c>
      <c r="J30" s="314">
        <v>149400</v>
      </c>
      <c r="K30" s="314">
        <v>219800</v>
      </c>
      <c r="L30" s="315">
        <v>68</v>
      </c>
      <c r="M30" s="315">
        <v>4.7</v>
      </c>
      <c r="N30" s="314">
        <v>154900</v>
      </c>
      <c r="O30" s="314">
        <v>219800</v>
      </c>
      <c r="P30" s="314">
        <v>70.5</v>
      </c>
      <c r="Q30" s="314">
        <v>5.4</v>
      </c>
    </row>
    <row r="31" spans="1:17">
      <c r="A31" s="10" t="s">
        <v>36</v>
      </c>
      <c r="B31" s="314">
        <v>10600</v>
      </c>
      <c r="C31" s="314">
        <v>12700</v>
      </c>
      <c r="D31" s="315">
        <v>83.3</v>
      </c>
      <c r="E31" s="315">
        <v>9.1</v>
      </c>
      <c r="F31" s="314">
        <v>9300</v>
      </c>
      <c r="G31" s="314">
        <v>12700</v>
      </c>
      <c r="H31" s="315">
        <v>72.900000000000006</v>
      </c>
      <c r="I31" s="315">
        <v>14.3</v>
      </c>
      <c r="J31" s="314">
        <v>10600</v>
      </c>
      <c r="K31" s="314">
        <v>12100</v>
      </c>
      <c r="L31" s="315">
        <v>87.5</v>
      </c>
      <c r="M31" s="315">
        <v>11.7</v>
      </c>
      <c r="N31" s="314">
        <v>11500</v>
      </c>
      <c r="O31" s="314">
        <v>13000</v>
      </c>
      <c r="P31" s="314">
        <v>88.3</v>
      </c>
      <c r="Q31" s="314">
        <v>13.1</v>
      </c>
    </row>
    <row r="32" spans="1:17">
      <c r="A32" s="10" t="s">
        <v>37</v>
      </c>
      <c r="B32" s="314">
        <v>68200</v>
      </c>
      <c r="C32" s="314">
        <v>90200</v>
      </c>
      <c r="D32" s="315">
        <v>75.5</v>
      </c>
      <c r="E32" s="315">
        <v>3.7</v>
      </c>
      <c r="F32" s="314">
        <v>69500</v>
      </c>
      <c r="G32" s="314">
        <v>89100</v>
      </c>
      <c r="H32" s="315">
        <v>78</v>
      </c>
      <c r="I32" s="315">
        <v>3.8</v>
      </c>
      <c r="J32" s="314">
        <v>68000</v>
      </c>
      <c r="K32" s="314">
        <v>89400</v>
      </c>
      <c r="L32" s="315">
        <v>76</v>
      </c>
      <c r="M32" s="315">
        <v>4.0999999999999996</v>
      </c>
      <c r="N32" s="314">
        <v>70500</v>
      </c>
      <c r="O32" s="314">
        <v>91700</v>
      </c>
      <c r="P32" s="314">
        <v>76.8</v>
      </c>
      <c r="Q32" s="314">
        <v>4.9000000000000004</v>
      </c>
    </row>
    <row r="33" spans="1:19">
      <c r="A33" s="10" t="s">
        <v>38</v>
      </c>
      <c r="B33" s="314">
        <v>86700</v>
      </c>
      <c r="C33" s="314">
        <v>112500</v>
      </c>
      <c r="D33" s="315">
        <v>77.099999999999994</v>
      </c>
      <c r="E33" s="315">
        <v>4</v>
      </c>
      <c r="F33" s="314">
        <v>84000</v>
      </c>
      <c r="G33" s="314">
        <v>111900</v>
      </c>
      <c r="H33" s="315">
        <v>75.099999999999994</v>
      </c>
      <c r="I33" s="315">
        <v>4.2</v>
      </c>
      <c r="J33" s="314">
        <v>81000</v>
      </c>
      <c r="K33" s="314">
        <v>113600</v>
      </c>
      <c r="L33" s="315">
        <v>71.3</v>
      </c>
      <c r="M33" s="315">
        <v>4.8</v>
      </c>
      <c r="N33" s="314">
        <v>86100</v>
      </c>
      <c r="O33" s="314">
        <v>112100</v>
      </c>
      <c r="P33" s="314">
        <v>76.8</v>
      </c>
      <c r="Q33" s="314">
        <v>5</v>
      </c>
    </row>
    <row r="34" spans="1:19">
      <c r="A34" s="10" t="s">
        <v>39</v>
      </c>
      <c r="B34" s="314">
        <v>52700</v>
      </c>
      <c r="C34" s="314">
        <v>66400</v>
      </c>
      <c r="D34" s="315">
        <v>79.3</v>
      </c>
      <c r="E34" s="315">
        <v>3.9</v>
      </c>
      <c r="F34" s="314">
        <v>45100</v>
      </c>
      <c r="G34" s="314">
        <v>66000</v>
      </c>
      <c r="H34" s="315">
        <v>68.3</v>
      </c>
      <c r="I34" s="315">
        <v>4.8</v>
      </c>
      <c r="J34" s="314">
        <v>52800</v>
      </c>
      <c r="K34" s="314">
        <v>66500</v>
      </c>
      <c r="L34" s="315">
        <v>79.400000000000006</v>
      </c>
      <c r="M34" s="315">
        <v>4.0999999999999996</v>
      </c>
      <c r="N34" s="314">
        <v>49300</v>
      </c>
      <c r="O34" s="314">
        <v>66000</v>
      </c>
      <c r="P34" s="314">
        <v>74.8</v>
      </c>
      <c r="Q34" s="314">
        <v>5.6</v>
      </c>
    </row>
    <row r="35" spans="1:19">
      <c r="A35" s="10" t="s">
        <v>40</v>
      </c>
      <c r="B35" s="314">
        <v>10600</v>
      </c>
      <c r="C35" s="314">
        <v>14300</v>
      </c>
      <c r="D35" s="315">
        <v>74.599999999999994</v>
      </c>
      <c r="E35" s="315">
        <v>11.6</v>
      </c>
      <c r="F35" s="314">
        <v>10200</v>
      </c>
      <c r="G35" s="314">
        <v>13900</v>
      </c>
      <c r="H35" s="315">
        <v>73.7</v>
      </c>
      <c r="I35" s="315">
        <v>14.4</v>
      </c>
      <c r="J35" s="314">
        <v>10600</v>
      </c>
      <c r="K35" s="314">
        <v>14000</v>
      </c>
      <c r="L35" s="315">
        <v>76.099999999999994</v>
      </c>
      <c r="M35" s="315">
        <v>14.3</v>
      </c>
      <c r="N35" s="314">
        <v>12000</v>
      </c>
      <c r="O35" s="314">
        <v>14200</v>
      </c>
      <c r="P35" s="314">
        <v>84.3</v>
      </c>
      <c r="Q35" s="314">
        <v>12.8</v>
      </c>
    </row>
    <row r="36" spans="1:19">
      <c r="A36" s="10" t="s">
        <v>41</v>
      </c>
      <c r="B36" s="314">
        <v>46400</v>
      </c>
      <c r="C36" s="314">
        <v>64700</v>
      </c>
      <c r="D36" s="315">
        <v>71.7</v>
      </c>
      <c r="E36" s="315">
        <v>4.3</v>
      </c>
      <c r="F36" s="314">
        <v>44700</v>
      </c>
      <c r="G36" s="314">
        <v>65400</v>
      </c>
      <c r="H36" s="315">
        <v>68.3</v>
      </c>
      <c r="I36" s="315">
        <v>4.8</v>
      </c>
      <c r="J36" s="314">
        <v>43200</v>
      </c>
      <c r="K36" s="314">
        <v>64100</v>
      </c>
      <c r="L36" s="315">
        <v>67.400000000000006</v>
      </c>
      <c r="M36" s="315">
        <v>5</v>
      </c>
      <c r="N36" s="314">
        <v>42200</v>
      </c>
      <c r="O36" s="314">
        <v>64800</v>
      </c>
      <c r="P36" s="314">
        <v>65.2</v>
      </c>
      <c r="Q36" s="314">
        <v>6.2</v>
      </c>
    </row>
    <row r="37" spans="1:19">
      <c r="A37" s="10" t="s">
        <v>42</v>
      </c>
      <c r="B37" s="314">
        <v>151600</v>
      </c>
      <c r="C37" s="314">
        <v>197200</v>
      </c>
      <c r="D37" s="315">
        <v>76.900000000000006</v>
      </c>
      <c r="E37" s="315">
        <v>3.7</v>
      </c>
      <c r="F37" s="314">
        <v>153600</v>
      </c>
      <c r="G37" s="314">
        <v>197800</v>
      </c>
      <c r="H37" s="315">
        <v>77.7</v>
      </c>
      <c r="I37" s="315">
        <v>3.8</v>
      </c>
      <c r="J37" s="314">
        <v>156400</v>
      </c>
      <c r="K37" s="314">
        <v>196000</v>
      </c>
      <c r="L37" s="315">
        <v>79.8</v>
      </c>
      <c r="M37" s="315">
        <v>3.7</v>
      </c>
      <c r="N37" s="314">
        <v>154100</v>
      </c>
      <c r="O37" s="314">
        <v>199800</v>
      </c>
      <c r="P37" s="314">
        <v>77.099999999999994</v>
      </c>
      <c r="Q37" s="314">
        <v>4.8</v>
      </c>
    </row>
    <row r="38" spans="1:19">
      <c r="A38" s="10" t="s">
        <v>43</v>
      </c>
      <c r="B38" s="314">
        <v>43700</v>
      </c>
      <c r="C38" s="314">
        <v>58600</v>
      </c>
      <c r="D38" s="315">
        <v>74.599999999999994</v>
      </c>
      <c r="E38" s="315">
        <v>4</v>
      </c>
      <c r="F38" s="314">
        <v>43100</v>
      </c>
      <c r="G38" s="314">
        <v>58700</v>
      </c>
      <c r="H38" s="315">
        <v>73.400000000000006</v>
      </c>
      <c r="I38" s="315">
        <v>4.5999999999999996</v>
      </c>
      <c r="J38" s="314">
        <v>44700</v>
      </c>
      <c r="K38" s="314">
        <v>58500</v>
      </c>
      <c r="L38" s="315">
        <v>76.400000000000006</v>
      </c>
      <c r="M38" s="315">
        <v>4</v>
      </c>
      <c r="N38" s="314">
        <v>47400</v>
      </c>
      <c r="O38" s="314">
        <v>59700</v>
      </c>
      <c r="P38" s="314">
        <v>79.400000000000006</v>
      </c>
      <c r="Q38" s="314">
        <v>4.4000000000000004</v>
      </c>
    </row>
    <row r="39" spans="1:19">
      <c r="A39" s="10" t="s">
        <v>44</v>
      </c>
      <c r="B39" s="314">
        <v>40500</v>
      </c>
      <c r="C39" s="314">
        <v>55600</v>
      </c>
      <c r="D39" s="315">
        <v>72.8</v>
      </c>
      <c r="E39" s="315">
        <v>3.8</v>
      </c>
      <c r="F39" s="314">
        <v>39100</v>
      </c>
      <c r="G39" s="314">
        <v>55500</v>
      </c>
      <c r="H39" s="315">
        <v>70.400000000000006</v>
      </c>
      <c r="I39" s="315">
        <v>4.4000000000000004</v>
      </c>
      <c r="J39" s="314">
        <v>43000</v>
      </c>
      <c r="K39" s="314">
        <v>56800</v>
      </c>
      <c r="L39" s="315">
        <v>75.8</v>
      </c>
      <c r="M39" s="315">
        <v>4.2</v>
      </c>
      <c r="N39" s="314">
        <v>40000</v>
      </c>
      <c r="O39" s="314">
        <v>55600</v>
      </c>
      <c r="P39" s="314">
        <v>71.900000000000006</v>
      </c>
      <c r="Q39" s="314">
        <v>4.9000000000000004</v>
      </c>
    </row>
    <row r="40" spans="1:19">
      <c r="A40" s="10" t="s">
        <v>45</v>
      </c>
      <c r="B40" s="314">
        <v>87500</v>
      </c>
      <c r="C40" s="314">
        <v>117600</v>
      </c>
      <c r="D40" s="315">
        <v>74.5</v>
      </c>
      <c r="E40" s="315">
        <v>4.0999999999999996</v>
      </c>
      <c r="F40" s="314">
        <v>86300</v>
      </c>
      <c r="G40" s="314">
        <v>116900</v>
      </c>
      <c r="H40" s="315">
        <v>73.8</v>
      </c>
      <c r="I40" s="315">
        <v>4.5999999999999996</v>
      </c>
      <c r="J40" s="314">
        <v>90100</v>
      </c>
      <c r="K40" s="314">
        <v>117100</v>
      </c>
      <c r="L40" s="315">
        <v>76.900000000000006</v>
      </c>
      <c r="M40" s="315">
        <v>4.0999999999999996</v>
      </c>
      <c r="N40" s="314">
        <v>87200</v>
      </c>
      <c r="O40" s="314">
        <v>117100</v>
      </c>
      <c r="P40" s="314">
        <v>74.400000000000006</v>
      </c>
      <c r="Q40" s="314">
        <v>5.0999999999999996</v>
      </c>
      <c r="S40" s="60"/>
    </row>
    <row r="41" spans="1:19">
      <c r="A41" s="10"/>
      <c r="B41" s="239"/>
      <c r="C41" s="239"/>
      <c r="D41" s="240"/>
      <c r="E41" s="240"/>
      <c r="F41" s="239"/>
      <c r="G41" s="239"/>
      <c r="H41" s="240"/>
      <c r="I41" s="240"/>
      <c r="J41" s="239"/>
      <c r="K41" s="239"/>
      <c r="L41" s="240"/>
      <c r="M41" s="240"/>
      <c r="N41" s="314"/>
      <c r="O41" s="314"/>
      <c r="P41" s="314"/>
      <c r="Q41" s="314"/>
    </row>
    <row r="42" spans="1:19">
      <c r="A42" s="10" t="s">
        <v>46</v>
      </c>
      <c r="B42" s="239">
        <v>2523000</v>
      </c>
      <c r="C42" s="239">
        <v>3436800</v>
      </c>
      <c r="D42" s="240">
        <v>73.400000000000006</v>
      </c>
      <c r="E42" s="240">
        <v>0.7</v>
      </c>
      <c r="F42" s="239">
        <v>2507800</v>
      </c>
      <c r="G42" s="239">
        <v>3427200</v>
      </c>
      <c r="H42" s="240">
        <v>73.2</v>
      </c>
      <c r="I42" s="240">
        <v>0.8</v>
      </c>
      <c r="J42" s="239">
        <v>2559900</v>
      </c>
      <c r="K42" s="239">
        <v>3439500</v>
      </c>
      <c r="L42" s="240">
        <v>74.400000000000006</v>
      </c>
      <c r="M42" s="240">
        <v>0.8</v>
      </c>
      <c r="N42" s="314">
        <v>2581900</v>
      </c>
      <c r="O42" s="314">
        <v>3454000</v>
      </c>
      <c r="P42" s="314">
        <v>74.7</v>
      </c>
      <c r="Q42" s="314">
        <v>1</v>
      </c>
    </row>
    <row r="43" spans="1:19">
      <c r="A43" s="10" t="s">
        <v>47</v>
      </c>
      <c r="B43" s="314">
        <v>31266400</v>
      </c>
      <c r="C43" s="314">
        <v>41330500</v>
      </c>
      <c r="D43" s="315">
        <v>75.599999999999994</v>
      </c>
      <c r="E43" s="315">
        <v>0.2</v>
      </c>
      <c r="F43" s="239">
        <v>30915300</v>
      </c>
      <c r="G43" s="239">
        <v>41368300</v>
      </c>
      <c r="H43" s="240">
        <v>74.7</v>
      </c>
      <c r="I43" s="240">
        <v>0.2</v>
      </c>
      <c r="J43" s="314">
        <v>31339500</v>
      </c>
      <c r="K43" s="314">
        <v>41514600</v>
      </c>
      <c r="L43" s="315">
        <v>75.5</v>
      </c>
      <c r="M43" s="315">
        <v>0.3</v>
      </c>
      <c r="N43" s="314">
        <v>31559400</v>
      </c>
      <c r="O43" s="314">
        <v>41678800</v>
      </c>
      <c r="P43" s="314">
        <v>75.7</v>
      </c>
      <c r="Q43" s="314">
        <v>0.3</v>
      </c>
    </row>
    <row r="44" spans="1:19">
      <c r="A44" s="10" t="s">
        <v>359</v>
      </c>
      <c r="B44" s="125" cm="1">
        <f t="array" ref="B44">SUM(SUMIFS(B$9:B$41,$A$9:$A$41,{"Falkirk","Stirling","Clackmannanshire"}))</f>
        <v>142900</v>
      </c>
      <c r="C44" s="125" cm="1">
        <f t="array" ref="C44">SUM(SUMIFS(C$9:C$41,$A$9:$A$41,{"Falkirk","Stirling","Clackmannanshire"}))</f>
        <v>191500</v>
      </c>
      <c r="D44" s="316">
        <f t="shared" ref="D44" si="0">SUM(B44/C44)*100</f>
        <v>74.621409921671017</v>
      </c>
      <c r="E44" s="14"/>
      <c r="F44" s="125" cm="1">
        <f t="array" ref="F44">SUM(SUMIFS(F$9:F$41,$A$9:$A$41,{"Falkirk","Stirling","Clackmannanshire"}))</f>
        <v>143100</v>
      </c>
      <c r="G44" s="125" cm="1">
        <f t="array" ref="G44">SUM(SUMIFS(G$9:G$41,$A$9:$A$41,{"Falkirk","Stirling","Clackmannanshire"}))</f>
        <v>190800</v>
      </c>
      <c r="H44" s="316">
        <f t="shared" ref="H44" si="1">SUM(F44/G44)*100</f>
        <v>75</v>
      </c>
      <c r="I44" s="14"/>
      <c r="J44" s="125" cm="1">
        <f t="array" ref="J44">SUM(SUMIFS(J$9:J$41,$A$9:$A$41,{"Falkirk","Stirling","Clackmannanshire"}))</f>
        <v>143400</v>
      </c>
      <c r="K44" s="125" cm="1">
        <f t="array" ref="K44">SUM(SUMIFS(K$9:K$41,$A$9:$A$41,{"Falkirk","Stirling","Clackmannanshire"}))</f>
        <v>192000</v>
      </c>
      <c r="L44" s="316">
        <f t="shared" ref="L44" si="2">SUM(J44/K44)*100</f>
        <v>74.6875</v>
      </c>
      <c r="M44" s="14"/>
      <c r="N44" s="125" cm="1">
        <f t="array" ref="N44">SUM(SUMIFS(N$9:N$41,$A$9:$A$41,{"Falkirk","Stirling","Clackmannanshire"}))</f>
        <v>142100</v>
      </c>
      <c r="O44" s="125" cm="1">
        <f t="array" ref="O44">SUM(SUMIFS(O$9:O$41,$A$9:$A$41,{"Falkirk","Stirling","Clackmannanshire"}))</f>
        <v>192200</v>
      </c>
      <c r="P44" s="316">
        <f t="shared" ref="P44" si="3">SUM(N44/O44)*100</f>
        <v>73.933402705515078</v>
      </c>
      <c r="Q44" s="14"/>
    </row>
    <row r="45" spans="1:19">
      <c r="A45" s="10" t="s">
        <v>156</v>
      </c>
      <c r="B45" s="15" cm="1">
        <f t="array" ref="B45">SUM(SUMIFS(B$9:B$40,$A$9:$A$40,{"Aberdeen City","Aberdeenshire"}))</f>
        <v>243400</v>
      </c>
      <c r="C45" s="15" cm="1">
        <f t="array" ref="C45">SUM(SUMIFS(C$9:C$40,$A$9:$A$40,{"Aberdeen City","Aberdeenshire"}))</f>
        <v>321500</v>
      </c>
      <c r="D45" s="14">
        <f t="shared" ref="D45:D47" si="4">SUM(B45/C45)*100</f>
        <v>75.707620528771386</v>
      </c>
      <c r="E45" s="15"/>
      <c r="F45" s="15" cm="1">
        <f t="array" ref="F45">SUM(SUMIFS(F$9:F$40,$A$9:$A$40,{"Aberdeen City","Aberdeenshire"}))</f>
        <v>241800</v>
      </c>
      <c r="G45" s="15" cm="1">
        <f t="array" ref="G45">SUM(SUMIFS(G$9:G$40,$A$9:$A$40,{"Aberdeen City","Aberdeenshire"}))</f>
        <v>320500</v>
      </c>
      <c r="H45" s="14">
        <f t="shared" ref="H45:H47" si="5">SUM(F45/G45)*100</f>
        <v>75.444617784711383</v>
      </c>
      <c r="I45" s="15"/>
      <c r="J45" s="15" cm="1">
        <f t="array" ref="J45">SUM(SUMIFS(J$9:J$40,$A$9:$A$40,{"Aberdeen City","Aberdeenshire"}))</f>
        <v>244000</v>
      </c>
      <c r="K45" s="15" cm="1">
        <f t="array" ref="K45">SUM(SUMIFS(K$9:K$40,$A$9:$A$40,{"Aberdeen City","Aberdeenshire"}))</f>
        <v>326300</v>
      </c>
      <c r="L45" s="14">
        <f t="shared" ref="L45:L47" si="6">SUM(J45/K45)*100</f>
        <v>74.777811829604659</v>
      </c>
      <c r="M45" s="15"/>
      <c r="N45" s="15" cm="1">
        <f t="array" ref="N45">SUM(SUMIFS(N$9:N$40,$A$9:$A$40,{"Aberdeen City","Aberdeenshire"}))</f>
        <v>261500</v>
      </c>
      <c r="O45" s="15" cm="1">
        <f t="array" ref="O45">SUM(SUMIFS(O$9:O$40,$A$9:$A$40,{"Aberdeen City","Aberdeenshire"}))</f>
        <v>328400</v>
      </c>
      <c r="P45" s="14">
        <f t="shared" ref="P45:P47" si="7">SUM(N45/O45)*100</f>
        <v>79.628501827040196</v>
      </c>
      <c r="Q45" s="15"/>
    </row>
    <row r="46" spans="1:19">
      <c r="A46" s="10" t="s">
        <v>157</v>
      </c>
      <c r="B46" s="125" cm="1">
        <f t="array" ref="B46">SUM(SUMIFS(B$9:B$40,$A$9:$A$40,{"East Lothian","Edinburgh, City of","Fife","Midlothian","Scottish Borders","West Lothian"}))</f>
        <v>658100</v>
      </c>
      <c r="C46" s="125" cm="1">
        <f t="array" ref="C46">SUM(SUMIFS(C$9:C$40,$A$9:$A$40,{"East Lothian","Edinburgh, City of","Fife","Midlothian","Scottish Borders","West Lothian"}))</f>
        <v>890800</v>
      </c>
      <c r="D46" s="14">
        <f t="shared" si="4"/>
        <v>73.87741356084419</v>
      </c>
      <c r="E46" s="15"/>
      <c r="F46" s="125" cm="1">
        <f t="array" ref="F46">SUM(SUMIFS(F$9:F$40,$A$9:$A$40,{"East Lothian","Edinburgh, City of","Fife","Midlothian","Scottish Borders","West Lothian"}))</f>
        <v>659100</v>
      </c>
      <c r="G46" s="125" cm="1">
        <f t="array" ref="G46">SUM(SUMIFS(G$9:G$40,$A$9:$A$40,{"East Lothian","Edinburgh, City of","Fife","Midlothian","Scottish Borders","West Lothian"}))</f>
        <v>881500</v>
      </c>
      <c r="H46" s="14">
        <f t="shared" si="5"/>
        <v>74.770277935337489</v>
      </c>
      <c r="I46" s="15"/>
      <c r="J46" s="125" cm="1">
        <f t="array" ref="J46">SUM(SUMIFS(J$9:J$40,$A$9:$A$40,{"East Lothian","Edinburgh, City of","Fife","Midlothian","Scottish Borders","West Lothian"}))</f>
        <v>689900</v>
      </c>
      <c r="K46" s="125" cm="1">
        <f t="array" ref="K46">SUM(SUMIFS(K$9:K$40,$A$9:$A$40,{"East Lothian","Edinburgh, City of","Fife","Midlothian","Scottish Borders","West Lothian"}))</f>
        <v>889200</v>
      </c>
      <c r="L46" s="14">
        <f t="shared" si="6"/>
        <v>77.58659469185784</v>
      </c>
      <c r="M46" s="15"/>
      <c r="N46" s="125" cm="1">
        <f t="array" ref="N46">SUM(SUMIFS(N$9:N$40,$A$9:$A$40,{"East Lothian","Edinburgh, City of","Fife","Midlothian","Scottish Borders","West Lothian"}))</f>
        <v>699400</v>
      </c>
      <c r="O46" s="125" cm="1">
        <f t="array" ref="O46">SUM(SUMIFS(O$9:O$40,$A$9:$A$40,{"East Lothian","Edinburgh, City of","Fife","Midlothian","Scottish Borders","West Lothian"}))</f>
        <v>887000</v>
      </c>
      <c r="P46" s="14">
        <f t="shared" si="7"/>
        <v>78.85005636978579</v>
      </c>
      <c r="Q46" s="15"/>
    </row>
    <row r="47" spans="1:19">
      <c r="A47" s="10" t="s">
        <v>158</v>
      </c>
      <c r="B47" s="125" cm="1">
        <f t="array" ref="B47">SUM(SUMIFS(B$9:B$40,$A$9:$A$40,{"Angus","Dundee City","Fife","Perth and Kinross"}))</f>
        <v>346600</v>
      </c>
      <c r="C47" s="125" cm="1">
        <f t="array" ref="C47">SUM(SUMIFS(C$9:C$40,$A$9:$A$40,{"Angus","Dundee City","Fife","Perth and Kinross"}))</f>
        <v>481700</v>
      </c>
      <c r="D47" s="14">
        <f t="shared" si="4"/>
        <v>71.953498027818142</v>
      </c>
      <c r="E47" s="15"/>
      <c r="F47" s="125" cm="1">
        <f t="array" ref="F47">SUM(SUMIFS(F$9:F$40,$A$9:$A$40,{"Angus","Dundee City","Fife","Perth and Kinross"}))</f>
        <v>341600</v>
      </c>
      <c r="G47" s="125" cm="1">
        <f t="array" ref="G47">SUM(SUMIFS(G$9:G$40,$A$9:$A$40,{"Angus","Dundee City","Fife","Perth and Kinross"}))</f>
        <v>477300</v>
      </c>
      <c r="H47" s="14">
        <f t="shared" si="5"/>
        <v>71.569243662266913</v>
      </c>
      <c r="I47" s="15"/>
      <c r="J47" s="125" cm="1">
        <f t="array" ref="J47">SUM(SUMIFS(J$9:J$40,$A$9:$A$40,{"Angus","Dundee City","Fife","Perth and Kinross"}))</f>
        <v>354100</v>
      </c>
      <c r="K47" s="125" cm="1">
        <f t="array" ref="K47">SUM(SUMIFS(K$9:K$40,$A$9:$A$40,{"Angus","Dundee City","Fife","Perth and Kinross"}))</f>
        <v>479900</v>
      </c>
      <c r="L47" s="14">
        <f t="shared" si="6"/>
        <v>73.786205459470722</v>
      </c>
      <c r="M47" s="15"/>
      <c r="N47" s="125" cm="1">
        <f t="array" ref="N47">SUM(SUMIFS(N$9:N$40,$A$9:$A$40,{"Angus","Dundee City","Fife","Perth and Kinross"}))</f>
        <v>351200</v>
      </c>
      <c r="O47" s="125" cm="1">
        <f t="array" ref="O47">SUM(SUMIFS(O$9:O$40,$A$9:$A$40,{"Angus","Dundee City","Fife","Perth and Kinross"}))</f>
        <v>482000</v>
      </c>
      <c r="P47" s="14">
        <f t="shared" si="7"/>
        <v>72.863070539419084</v>
      </c>
      <c r="Q47" s="15"/>
    </row>
    <row r="48" spans="1:19">
      <c r="A48" s="10" t="s">
        <v>246</v>
      </c>
      <c r="B48" s="125" cm="1">
        <f t="array" ref="B48">SUM(SUMIFS(B$9:B$41,$A$9:$A$41,{"Na h-Eileanan Siar","Argyll and Bute","Shetland Islands","Highland","Orkney Islands","Scottish Borders","Dumfries and Galloway","Aberdeenshire"}))</f>
        <v>422400</v>
      </c>
      <c r="C48" s="125">
        <f>SUM(SUMIFS(C$9:C$41,$A$9:$A$41,{"Na h-Eileanan Siar","Argyll and Bute","Shetland Islands","Highland","Orkney Islands","Scottish Borders","Dumfries and Galloway","Aberdeenshire"}))</f>
        <v>548800</v>
      </c>
      <c r="D48" s="316">
        <f t="shared" ref="D48:D51" si="8">SUM(B48/C48)*100</f>
        <v>76.967930029154516</v>
      </c>
      <c r="E48" s="14"/>
      <c r="F48" s="125">
        <f>SUM(SUMIFS(F$9:F$41,$A$9:$A$41,{"Na h-Eileanan Siar","Argyll and Bute","Shetland Islands","Highland","Orkney Islands","Scottish Borders","Dumfries and Galloway","Aberdeenshire"}))</f>
        <v>397900</v>
      </c>
      <c r="G48" s="125">
        <f>SUM(SUMIFS(G$9:G$41,$A$9:$A$41,{"Na h-Eileanan Siar","Argyll and Bute","Shetland Islands","Highland","Orkney Islands","Scottish Borders","Dumfries and Galloway","Aberdeenshire"}))</f>
        <v>549200</v>
      </c>
      <c r="H48" s="316">
        <f t="shared" ref="H48:H51" si="9">SUM(F48/G48)*100</f>
        <v>72.450837581937364</v>
      </c>
      <c r="I48" s="14"/>
      <c r="J48" s="125">
        <f>SUM(SUMIFS(J$9:J$41,$A$9:$A$41,{"Na h-Eileanan Siar","Argyll and Bute","Shetland Islands","Highland","Orkney Islands","Scottish Borders","Dumfries and Galloway","Aberdeenshire"}))</f>
        <v>412200</v>
      </c>
      <c r="K48" s="125">
        <f>SUM(SUMIFS(K$9:K$41,$A$9:$A$41,{"Na h-Eileanan Siar","Argyll and Bute","Shetland Islands","Highland","Orkney Islands","Scottish Borders","Dumfries and Galloway","Aberdeenshire"}))</f>
        <v>550300</v>
      </c>
      <c r="L48" s="316">
        <f t="shared" ref="L48:L51" si="10">SUM(J48/K48)*100</f>
        <v>74.904597492276935</v>
      </c>
      <c r="M48" s="14"/>
      <c r="N48" s="125">
        <f>SUM(SUMIFS(N$9:N$41,$A$9:$A$41,{"Na h-Eileanan Siar","Argyll and Bute","Shetland Islands","Highland","Orkney Islands","Scottish Borders","Dumfries and Galloway","Aberdeenshire"}))</f>
        <v>429300</v>
      </c>
      <c r="O48" s="125">
        <f>SUM(SUMIFS(O$9:O$41,$A$9:$A$41,{"Na h-Eileanan Siar","Argyll and Bute","Shetland Islands","Highland","Orkney Islands","Scottish Borders","Dumfries and Galloway","Aberdeenshire"}))</f>
        <v>558300</v>
      </c>
      <c r="P48" s="316">
        <f t="shared" ref="P48:P51" si="11">SUM(N48/O48)*100</f>
        <v>76.894142933906508</v>
      </c>
      <c r="Q48" s="14"/>
    </row>
    <row r="49" spans="1:17">
      <c r="A49" s="10" t="s">
        <v>247</v>
      </c>
      <c r="B49" s="125">
        <f>SUM(SUMIFS(B$9:B$41,$A$9:$A$41,{"Perth and Kinross","Stirling","Moray","South Ayrshire","East Ayrshire","East Lothian","North Ayrshire","Fife"}))</f>
        <v>518200</v>
      </c>
      <c r="C49" s="125">
        <f>SUM(SUMIFS(C$9:C$41,$A$9:$A$41,{"Perth and Kinross","Stirling","Moray","South Ayrshire","East Ayrshire","East Lothian","North Ayrshire","Fife"}))</f>
        <v>716300</v>
      </c>
      <c r="D49" s="316">
        <f t="shared" si="8"/>
        <v>72.343989948345666</v>
      </c>
      <c r="E49" s="14"/>
      <c r="F49" s="125">
        <f>SUM(SUMIFS(F$9:F$41,$A$9:$A$41,{"Perth and Kinross","Stirling","Moray","South Ayrshire","East Ayrshire","East Lothian","North Ayrshire","Fife"}))</f>
        <v>512100</v>
      </c>
      <c r="G49" s="125">
        <f>SUM(SUMIFS(G$9:G$41,$A$9:$A$41,{"Perth and Kinross","Stirling","Moray","South Ayrshire","East Ayrshire","East Lothian","North Ayrshire","Fife"}))</f>
        <v>714300</v>
      </c>
      <c r="H49" s="316">
        <f t="shared" si="9"/>
        <v>71.692566148677031</v>
      </c>
      <c r="I49" s="14"/>
      <c r="J49" s="125">
        <f>SUM(SUMIFS(J$9:J$41,$A$9:$A$41,{"Perth and Kinross","Stirling","Moray","South Ayrshire","East Ayrshire","East Lothian","North Ayrshire","Fife"}))</f>
        <v>531600</v>
      </c>
      <c r="K49" s="125">
        <f>SUM(SUMIFS(K$9:K$41,$A$9:$A$41,{"Perth and Kinross","Stirling","Moray","South Ayrshire","East Ayrshire","East Lothian","North Ayrshire","Fife"}))</f>
        <v>716500</v>
      </c>
      <c r="L49" s="316">
        <f t="shared" si="10"/>
        <v>74.19399860432658</v>
      </c>
      <c r="M49" s="14"/>
      <c r="N49" s="125">
        <f>SUM(SUMIFS(N$9:N$41,$A$9:$A$41,{"Perth and Kinross","Stirling","Moray","South Ayrshire","East Ayrshire","East Lothian","North Ayrshire","Fife"}))</f>
        <v>534400</v>
      </c>
      <c r="O49" s="125">
        <f>SUM(SUMIFS(O$9:O$41,$A$9:$A$41,{"Perth and Kinross","Stirling","Moray","South Ayrshire","East Ayrshire","East Lothian","North Ayrshire","Fife"}))</f>
        <v>721700</v>
      </c>
      <c r="P49" s="316">
        <f t="shared" si="11"/>
        <v>74.047388111403635</v>
      </c>
      <c r="Q49" s="14"/>
    </row>
    <row r="50" spans="1:17">
      <c r="A50" s="10" t="s">
        <v>248</v>
      </c>
      <c r="B50" s="125">
        <f>SUM(SUMIFS(B$9:B$41,$A$9:$A$41,{"Angus","Clackmannanshire","Midlothian","South Lanarkshire","Inverclyde","Renfrewshire","West Lothian","East Renfrewshire"}))</f>
        <v>516100</v>
      </c>
      <c r="C50" s="125">
        <f>SUM(SUMIFS(C$9:C$41,$A$9:$A$41,{"Angus","Clackmannanshire","Midlothian","South Lanarkshire","Inverclyde","Renfrewshire","West Lothian","East Renfrewshire"}))</f>
        <v>688300</v>
      </c>
      <c r="D50" s="316">
        <f t="shared" si="8"/>
        <v>74.981839314252511</v>
      </c>
      <c r="E50" s="14"/>
      <c r="F50" s="125">
        <f>SUM(SUMIFS(F$9:F$41,$A$9:$A$41,{"Angus","Clackmannanshire","Midlothian","South Lanarkshire","Inverclyde","Renfrewshire","West Lothian","East Renfrewshire"}))</f>
        <v>519300</v>
      </c>
      <c r="G50" s="125">
        <f>SUM(SUMIFS(G$9:G$41,$A$9:$A$41,{"Angus","Clackmannanshire","Midlothian","South Lanarkshire","Inverclyde","Renfrewshire","West Lothian","East Renfrewshire"}))</f>
        <v>688200</v>
      </c>
      <c r="H50" s="316">
        <f t="shared" si="9"/>
        <v>75.457715780296425</v>
      </c>
      <c r="I50" s="14"/>
      <c r="J50" s="125">
        <f>SUM(SUMIFS(J$9:J$41,$A$9:$A$41,{"Angus","Clackmannanshire","Midlothian","South Lanarkshire","Inverclyde","Renfrewshire","West Lothian","East Renfrewshire"}))</f>
        <v>525000</v>
      </c>
      <c r="K50" s="125">
        <f>SUM(SUMIFS(K$9:K$41,$A$9:$A$41,{"Angus","Clackmannanshire","Midlothian","South Lanarkshire","Inverclyde","Renfrewshire","West Lothian","East Renfrewshire"}))</f>
        <v>688100</v>
      </c>
      <c r="L50" s="316">
        <f t="shared" si="10"/>
        <v>76.297049847405901</v>
      </c>
      <c r="M50" s="14"/>
      <c r="N50" s="125">
        <f>SUM(SUMIFS(N$9:N$41,$A$9:$A$41,{"Angus","Clackmannanshire","Midlothian","South Lanarkshire","Inverclyde","Renfrewshire","West Lothian","East Renfrewshire"}))</f>
        <v>523000</v>
      </c>
      <c r="O50" s="125">
        <f>SUM(SUMIFS(O$9:O$41,$A$9:$A$41,{"Angus","Clackmannanshire","Midlothian","South Lanarkshire","Inverclyde","Renfrewshire","West Lothian","East Renfrewshire"}))</f>
        <v>690700</v>
      </c>
      <c r="P50" s="316">
        <f t="shared" si="11"/>
        <v>75.720283770088315</v>
      </c>
      <c r="Q50" s="14"/>
    </row>
    <row r="51" spans="1:17">
      <c r="A51" s="10" t="s">
        <v>249</v>
      </c>
      <c r="B51" s="125">
        <f>SUM(SUMIFS(B$9:B$41,$A$9:$A$41,{"North Lanarkshire","Falkirk","East Dunbartonshire","Aberdeen City","Edinburgh, City of","West Dunbartonshire","Dundee City","Glasgow City"}))</f>
        <v>1066500</v>
      </c>
      <c r="C51" s="125">
        <f>SUM(SUMIFS(C$9:C$41,$A$9:$A$41,{"North Lanarkshire","Falkirk","East Dunbartonshire","Aberdeen City","Edinburgh, City of","West Dunbartonshire","Dundee City","Glasgow City"}))</f>
        <v>1483400</v>
      </c>
      <c r="D51" s="316">
        <f t="shared" si="8"/>
        <v>71.8956451395443</v>
      </c>
      <c r="E51" s="14"/>
      <c r="F51" s="125">
        <f>SUM(SUMIFS(F$9:F$41,$A$9:$A$41,{"North Lanarkshire","Falkirk","East Dunbartonshire","Aberdeen City","Edinburgh, City of","West Dunbartonshire","Dundee City","Glasgow City"}))</f>
        <v>1078500</v>
      </c>
      <c r="G51" s="125">
        <f>SUM(SUMIFS(G$9:G$41,$A$9:$A$41,{"North Lanarkshire","Falkirk","East Dunbartonshire","Aberdeen City","Edinburgh, City of","West Dunbartonshire","Dundee City","Glasgow City"}))</f>
        <v>1475500</v>
      </c>
      <c r="H51" s="316">
        <f t="shared" si="9"/>
        <v>73.093866485936971</v>
      </c>
      <c r="I51" s="14"/>
      <c r="J51" s="125">
        <f>SUM(SUMIFS(J$9:J$41,$A$9:$A$41,{"North Lanarkshire","Falkirk","East Dunbartonshire","Aberdeen City","Edinburgh, City of","West Dunbartonshire","Dundee City","Glasgow City"}))</f>
        <v>1091200</v>
      </c>
      <c r="K51" s="125">
        <f>SUM(SUMIFS(K$9:K$41,$A$9:$A$41,{"North Lanarkshire","Falkirk","East Dunbartonshire","Aberdeen City","Edinburgh, City of","West Dunbartonshire","Dundee City","Glasgow City"}))</f>
        <v>1484700</v>
      </c>
      <c r="L51" s="316">
        <f t="shared" si="10"/>
        <v>73.496329224759222</v>
      </c>
      <c r="M51" s="14"/>
      <c r="N51" s="125">
        <f>SUM(SUMIFS(N$9:N$41,$A$9:$A$41,{"North Lanarkshire","Falkirk","East Dunbartonshire","Aberdeen City","Edinburgh, City of","West Dunbartonshire","Dundee City","Glasgow City"}))</f>
        <v>1095400</v>
      </c>
      <c r="O51" s="125">
        <f>SUM(SUMIFS(O$9:O$41,$A$9:$A$41,{"North Lanarkshire","Falkirk","East Dunbartonshire","Aberdeen City","Edinburgh, City of","West Dunbartonshire","Dundee City","Glasgow City"}))</f>
        <v>1483300</v>
      </c>
      <c r="P51" s="316">
        <f t="shared" si="11"/>
        <v>73.848850535967102</v>
      </c>
      <c r="Q51" s="14"/>
    </row>
    <row r="52" spans="1:17">
      <c r="A52" s="10" t="s">
        <v>48</v>
      </c>
      <c r="B52" s="314">
        <v>858000</v>
      </c>
      <c r="C52" s="314">
        <v>1187900</v>
      </c>
      <c r="D52" s="315">
        <v>72.2</v>
      </c>
      <c r="E52" s="315">
        <v>1.4</v>
      </c>
      <c r="F52" s="314">
        <v>850700</v>
      </c>
      <c r="G52" s="314">
        <v>1186000</v>
      </c>
      <c r="H52" s="315">
        <v>71.7</v>
      </c>
      <c r="I52" s="315">
        <v>1.5</v>
      </c>
      <c r="J52" s="314">
        <v>869100</v>
      </c>
      <c r="K52" s="314">
        <v>1184900</v>
      </c>
      <c r="L52" s="315">
        <v>73.3</v>
      </c>
      <c r="M52" s="315">
        <v>1.5</v>
      </c>
      <c r="N52" s="314">
        <v>865900</v>
      </c>
      <c r="O52" s="314">
        <v>1187400</v>
      </c>
      <c r="P52" s="314">
        <v>72.900000000000006</v>
      </c>
      <c r="Q52" s="314">
        <v>1.8</v>
      </c>
    </row>
    <row r="53" spans="1:17">
      <c r="N53" s="314"/>
      <c r="O53" s="314"/>
      <c r="P53" s="314"/>
      <c r="Q53" s="314"/>
    </row>
  </sheetData>
  <mergeCells count="4">
    <mergeCell ref="B7:E7"/>
    <mergeCell ref="F7:I7"/>
    <mergeCell ref="J7:M7"/>
    <mergeCell ref="N7:Q7"/>
  </mergeCells>
  <conditionalFormatting sqref="A1:XFD1048576">
    <cfRule type="expression" dxfId="78"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B1:EF55"/>
  <sheetViews>
    <sheetView showGridLines="0" zoomScale="90" zoomScaleNormal="90" workbookViewId="0">
      <selection activeCell="C6" sqref="C6"/>
    </sheetView>
  </sheetViews>
  <sheetFormatPr defaultColWidth="8.7109375" defaultRowHeight="12"/>
  <cols>
    <col min="1" max="1" width="8.7109375" style="169"/>
    <col min="2" max="2" width="8.7109375" style="145" customWidth="1"/>
    <col min="3" max="3" width="43.42578125" style="169" bestFit="1" customWidth="1"/>
    <col min="4" max="12" width="11" style="169" customWidth="1"/>
    <col min="13" max="14" width="14.42578125" style="169" customWidth="1"/>
    <col min="15" max="15" width="12.42578125" style="145" customWidth="1"/>
    <col min="16" max="136" width="8.7109375" style="145"/>
    <col min="137" max="16384" width="8.7109375" style="169"/>
  </cols>
  <sheetData>
    <row r="1" spans="2:136" s="145" customFormat="1" ht="12.75" thickBot="1"/>
    <row r="2" spans="2:136" s="205" customFormat="1" ht="23.45" customHeight="1" thickBot="1">
      <c r="B2" s="202"/>
      <c r="C2" s="203" t="s">
        <v>269</v>
      </c>
      <c r="D2" s="151" t="s">
        <v>153</v>
      </c>
      <c r="E2" s="204"/>
      <c r="F2" s="204"/>
      <c r="G2" s="204"/>
      <c r="H2" s="204"/>
      <c r="I2" s="204"/>
      <c r="J2" s="151" t="s">
        <v>279</v>
      </c>
      <c r="K2" s="204"/>
      <c r="L2" s="204"/>
      <c r="M2" s="459" t="s">
        <v>52</v>
      </c>
      <c r="N2" s="460"/>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row>
    <row r="3" spans="2:136" s="205" customFormat="1" ht="48" customHeight="1" thickBot="1">
      <c r="B3" s="202"/>
      <c r="C3" s="203" t="s">
        <v>236</v>
      </c>
      <c r="D3" s="206" t="s">
        <v>15</v>
      </c>
      <c r="E3" s="182" t="s">
        <v>52</v>
      </c>
      <c r="F3" s="182" t="s">
        <v>246</v>
      </c>
      <c r="G3" s="182" t="s">
        <v>247</v>
      </c>
      <c r="H3" s="182" t="s">
        <v>248</v>
      </c>
      <c r="I3" s="182" t="s">
        <v>249</v>
      </c>
      <c r="J3" s="155" t="s">
        <v>156</v>
      </c>
      <c r="K3" s="182" t="s">
        <v>46</v>
      </c>
      <c r="L3" s="182" t="s">
        <v>47</v>
      </c>
      <c r="M3" s="207" t="s">
        <v>237</v>
      </c>
      <c r="N3" s="208" t="s">
        <v>280</v>
      </c>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row>
    <row r="4" spans="2:136" ht="23.45" customHeight="1">
      <c r="B4" s="461" t="s">
        <v>301</v>
      </c>
      <c r="C4" s="160" t="s">
        <v>59</v>
      </c>
      <c r="D4" s="135">
        <f>VLOOKUP(D$3,'Raw - Child Poverty'!$A:$Q,16,FALSE)</f>
        <v>21.806700527667999</v>
      </c>
      <c r="E4" s="209">
        <f>VLOOKUP(E$3,'Child Poverty'!$B:$G,6,FALSE)</f>
        <v>14.000661671161652</v>
      </c>
      <c r="F4" s="209">
        <f>VLOOKUP(F$3,'Raw - Child Poverty'!$A:$Q,16,FALSE)</f>
        <v>18.886021305119417</v>
      </c>
      <c r="G4" s="209">
        <f>VLOOKUP(G$3,'Raw - Child Poverty'!$A:$Q,16,FALSE)</f>
        <v>23.092344551065015</v>
      </c>
      <c r="H4" s="209">
        <f>VLOOKUP(H$3,'Raw - Child Poverty'!$A:$Q,16,FALSE)</f>
        <v>25.353901964395803</v>
      </c>
      <c r="I4" s="209">
        <f>VLOOKUP(I$3,'Raw - Child Poverty'!$A:$Q,16,FALSE)</f>
        <v>29.493408938158694</v>
      </c>
      <c r="J4" s="209">
        <f>VLOOKUP(J$3,'Raw - Child Poverty'!$A:$Q,16,FALSE)</f>
        <v>18.719347715990938</v>
      </c>
      <c r="K4" s="209">
        <f>VLOOKUP(K$3,'Raw - Child Poverty'!$A:$Q,16,FALSE)</f>
        <v>24.473927977812586</v>
      </c>
      <c r="L4" s="209">
        <f>IF(VLOOKUP(L$3,'Raw - Child Poverty'!$A:$Q,16,FALSE)&lt;0.0001,"-",VLOOKUP(L$3,'Raw - Child Poverty'!$A:$Q,16,FALSE))</f>
        <v>28.936021126269207</v>
      </c>
      <c r="M4" s="210">
        <f>IF(IF(AND(L4="-",M$2="United Kingdom"),"-",IF(M$2="Top Performing Scottish Local Authority",SUM(E4-D4),IF(M$2="City Region Comparator",SUM(J4-D4),IF(M$2="Scotland",SUM(K4-D4),IF(M$2="LGBF Family Group 1 Average",SUM(F4-D4),IF(M$2="LGBF Family Group 2 Average",SUM(G4-D4),IF(M$2="LGBF Family Group 3 Average",SUM(H4-D4),IF(M$2="LGBF Family Group 4 Average",SUM(I4-D4),SUM(L4-D4)))))))))&gt;0,"-",IF(AND(L4="-",M$2="United Kingdom"),"-",IF(M$2="Top Performing Scottish Local Authority",SUM(E4-D4),IF(M$2="City Region Comparator",SUM(J4-D4),IF(M$2="Scotland",SUM(K4-D4),IF(M$2="LGBF Family Group 1 Average",SUM(F4-D4),IF(M$2="LGBF Family Group 2 Average",SUM(G4-D4),IF(M$2="LGBF Family Group 3 Average",SUM(H4-D4),IF(M$2="LGBF Family Group 4 Average",SUM(I4-D4),SUM(L4-D4))))))))))</f>
        <v>-7.8060388565063477</v>
      </c>
      <c r="N4" s="211">
        <f>IF(M4="-","-",IF($M$2="Top Performing Scottish Local Authority",SUM(MROUND(SUM(E4*VLOOKUP($D$3,'Raw - Child Poverty'!A:Q,15,FALSE)/100),100)-MROUND(SUM(VLOOKUP($D$3,'Raw - Child Poverty'!A:Q,16,FALSE)*VLOOKUP($D$3,'Raw - Child Poverty'!A:Q,15,FALSE)/100),100)),IF($M$2="LGBF Family Group 1 Average",SUM(MROUND(SUM(F4*VLOOKUP($D$3,'Raw - Child Poverty'!A:Q,15,FALSE)/100),100)-MROUND(SUM(VLOOKUP($D$3,'Raw - Child Poverty'!A:Q,16,FALSE)*VLOOKUP($D$3,'Raw - Child Poverty'!A:Q,15,FALSE)/100),100)),IF($M$2="LGBF Family Group 2 Average",SUM(MROUND(SUM(G4*VLOOKUP($D$3,'Raw - Child Poverty'!A:Q,15,FALSE)/100),100)-MROUND(SUM(VLOOKUP($D$3,'Raw - Child Poverty'!A:Q,16,FALSE)*VLOOKUP($D$3,'Raw - Child Poverty'!A:Q,15,FALSE)/100),100)),IF($M$2="LGBF Family Group 3 Average",SUM(MROUND(SUM(H4*VLOOKUP($D$3,'Raw - Child Poverty'!A:Q,15,FALSE)/100),100)-MROUND(SUM(VLOOKUP($D$3,'Raw - Child Poverty'!A:Q,16,FALSE)*VLOOKUP($D$3,'Raw - Child Poverty'!A:Q,15,FALSE)/100),100)),IF($M$2="LGBF Family Group 4 Average",SUM(MROUND(SUM(I4*VLOOKUP($D$3,'Raw - Child Poverty'!A:Q,15,FALSE)/100),100)-MROUND(SUM(VLOOKUP($D$3,'Raw - Child Poverty'!A:Q,16,FALSE)*VLOOKUP($D$3,'Raw - Child Poverty'!A:Q,15,FALSE)/100),100)),IF($M$2="City Region Comparator",SUM(MROUND(SUM(J4*VLOOKUP($D$3,'Raw - Child Poverty'!A:Q,15,FALSE)/100),100)-MROUND(SUM(VLOOKUP($D$3,'Raw - Child Poverty'!A:Q,16,FALSE)*VLOOKUP($D$3,'Raw - Child Poverty'!A:Q,15,FALSE)/100),100)),IF($M$2="Scotland",SUM(MROUND(SUM(K4*VLOOKUP($D$3,'Raw - Child Poverty'!A:Q,15,FALSE)/100),100)-MROUND(SUM(VLOOKUP($D$3,'Raw - Child Poverty'!A:Q,16,FALSE)*VLOOKUP($D$3,'Raw - Child Poverty'!A:Q,15,FALSE)/100),100)),SUM(MROUND(SUM(L4*VLOOKUP($D$3,'Raw - Child Poverty'!A:Q,15,FALSE)/100),100)-MROUND(SUM(VLOOKUP($D$3,'Raw - Child Poverty'!A:Q,16,FALSE)*VLOOKUP($D$3,'Raw - Child Poverty'!A:Q,15,FALSE)/100),100))))))))))</f>
        <v>-3100</v>
      </c>
    </row>
    <row r="5" spans="2:136" ht="23.45" customHeight="1">
      <c r="B5" s="462"/>
      <c r="C5" s="160" t="s">
        <v>275</v>
      </c>
      <c r="D5" s="135">
        <f>VLOOKUP(D$3,'Raw - Childcare'!$A:$Q,16,FALSE)</f>
        <v>25.543781372002233</v>
      </c>
      <c r="E5" s="209">
        <f>VLOOKUP(E$3,Childcare!$B:$G,6,FALSE)</f>
        <v>35.743547726341667</v>
      </c>
      <c r="F5" s="209">
        <f>VLOOKUP(F$3,'Raw - Childcare'!$A:$Q,16,FALSE)</f>
        <v>28.203509011469141</v>
      </c>
      <c r="G5" s="209">
        <f>VLOOKUP(G$3,'Raw - Childcare'!$A:$Q,16,FALSE)</f>
        <v>24.941851202803889</v>
      </c>
      <c r="H5" s="209">
        <f>VLOOKUP(H$3,'Raw - Childcare'!$A:$Q,16,FALSE)</f>
        <v>23.2036616781158</v>
      </c>
      <c r="I5" s="209">
        <f>VLOOKUP(I$3,'Raw - Childcare'!$A:$Q,16,FALSE)</f>
        <v>21.413837641933185</v>
      </c>
      <c r="J5" s="209">
        <f>VLOOKUP(J$3,'Raw - Childcare'!$A:$Q,16,FALSE)</f>
        <v>24.822947014377412</v>
      </c>
      <c r="K5" s="209">
        <f>VLOOKUP(K$3,'Raw - Childcare'!$A:$Q,16,FALSE)</f>
        <v>24.292337431241375</v>
      </c>
      <c r="L5" s="209" t="str">
        <f>IF(VLOOKUP(L$3,'Raw - Childcare'!$A:$Q,16,FALSE)&lt;0.0001,"-",VLOOKUP(L$3,'Raw - Childcare'!$A:$Q,16,FALSE))</f>
        <v>-</v>
      </c>
      <c r="M5" s="210">
        <f>IF(IF(AND(L5="-",M$2="United Kingdom"),"-",IF(M$2="Top Performing Scottish Local Authority",SUM(E5-D5),IF(M$2="City Region Comparator",SUM(J5-D5),IF(M$2="Scotland",SUM(K5-D5),IF(M$2="LGBF Family Group 1 Average",SUM(F5-D5),IF(M$2="LGBF Family Group 2 Average",SUM(G5-D5),IF(M$2="LGBF Family Group 3 Average",SUM(H5-D5),IF(M$2="LGBF Family Group 4 Average",SUM(I5-D5),SUM(L5-D5)))))))))&lt;0,"-",IF(AND(L5="-",M$2="United Kingdom"),"-",IF(M$2="Top Performing Scottish Local Authority",SUM(E5-D5),IF(M$2="City Region Comparator",SUM(J5-D5),IF(M$2="Scotland",SUM(K5-D5),IF(M$2="LGBF Family Group 1 Average",SUM(F5-D5),IF(M$2="LGBF Family Group 2 Average",SUM(G5-D5),IF(M$2="LGBF Family Group 3 Average",SUM(H5-D5),IF(M$2="LGBF Family Group 4 Average",SUM(I5-D5),SUM(L5-D5))))))))))</f>
        <v>10.199766354339435</v>
      </c>
      <c r="N5" s="211">
        <f>IF(M5="-","-",IF($M$2="Top Performing Scottish Local Authority",SUM(MROUND(SUM(E5*VLOOKUP($D$3,'Raw - Childcare'!A:Q,15,FALSE)/100),100)-MROUND(SUM(VLOOKUP($D$3,'Raw - Childcare'!A:Q,16,FALSE)*VLOOKUP($D$3,'Raw - Childcare'!A:Q,15,FALSE)/100),100)),
IF($M$2="LGBF Family Group 1 Average",SUM(MROUND(SUM(F5*VLOOKUP($D$3,'Raw - Childcare'!A:Q,15,FALSE)/100),100)-MROUND(SUM(VLOOKUP($D$3,'Raw - Childcare'!A:Q,16,FALSE)*VLOOKUP($D$3,'Raw - Childcare'!A:Q,15,FALSE)/100),100)),
IF($M$2="LGBF Family Group 2 Average",SUM(MROUND(SUM(G5*VLOOKUP($D$3,'Raw - Childcare'!A:Q,15,FALSE)/100),100)-MROUND(SUM(VLOOKUP($D$3,'Raw - Childcare'!A:Q,16,FALSE)*VLOOKUP($D$3,'Raw - Childcare'!A:Q,15,FALSE)/100),100)),
IF($M$2="LGBF Family Group 3 Average",SUM(MROUND(SUM(H5*VLOOKUP($D$3,'Raw - Childcare'!A:Q,15,FALSE)/100),100)-MROUND(SUM(VLOOKUP($D$3,'Raw - Childcare'!A:Q,16,FALSE)*VLOOKUP($D$3,'Raw - Childcare'!A:Q,15,FALSE)/100),100)),
IF($M$2="LGBF Family Group 4 Average",SUM(MROUND(SUM(I5*VLOOKUP($D$3,'Raw - Childcare'!A:Q,15,FALSE)/100),100)-MROUND(SUM(VLOOKUP($D$3,'Raw - Childcare'!A:Q,16,FALSE)*VLOOKUP($D$3,'Raw - Childcare'!A:Q,15,FALSE)/100),100)),
IF($M$2="City Region Comparator",SUM(MROUND(SUM(J5*VLOOKUP($D$3,'Raw - Childcare'!A:Q,15,FALSE)/100),100)-MROUND(SUM(VLOOKUP($D$3,'Raw - Childcare'!A:Q,16,FALSE)*VLOOKUP($D$3,'Raw - Childcare'!A:Q,15,FALSE)/100),100)),IF($M$2="Scotland",SUM(MROUND(SUM(K5*VLOOKUP($D$3,'Raw - Childcare'!A:Q,15,FALSE)/100),100)-MROUND(SUM(VLOOKUP($D$3,'Raw - Childcare'!A:Q,16,FALSE)*VLOOKUP($D$3,'Raw - Childcare'!A:Q,15,FALSE)/100),100)),SUM(MROUND(SUM(L5*VLOOKUP($D$3,'Raw - Childcare'!A:Q,15,FALSE)/100),100)-MROUND(SUM(VLOOKUP($D$3,'Raw - Childcare'!A:Q,16,FALSE)*VLOOKUP($D$3,'Raw - Childcare'!A:Q,15,FALSE)/100),100))))))))))</f>
        <v>3600</v>
      </c>
    </row>
    <row r="6" spans="2:136" s="145" customFormat="1" ht="23.45" customHeight="1">
      <c r="B6" s="462"/>
      <c r="C6" s="160" t="s">
        <v>300</v>
      </c>
      <c r="D6" s="135">
        <f>VLOOKUP(D$3,'Raw - Children in Low Income'!$A:$Q,16,FALSE)</f>
        <v>17.5</v>
      </c>
      <c r="E6" s="209">
        <f>VLOOKUP(E$3,'Children in Low Income'!$B:$G,6,FALSE)</f>
        <v>10.299999999999999</v>
      </c>
      <c r="F6" s="209">
        <f>VLOOKUP(F$3,'Raw - Children in Low Income'!$A:$Q,16,FALSE)</f>
        <v>14.497105915434075</v>
      </c>
      <c r="G6" s="209">
        <f>VLOOKUP(G$3,'Raw - Children in Low Income'!$A:$Q,16,FALSE)</f>
        <v>18.886588065243611</v>
      </c>
      <c r="H6" s="209">
        <f>VLOOKUP(H$3,'Raw - Children in Low Income'!$A:$Q,16,FALSE)</f>
        <v>22.059931304130796</v>
      </c>
      <c r="I6" s="209">
        <f>VLOOKUP(I$3,'Raw - Children in Low Income'!$A:$Q,16,FALSE)</f>
        <v>28.295246136682799</v>
      </c>
      <c r="J6" s="209">
        <f>VLOOKUP(J$3,'Raw - Children in Low Income'!$A:$Q,16,FALSE)</f>
        <v>14.511257265016573</v>
      </c>
      <c r="K6" s="209">
        <f>VLOOKUP(K$3,'Raw - Children in Low Income'!$A:$Q,16,FALSE)</f>
        <v>21.344451370248031</v>
      </c>
      <c r="L6" s="209">
        <f>IF(VLOOKUP(L$3,'Raw - Children in Low Income'!$A:$Q,16,FALSE)&lt;0.0001,"-",VLOOKUP(L$3,'Raw - Children in Low Income'!$A:$Q,16,FALSE))</f>
        <v>20.100000000000001</v>
      </c>
      <c r="M6" s="210">
        <f t="shared" ref="M6:M24" si="0">IF(IF(AND(L6="-",M$2="United Kingdom"),"-",IF(M$2="Top Performing Scottish Local Authority",SUM(E6-D6),IF(M$2="City Region Comparator",SUM(J6-D6),IF(M$2="Scotland",SUM(K6-D6),IF(M$2="LGBF Family Group 1 Average",SUM(F6-D6),IF(M$2="LGBF Family Group 2 Average",SUM(G6-D6),IF(M$2="LGBF Family Group 3 Average",SUM(H6-D6),IF(M$2="LGBF Family Group 4 Average",SUM(I6-D6),SUM(L6-D6)))))))))&gt;0,"-",IF(AND(L6="-",M$2="United Kingdom"),"-",IF(M$2="Top Performing Scottish Local Authority",SUM(E6-D6),IF(M$2="City Region Comparator",SUM(J6-D6),IF(M$2="Scotland",SUM(K6-D6),IF(M$2="LGBF Family Group 1 Average",SUM(F6-D6),IF(M$2="LGBF Family Group 2 Average",SUM(G6-D6),IF(M$2="LGBF Family Group 3 Average",SUM(H6-D6),IF(M$2="LGBF Family Group 4 Average",SUM(I6-D6),SUM(L6-D6))))))))))</f>
        <v>-7.2000000000000011</v>
      </c>
      <c r="N6" s="211">
        <f>IF(M6="-","-",IF($M$2="Top Performing Scottish Local Authority",SUM(MROUND(SUM(E6*VLOOKUP($D$3,'Raw - Children in Low Income'!A:Q,15,FALSE)/100),100)-MROUND(SUM(VLOOKUP($D$3,'Raw - Children in Low Income'!A:Q,16,FALSE)*VLOOKUP($D$3,'Raw - Children in Low Income'!A:Q,15,FALSE)/100),100)),
IF($M$2="LGBF Family Group 1 Average",SUM(MROUND(SUM(F6*VLOOKUP($D$3,'Raw - Children in Low Income'!A:Q,15,FALSE)/100),100)-MROUND(SUM(VLOOKUP($D$3,'Raw - Children in Low Income'!A:Q,16,FALSE)*VLOOKUP($D$3,'Raw - Children in Low Income'!A:Q,15,FALSE)/100),100)),
IF($M$2="LGBF Family Group 2 Average",SUM(MROUND(SUM(G6*VLOOKUP($D$3,'Raw - Children in Low Income'!A:Q,15,FALSE)/100),100)-MROUND(SUM(VLOOKUP($D$3,'Raw - Children in Low Income'!A:Q,16,FALSE)*VLOOKUP($D$3,'Raw - Children in Low Income'!A:Q,15,FALSE)/100),100)),
IF($M$2="LGBF Family Group 3 Average",SUM(MROUND(SUM(H6*VLOOKUP($D$3,'Raw - Children in Low Income'!A:Q,15,FALSE)/100),100)-MROUND(SUM(VLOOKUP($D$3,'Raw - Children in Low Income'!A:Q,16,FALSE)*VLOOKUP($D$3,'Raw - Children in Low Income'!A:Q,15,FALSE)/100),100)),
IF($M$2="LGBF Family Group 4 Average",SUM(MROUND(SUM(I6*VLOOKUP($D$3,'Raw - Children in Low Income'!A:Q,15,FALSE)/100),100)-MROUND(SUM(VLOOKUP($D$3,'Raw - Children in Low Income'!A:Q,16,FALSE)*VLOOKUP($D$3,'Raw - Children in Low Income'!A:Q,15,FALSE)/100),100)),
IF($M$2="City Region Comparator",SUM(MROUND(SUM(J6*VLOOKUP($D$3,'Raw - Children in Low Income'!A:Q,15,FALSE)/100),100)-MROUND(SUM(VLOOKUP($D$3,'Raw - Children in Low Income'!A:Q,16,FALSE)*VLOOKUP($D$3,'Raw - Children in Low Income'!A:Q,15,FALSE)/100),100)),IF($M$2="Scotland",SUM(MROUND(SUM(K6*VLOOKUP($D$3,'Raw - Children in Low Income'!A:Q,15,FALSE)/100),100)-MROUND(SUM(VLOOKUP($D$3,'Raw - Children in Low Income'!A:Q,16,FALSE)*VLOOKUP($D$3,'Raw - Children in Low Income'!A:Q,15,FALSE)/100),100)),SUM(MROUND(SUM(L6*VLOOKUP($D$3,'Raw - Children in Low Income'!A:Q,15,FALSE)/100),100)-MROUND(SUM(VLOOKUP($D$3,'Raw - Children in Low Income'!A:Q,16,FALSE)*VLOOKUP($D$3,'Raw - Children in Low Income'!A:Q,15,FALSE)/100),100))))))))))</f>
        <v>-2600</v>
      </c>
    </row>
    <row r="7" spans="2:136" s="145" customFormat="1" ht="23.45" customHeight="1">
      <c r="B7" s="462"/>
      <c r="C7" s="160" t="s">
        <v>362</v>
      </c>
      <c r="D7" s="135">
        <f>IF(VLOOKUP(D$3,'Raw - Households on UC'!$A:$Q,16,FALSE)="","-",(VLOOKUP(D$3,'Raw - Households on UC'!$A:$Q,16,FALSE)))</f>
        <v>15.527273382331749</v>
      </c>
      <c r="E7" s="209">
        <f>VLOOKUP(E$3,'Households on UC'!$B:$G,6,FALSE)</f>
        <v>10.61881417075201</v>
      </c>
      <c r="F7" s="209">
        <f>VLOOKUP(F$3,'Raw - Households on UC'!$A:$Q,16,FALSE)</f>
        <v>13.544563792101894</v>
      </c>
      <c r="G7" s="209">
        <f>VLOOKUP(G$3,'Raw - Households on UC'!$A:$Q,16,FALSE)</f>
        <v>15.945366850344225</v>
      </c>
      <c r="H7" s="209">
        <f>VLOOKUP(H$3,'Raw - Households on UC'!$A:$Q,16,FALSE)</f>
        <v>19.426599041983657</v>
      </c>
      <c r="I7" s="209">
        <f>VLOOKUP(I$3,'Raw - Households on UC'!$A:$Q,16,FALSE)</f>
        <v>24.370909824050916</v>
      </c>
      <c r="J7" s="209">
        <f>VLOOKUP(J$3,'Raw - Households on UC'!$A:$Q,16,FALSE)</f>
        <v>13.751421009432431</v>
      </c>
      <c r="K7" s="209">
        <f>VLOOKUP(K$3,'Raw - Households on UC'!$A:$Q,16,FALSE)</f>
        <v>18.74512387045371</v>
      </c>
      <c r="L7" s="209" t="s">
        <v>71</v>
      </c>
      <c r="M7" s="210">
        <f>IF(IF(AND(L7="-",M$2="United Kingdom"),"-",IF(M$2="Top Performing Scottish Local Authority",SUM(E7-D7),IF(M$2="City Region Comparator",SUM(J7-D7),IF(M$2="Scotland",SUM(K7-D7),IF(M$2="LGBF Family Group 1 Average",SUM(F7-D7),IF(M$2="LGBF Family Group 2 Average",SUM(G7-D7),IF(M$2="LGBF Family Group 3 Average",SUM(H7-D7),IF(M$2="LGBF Family Group 4 Average",SUM(I7-D7),SUM(L7-D7)))))))))&gt;0,"-",IF(AND(L7="-",M$2="United Kingdom"),"-",IF(M$2="Top Performing Scottish Local Authority",SUM(E7-D7),IF(M$2="City Region Comparator",SUM(J7-D7),IF(M$2="Scotland",SUM(K7-D7),IF(M$2="LGBF Family Group 1 Average",SUM(F7-D7),IF(M$2="LGBF Family Group 2 Average",SUM(G7-D7),IF(M$2="LGBF Family Group 3 Average",SUM(H7-D7),IF(M$2="LGBF Family Group 4 Average",SUM(I7-D7),SUM(L7-D7))))))))))</f>
        <v>-4.9084592115797392</v>
      </c>
      <c r="N7" s="211">
        <f>IF(M7="-","-",IF($M$2="Top Performing Scottish Local Authority",SUM(MROUND(SUM(E7*VLOOKUP($D$3,'Raw - Households on UC'!A:Q,15,FALSE)/100),100)-MROUND(SUM(VLOOKUP($D$3,'Raw - Households on UC'!A:Q,16,FALSE)*VLOOKUP($D$3,'Raw - Households on UC'!A:Q,15,FALSE)/100),100)),
IF($M$2="LGBF Family Group 1 Average",SUM(MROUND(SUM(F7*VLOOKUP($D$3,'Raw - Households on UC'!A:Q,15,FALSE)/100),100)-MROUND(SUM(VLOOKUP($D$3,'Raw - Households on UC'!A:Q,16,FALSE)*VLOOKUP($D$3,'Raw - Households on UC'!A:Q,15,FALSE)/100),100)),
IF($M$2="LGBF Family Group 2 Average",SUM(MROUND(SUM(G7*VLOOKUP($D$3,'Raw - Households on UC'!A:Q,15,FALSE)/100),100)-MROUND(SUM(VLOOKUP($D$3,'Raw - Households on UC'!A:Q,16,FALSE)*VLOOKUP($D$3,'Raw - Households on UC'!A:Q,15,FALSE)/100),100)),
IF($M$2="LGBF Family Group 3 Average",SUM(MROUND(SUM(H7*VLOOKUP($D$3,'Raw - Households on UC'!A:Q,15,FALSE)/100),100)-MROUND(SUM(VLOOKUP($D$3,'Raw - Households on UC'!A:Q,16,FALSE)*VLOOKUP($D$3,'Raw - Households on UC'!A:Q,15,FALSE)/100),100)),
IF($M$2="LGBF Family Group 4 Average",SUM(MROUND(SUM(I7*VLOOKUP($D$3,'Raw - Households on UC'!A:Q,15,FALSE)/100),100)-MROUND(SUM(VLOOKUP($D$3,'Raw - Households on UC'!A:Q,16,FALSE)*VLOOKUP($D$3,'Raw - Households on UC'!A:Q,15,FALSE)/100),100)),
IF($M$2="City Region Comparator",SUM(MROUND(SUM(J7*VLOOKUP($D$3,'Raw - Households on UC'!A:Q,15,FALSE)/100),100)-MROUND(SUM(VLOOKUP($D$3,'Raw - Households on UC'!A:Q,16,FALSE)*VLOOKUP($D$3,'Raw - Households on UC'!A:Q,15,FALSE)/100),100)),IF($M$2="Scotland",SUM(MROUND(SUM(K7*VLOOKUP($D$3,'Raw - Households on UC'!A:Q,15,FALSE)/100),100)-MROUND(SUM(VLOOKUP($D$3,'Raw - Households on UC'!A:Q,16,FALSE)*VLOOKUP($D$3,'Raw - Households on UC'!A:Q,15,FALSE)/100),100)),SUM(MROUND(SUM(L7*VLOOKUP($D$3,'Raw - Households on UC'!A:Q,15,FALSE)/100),100)-MROUND(SUM(VLOOKUP($D$3,'Raw - Households on UC'!A:Q,16,FALSE)*VLOOKUP($D$3,'Raw - Households on UC'!A:Q,15,FALSE)/100),100))))))))))</f>
        <v>-5400</v>
      </c>
    </row>
    <row r="8" spans="2:136" s="145" customFormat="1" ht="23.45" customHeight="1">
      <c r="B8" s="462"/>
      <c r="C8" s="160" t="s">
        <v>287</v>
      </c>
      <c r="D8" s="135">
        <f>VLOOKUP(D$3,'Raw - Child Benefit'!$A:$Q,16,FALSE)</f>
        <v>85.728518057285186</v>
      </c>
      <c r="E8" s="209">
        <f>VLOOKUP(E$3,'Child Benefit'!$B:$G,6,FALSE)</f>
        <v>79.171094580233785</v>
      </c>
      <c r="F8" s="209">
        <f>VLOOKUP(F$3,'Raw - Child Benefit'!$A:$Q,16,FALSE)</f>
        <v>83.803564240494737</v>
      </c>
      <c r="G8" s="209">
        <f>VLOOKUP(G$3,'Raw - Child Benefit'!$A:$Q,16,FALSE)</f>
        <v>91.081738073533884</v>
      </c>
      <c r="H8" s="209">
        <f>VLOOKUP(H$3,'Raw - Child Benefit'!$A:$Q,16,FALSE)</f>
        <v>92.200870517869305</v>
      </c>
      <c r="I8" s="209">
        <f>VLOOKUP(I$3,'Raw - Child Benefit'!$A:$Q,16,FALSE)</f>
        <v>94.953033918269952</v>
      </c>
      <c r="J8" s="209">
        <f>VLOOKUP(J$3,'Raw - Child Benefit'!$A:$Q,16,FALSE)</f>
        <v>81.896284028568473</v>
      </c>
      <c r="K8" s="209">
        <f>VLOOKUP(K$3,'Raw - Child Benefit'!$A:$Q,16,FALSE)</f>
        <v>90.791979290070643</v>
      </c>
      <c r="L8" s="209">
        <f>IF(VLOOKUP(L$3,'Raw - Child Benefit'!$A:$Q,16,FALSE)&lt;0.0001,"-",VLOOKUP(L$3,'Raw - Child Benefit'!$A:$Q,16,FALSE))</f>
        <v>90.308408343628869</v>
      </c>
      <c r="M8" s="210">
        <f t="shared" si="0"/>
        <v>-6.5574234770514011</v>
      </c>
      <c r="N8" s="211">
        <f>IF(M8="-","-",IF($M$2="Top Performing Scottish Local Authority",SUM(MROUND(SUM(E8*VLOOKUP($D$3,'Raw - Child Benefit'!A:Q,15,FALSE)/100),100)-MROUND(SUM(VLOOKUP($D$3,'Raw - Child Benefit'!A:Q,16,FALSE)*VLOOKUP($D$3,'Raw - Child Benefit'!A:Q,15,FALSE)/100),100)),
IF($M$2="LGBF Family Group 1 Average",SUM(MROUND(SUM(F8*VLOOKUP($D$3,'Raw - Child Benefit'!A:Q,15,FALSE)/100),100)-MROUND(SUM(VLOOKUP($D$3,'Raw - Child Benefit'!A:Q,16,FALSE)*VLOOKUP($D$3,'Raw - Child Benefit'!A:Q,15,FALSE)/100),100)),
IF($M$2="LGBF Family Group 2 Average",SUM(MROUND(SUM(G8*VLOOKUP($D$3,'Raw - Child Benefit'!A:Q,15,FALSE)/100),100)-MROUND(SUM(VLOOKUP($D$3,'Raw - Child Benefit'!A:Q,16,FALSE)*VLOOKUP($D$3,'Raw - Child Benefit'!A:Q,15,FALSE)/100),100)),
IF($M$2="LGBF Family Group 3 Average",SUM(MROUND(SUM(H8*VLOOKUP($D$3,'Raw - Child Benefit'!A:Q,15,FALSE)/100),100)-MROUND(SUM(VLOOKUP($D$3,'Raw - Child Benefit'!A:Q,16,FALSE)*VLOOKUP($D$3,'Raw - Child Benefit'!A:Q,15,FALSE)/100),100)),
IF($M$2="LGBF Family Group 4 Average",SUM(MROUND(SUM(I8*VLOOKUP($D$3,'Raw - Child Benefit'!A:Q,15,FALSE)/100),100)-MROUND(SUM(VLOOKUP($D$3,'Raw - Child Benefit'!A:Q,16,FALSE)*VLOOKUP($D$3,'Raw - Child Benefit'!A:Q,15,FALSE)/100),100)),
IF($M$2="City Region Comparator",SUM(MROUND(SUM(J8*VLOOKUP($D$3,'Raw - Child Benefit'!A:Q,15,FALSE)/100),100)-MROUND(SUM(VLOOKUP($D$3,'Raw - Child Benefit'!A:Q,16,FALSE)*VLOOKUP($D$3,'Raw - Child Benefit'!A:Q,15,FALSE)/100),100)),IF($M$2="Scotland",SUM(MROUND(SUM(K8*VLOOKUP($D$3,'Raw - Child Benefit'!A:Q,15,FALSE)/100),100)-MROUND(SUM(VLOOKUP($D$3,'Raw - Child Benefit'!A:Q,16,FALSE)*VLOOKUP($D$3,'Raw - Child Benefit'!A:Q,15,FALSE)/100),100)),SUM(MROUND(SUM(L8*VLOOKUP($D$3,'Raw - Child Benefit'!A:Q,15,FALSE)/100),100)-MROUND(SUM(VLOOKUP($D$3,'Raw - Child Benefit'!A:Q,16,FALSE)*VLOOKUP($D$3,'Raw - Child Benefit'!A:Q,15,FALSE)/100),100))))))))))</f>
        <v>-1300</v>
      </c>
    </row>
    <row r="9" spans="2:136" s="145" customFormat="1" ht="23.45" customHeight="1">
      <c r="B9" s="462"/>
      <c r="C9" s="160" t="s">
        <v>288</v>
      </c>
      <c r="D9" s="135">
        <f>VLOOKUP(D$3,'Raw - Claimant Count'!$A:$Q,16,FALSE)</f>
        <v>3.2</v>
      </c>
      <c r="E9" s="209">
        <f>VLOOKUP(E$3,'Claimant Count'!$B:$G,6,FALSE)</f>
        <v>1.5</v>
      </c>
      <c r="F9" s="209">
        <f>VLOOKUP(F$3,'Raw - Claimant Count'!$A:$Q,16,FALSE)</f>
        <v>2.3320106343853486</v>
      </c>
      <c r="G9" s="209">
        <f>VLOOKUP(G$3,'Raw - Claimant Count'!$A:$Q,16,FALSE)</f>
        <v>3.1156843119434998</v>
      </c>
      <c r="H9" s="209">
        <f>VLOOKUP(H$3,'Raw - Claimant Count'!$A:$Q,16,FALSE)</f>
        <v>2.8411515641339489</v>
      </c>
      <c r="I9" s="209">
        <f>VLOOKUP(I$3,'Raw - Claimant Count'!$A:$Q,16,FALSE)</f>
        <v>3.6788192156997033</v>
      </c>
      <c r="J9" s="209">
        <f>VLOOKUP(J$3,'Raw - Claimant Count'!$A:$Q,16,FALSE)</f>
        <v>2.4815438977983146</v>
      </c>
      <c r="K9" s="209">
        <f>VLOOKUP(K$3,'Raw - Claimant Count'!$A:$Q,16,FALSE)</f>
        <v>3.2</v>
      </c>
      <c r="L9" s="209">
        <f>IF(VLOOKUP(L$3,'Raw - Claimant Count'!$A:$Q,16,FALSE)&lt;0.0001,"-",VLOOKUP(L$3,'Raw - Claimant Count'!$A:$Q,16,FALSE))</f>
        <v>4.2</v>
      </c>
      <c r="M9" s="210">
        <f t="shared" si="0"/>
        <v>-1.7000000000000002</v>
      </c>
      <c r="N9" s="211">
        <f>IF(M9="-","-",IF($M$2="Top Performing Scottish Local Authority",SUM(MROUND(SUM(E9*VLOOKUP($D$3,'Raw - Claimant Count'!A:Q,15,FALSE)/100),100)-MROUND(SUM(VLOOKUP($D$3,'Raw - Claimant Count'!A:Q,16,FALSE)*VLOOKUP($D$3,'Raw - Claimant Count'!A:Q,15,FALSE)/100),100)),
IF($M$2="LGBF Family Group 1 Average",SUM(MROUND(SUM(F9*VLOOKUP($D$3,'Raw - Claimant Count'!A:Q,15,FALSE)/100),100)-MROUND(SUM(VLOOKUP($D$3,'Raw - Claimant Count'!A:Q,16,FALSE)*VLOOKUP($D$3,'Raw - Claimant Count'!A:Q,15,FALSE)/100),100)),
IF($M$2="LGBF Family Group 2 Average",SUM(MROUND(SUM(G9*VLOOKUP($D$3,'Raw - Claimant Count'!A:Q,15,FALSE)/100),100)-MROUND(SUM(VLOOKUP($D$3,'Raw - Claimant Count'!A:Q,16,FALSE)*VLOOKUP($D$3,'Raw - Claimant Count'!A:Q,15,FALSE)/100),100)),
IF($M$2="LGBF Family Group 3 Average",SUM(MROUND(SUM(H9*VLOOKUP($D$3,'Raw - Claimant Count'!A:Q,15,FALSE)/100),100)-MROUND(SUM(VLOOKUP($D$3,'Raw - Claimant Count'!A:Q,16,FALSE)*VLOOKUP($D$3,'Raw - Claimant Count'!A:Q,15,FALSE)/100),100)),
IF($M$2="LGBF Family Group 4 Average",SUM(MROUND(SUM(I9*VLOOKUP($D$3,'Raw - Claimant Count'!A:Q,15,FALSE)/100),100)-MROUND(SUM(VLOOKUP($D$3,'Raw - Claimant Count'!A:Q,16,FALSE)*VLOOKUP($D$3,'Raw - Claimant Count'!A:Q,15,FALSE)/100),100)),
IF($M$2="City Region Comparator",SUM(MROUND(SUM(J9*VLOOKUP($D$3,'Raw - Claimant Count'!A:Q,15,FALSE)/100),100)-MROUND(SUM(VLOOKUP($D$3,'Raw - Claimant Count'!A:Q,16,FALSE)*VLOOKUP($D$3,'Raw - Claimant Count'!A:Q,15,FALSE)/100),100)),IF($M$2="Scotland",SUM(MROUND(SUM(K9*VLOOKUP($D$3,'Raw - Claimant Count'!A:Q,15,FALSE)/100),100)-MROUND(SUM(VLOOKUP($D$3,'Raw - Claimant Count'!A:Q,16,FALSE)*VLOOKUP($D$3,'Raw - Claimant Count'!A:Q,15,FALSE)/100),100)),SUM(MROUND(SUM(L9*VLOOKUP($D$3,'Raw - Claimant Count'!A:Q,15,FALSE)/100),100)-MROUND(SUM(VLOOKUP($D$3,'Raw - Claimant Count'!A:Q,16,FALSE)*VLOOKUP($D$3,'Raw - Claimant Count'!A:Q,15,FALSE)/100),100))))))))))</f>
        <v>-2700</v>
      </c>
    </row>
    <row r="10" spans="2:136" s="145" customFormat="1" ht="23.45" customHeight="1" thickBot="1">
      <c r="B10" s="462"/>
      <c r="C10" s="160" t="s">
        <v>282</v>
      </c>
      <c r="D10" s="135">
        <f>IF(OR(VLOOKUP(D$3,'Raw - Workless Households'!$A:$Q,16,FALSE)="",VLOOKUP(D$3,'Raw - Workless Households'!$A:$Q,16,FALSE)="!"),"-",VLOOKUP(D$3,'Raw - Workless Households'!$A:$Q,16,FALSE))</f>
        <v>18.426285160038798</v>
      </c>
      <c r="E10" s="209">
        <f>VLOOKUP(E$3,'Workless Households'!$B:$G,6,FALSE)</f>
        <v>15.764046082637929</v>
      </c>
      <c r="F10" s="209">
        <f>VLOOKUP(F$3,'Raw - Workless Households'!$A:$Q,16,FALSE)</f>
        <v>15.986432706922491</v>
      </c>
      <c r="G10" s="209">
        <f>VLOOKUP(G$3,'Raw - Workless Households'!$A:$Q,16,FALSE)</f>
        <v>18.18213876877838</v>
      </c>
      <c r="H10" s="209">
        <f>VLOOKUP(H$3,'Raw - Workless Households'!$A:$Q,16,FALSE)</f>
        <v>16.790294155980305</v>
      </c>
      <c r="I10" s="209">
        <f>VLOOKUP(I$3,'Raw - Workless Households'!$A:$Q,16,FALSE)</f>
        <v>18.591632076714092</v>
      </c>
      <c r="J10" s="209">
        <f>VLOOKUP(J$3,'Raw - Workless Households'!$A:$Q,16,FALSE)</f>
        <v>15.668793774319067</v>
      </c>
      <c r="K10" s="209">
        <f>VLOOKUP(K$3,'Raw - Workless Households'!$A:$Q,16,FALSE)</f>
        <v>17.78044039903768</v>
      </c>
      <c r="L10" s="209">
        <f>IF(VLOOKUP(L$3,'Raw - Workless Households'!$A:$Q,16,FALSE)&lt;0.0001,"-",VLOOKUP(L$3,'Raw - Workless Households'!$A:$Q,16,FALSE))</f>
        <v>13.923926041194438</v>
      </c>
      <c r="M10" s="210">
        <f>IF(D10="-","-",IF(IF(AND(L10="-",M$2="United Kingdom"),"-",IF(M$2="Top Performing Scottish Local Authority",SUM(E10-D10),IF(M$2="City Region Comparator",SUM(J10-D10),IF(M$2="Scotland",SUM(K10-D10),IF(M$2="LGBF Family Group 1 Average",SUM(F10-D10),IF(M$2="LGBF Family Group 2 Average",SUM(G10-D10),IF(M$2="LGBF Family Group 3 Average",SUM(H10-D10),IF(M$2="LGBF Family Group 4 Average",SUM(I10-D10),SUM(L10-D10)))))))))&gt;0,"-",IF(AND(L10="-",M$2="United Kingdom"),"-",IF(M$2="Top Performing Scottish Local Authority",SUM(E10-D10),IF(M$2="City Region Comparator",SUM(J10-D10),IF(M$2="Scotland",SUM(K10-D10),IF(M$2="LGBF Family Group 1 Average",SUM(F10-D10),IF(M$2="LGBF Family Group 2 Average",SUM(G10-D10),IF(M$2="LGBF Family Group 3 Average",SUM(H10-D10),IF(M$2="LGBF Family Group 4 Average",SUM(I10-D10),SUM(L10-D10)))))))))))</f>
        <v>-2.6622390774008693</v>
      </c>
      <c r="N10" s="211">
        <f>IF(M10="-","-",IF($M$2="Top Performing Scottish Local Authority",SUM(MROUND(SUM(E10*VLOOKUP($D$3,'Raw - Workless Households'!A:Q,15,FALSE)/100),100)-MROUND(SUM(VLOOKUP($D$3,'Raw - Workless Households'!A:Q,16,FALSE)*VLOOKUP($D$3,'Raw - Workless Households'!A:Q,15,FALSE)/100),100)),
IF($M$2="LGBF Family Group 1 Average",SUM(MROUND(SUM(F10*VLOOKUP($D$3,'Raw - Workless Households'!A:Q,15,FALSE)/100),100)-MROUND(SUM(VLOOKUP($D$3,'Raw - Workless Households'!A:Q,16,FALSE)*VLOOKUP($D$3,'Raw - Workless Households'!A:Q,15,FALSE)/100),100)),
IF($M$2="LGBF Family Group 2 Average",SUM(MROUND(SUM(G10*VLOOKUP($D$3,'Raw - Workless Households'!A:Q,15,FALSE)/100),100)-MROUND(SUM(VLOOKUP($D$3,'Raw - Workless Households'!A:Q,16,FALSE)*VLOOKUP($D$3,'Raw - Workless Households'!A:Q,15,FALSE)/100),100)),
IF($M$2="LGBF Family Group 3 Average",SUM(MROUND(SUM(H10*VLOOKUP($D$3,'Raw - Workless Households'!A:Q,15,FALSE)/100),100)-MROUND(SUM(VLOOKUP($D$3,'Raw - Workless Households'!A:Q,16,FALSE)*VLOOKUP($D$3,'Raw - Workless Households'!A:Q,15,FALSE)/100),100)),
IF($M$2="LGBF Family Group 4 Average",SUM(MROUND(SUM(I10*VLOOKUP($D$3,'Raw - Workless Households'!A:Q,15,FALSE)/100),100)-MROUND(SUM(VLOOKUP($D$3,'Raw - Workless Households'!A:Q,16,FALSE)*VLOOKUP($D$3,'Raw - Workless Households'!A:Q,15,FALSE)/100),100)),
IF($M$2="City Region Comparator",SUM(MROUND(SUM(J10*VLOOKUP($D$3,'Raw - Workless Households'!A:Q,15,FALSE)/100),100)-MROUND(SUM(VLOOKUP($D$3,'Raw - Workless Households'!A:Q,16,FALSE)*VLOOKUP($D$3,'Raw - Workless Households'!A:Q,15,FALSE)/100),100)),IF($M$2="Scotland",SUM(MROUND(SUM(K10*VLOOKUP($D$3,'Raw - Workless Households'!A:Q,15,FALSE)/100),100)-MROUND(SUM(VLOOKUP($D$3,'Raw - Workless Households'!A:Q,16,FALSE)*VLOOKUP($D$3,'Raw - Workless Households'!A:Q,15,FALSE)/100),100)),SUM(MROUND(SUM(L10*VLOOKUP($D$3,'Raw - Workless Households'!A:Q,15,FALSE)/100),100)-MROUND(SUM(VLOOKUP($D$3,'Raw - Workless Households'!A:Q,16,FALSE)*VLOOKUP($D$3,'Raw - Workless Households'!A:Q,15,FALSE)/100),100))))))))))</f>
        <v>-2200</v>
      </c>
    </row>
    <row r="11" spans="2:136" s="145" customFormat="1" ht="23.45" customHeight="1">
      <c r="B11" s="461" t="s">
        <v>342</v>
      </c>
      <c r="C11" s="160" t="s">
        <v>283</v>
      </c>
      <c r="D11" s="135">
        <f>IF(VLOOKUP(D$3,'Raw - SLDR'!$A:$Q,16,FALSE)="","-",(VLOOKUP(D$3,'Raw - SLDR'!$A:$Q,16,FALSE)))</f>
        <v>93.580520199225234</v>
      </c>
      <c r="E11" s="209">
        <f>VLOOKUP(E$3,SLDR!$B:$G,6,FALSE)</f>
        <v>98.743532889874359</v>
      </c>
      <c r="F11" s="209">
        <f>VLOOKUP(F$3,'Raw - SLDR'!$A:$Q,16,FALSE)</f>
        <v>95.762948012986058</v>
      </c>
      <c r="G11" s="209">
        <f>VLOOKUP(G$3,'Raw - SLDR'!$A:$Q,16,FALSE)</f>
        <v>95.725875324645287</v>
      </c>
      <c r="H11" s="209">
        <f>VLOOKUP(H$3,'Raw - SLDR'!$A:$Q,16,FALSE)</f>
        <v>96.045646656770302</v>
      </c>
      <c r="I11" s="209">
        <f>VLOOKUP(I$3,'Raw - SLDR'!$A:$Q,16,FALSE)</f>
        <v>95.856795122345346</v>
      </c>
      <c r="J11" s="209">
        <f>VLOOKUP(J$3,'Raw - SLDR'!$A:$Q,16,FALSE)</f>
        <v>94.8181750399865</v>
      </c>
      <c r="K11" s="209">
        <f>VLOOKUP(K$3,'Raw - SLDR'!$A:$Q,16,FALSE)</f>
        <v>95.866138136382745</v>
      </c>
      <c r="L11" s="209" t="s">
        <v>71</v>
      </c>
      <c r="M11" s="210">
        <f>IF(D11="-","-",IF(IF(AND(L11="-",M$2="United Kingdom"),"-",IF(M$2="Top Performing Scottish Local Authority",SUM(E11-D11),IF(M$2="City Region Comparator",SUM(J11-D11),IF(M$2="Scotland",SUM(K11-D11),IF(M$2="LGBF Family Group 1 Average",SUM(F11-D11),IF(M$2="LGBF Family Group 2 Average",SUM(G11-D11),IF(M$2="LGBF Family Group 3 Average",SUM(H11-D11),IF(M$2="LGBF Family Group 4 Average",SUM(I11-D11),SUM(L11-D11)))))))))&lt;0,"-",IF(AND(L11="-",M$2="United Kingdom"),"-",IF(M$2="Top Performing Scottish Local Authority",SUM(E11-D11),IF(M$2="City Region Comparator",SUM(J11-D11),IF(M$2="Scotland",SUM(K11-D11),IF(M$2="LGBF Family Group 1 Average",SUM(F11-D11),IF(M$2="LGBF Family Group 2 Average",SUM(G11-D11),IF(M$2="LGBF Family Group 3 Average",SUM(H11-D11),IF(M$2="LGBF Family Group 4 Average",SUM(I11-D11),SUM(L11-D11)))))))))))</f>
        <v>5.1630126906491256</v>
      </c>
      <c r="N11" s="211">
        <f>IF(M11="-","-",IF($M$2="Top Performing Scottish Local Authority",SUM(MROUND(SUM(E11*VLOOKUP($D$3,'Raw - SLDR'!A:Q,15,FALSE)/100),100)-MROUND(SUM(VLOOKUP($D$3,'Raw - SLDR'!A:Q,16,FALSE)*VLOOKUP($D$3,'Raw - SLDR'!A:Q,15,FALSE)/100),100)),
IF($M$2="LGBF Family Group 1 Average",SUM(MROUND(SUM(F11*VLOOKUP($D$3,'Raw - SLDR'!A:Q,15,FALSE)/100),100)-MROUND(SUM(VLOOKUP($D$3,'Raw - SLDR'!A:Q,16,FALSE)*VLOOKUP($D$3,'Raw - SLDR'!A:Q,15,FALSE)/100),100)),
IF($M$2="LGBF Family Group 2 Average",SUM(MROUND(SUM(G11*VLOOKUP($D$3,'Raw - SLDR'!A:Q,15,FALSE)/100),100)-MROUND(SUM(VLOOKUP($D$3,'Raw - SLDR'!A:Q,16,FALSE)*VLOOKUP($D$3,'Raw - SLDR'!A:Q,15,FALSE)/100),100)),
IF($M$2="LGBF Family Group 3 Average",SUM(MROUND(SUM(H11*VLOOKUP($D$3,'Raw - SLDR'!A:Q,15,FALSE)/100),100)-MROUND(SUM(VLOOKUP($D$3,'Raw - SLDR'!A:Q,16,FALSE)*VLOOKUP($D$3,'Raw - SLDR'!A:Q,15,FALSE)/100),100)),
IF($M$2="LGBF Family Group 4 Average",SUM(MROUND(SUM(I11*VLOOKUP($D$3,'Raw - SLDR'!A:Q,15,FALSE)/100),100)-MROUND(SUM(VLOOKUP($D$3,'Raw - SLDR'!A:Q,16,FALSE)*VLOOKUP($D$3,'Raw - SLDR'!A:Q,15,FALSE)/100),100)),
IF($M$2="City Region Comparator",SUM(MROUND(SUM(J11*VLOOKUP($D$3,'Raw - SLDR'!A:Q,15,FALSE)/100),100)-MROUND(SUM(VLOOKUP($D$3,'Raw - SLDR'!A:Q,16,FALSE)*VLOOKUP($D$3,'Raw - SLDR'!A:Q,15,FALSE)/100),100)),IF($M$2="Scotland",SUM(MROUND(SUM(K11*VLOOKUP($D$3,'Raw - SLDR'!A:Q,15,FALSE)/100),100)-MROUND(SUM(VLOOKUP($D$3,'Raw - SLDR'!A:Q,16,FALSE)*VLOOKUP($D$3,'Raw - SLDR'!A:Q,15,FALSE)/100),100)),SUM(MROUND(SUM(L11*VLOOKUP($D$3,'Raw - SLDR'!A:Q,15,FALSE)/100),100)-MROUND(SUM(VLOOKUP($D$3,'Raw - SLDR'!A:Q,16,FALSE)*VLOOKUP($D$3,'Raw - SLDR'!A:Q,15,FALSE)/100),100))))))))))</f>
        <v>100</v>
      </c>
    </row>
    <row r="12" spans="2:136" s="145" customFormat="1" ht="23.45" customHeight="1">
      <c r="B12" s="462"/>
      <c r="C12" s="160" t="s">
        <v>289</v>
      </c>
      <c r="D12" s="135">
        <f>VLOOKUP(D$3,'Raw - Participation Rate'!$A:$Q,16,FALSE)</f>
        <v>90.116118330107824</v>
      </c>
      <c r="E12" s="209">
        <f>VLOOKUP(E$3,'Participation Rate'!$B:$G,6,FALSE)</f>
        <v>97.777777777777771</v>
      </c>
      <c r="F12" s="209">
        <f>VLOOKUP(F$3,'Raw - Participation Rate'!$A:$Q,16,FALSE)</f>
        <v>93.597151996697974</v>
      </c>
      <c r="G12" s="209">
        <f>VLOOKUP(G$3,'Raw - Participation Rate'!$A:$Q,16,FALSE)</f>
        <v>92.458755714569662</v>
      </c>
      <c r="H12" s="209">
        <f>VLOOKUP(H$3,'Raw - Participation Rate'!$A:$Q,16,FALSE)</f>
        <v>93.384304559679904</v>
      </c>
      <c r="I12" s="209">
        <f>VLOOKUP(I$3,'Raw - Participation Rate'!$A:$Q,16,FALSE)</f>
        <v>92.091079755344268</v>
      </c>
      <c r="J12" s="209">
        <f>VLOOKUP(J$3,'Raw - Participation Rate'!$A:$Q,16,FALSE)</f>
        <v>91.157962674124676</v>
      </c>
      <c r="K12" s="209">
        <f>VLOOKUP(K$3,'Raw - Participation Rate'!$A:$Q,16,FALSE)</f>
        <v>92.731119864940908</v>
      </c>
      <c r="L12" s="209" t="s">
        <v>71</v>
      </c>
      <c r="M12" s="210">
        <f>IF(IF(AND(L12="-",M$2="United Kingdom"),"-",IF(M$2="Top Performing Scottish Local Authority",SUM(E12-D12),IF(M$2="City Region Comparator",SUM(J12-D12),IF(M$2="Scotland",SUM(K12-D12),IF(M$2="LGBF Family Group 1 Average",SUM(F12-D12),IF(M$2="LGBF Family Group 2 Average",SUM(G12-D12),IF(M$2="LGBF Family Group 3 Average",SUM(H12-D12),IF(M$2="LGBF Family Group 4 Average",SUM(I12-D12),SUM(L12-D12)))))))))&lt;0,"-",IF(AND(L12="-",M$2="United Kingdom"),"-",IF(M$2="Top Performing Scottish Local Authority",SUM(E12-D12),IF(M$2="City Region Comparator",SUM(J12-D12),IF(M$2="Scotland",SUM(K12-D12),IF(M$2="LGBF Family Group 1 Average",SUM(F12-D12),IF(M$2="LGBF Family Group 2 Average",SUM(G12-D12),IF(M$2="LGBF Family Group 3 Average",SUM(H12-D12),IF(M$2="LGBF Family Group 4 Average",SUM(I12-D12),SUM(L12-D12))))))))))</f>
        <v>7.6616594476699476</v>
      </c>
      <c r="N12" s="211">
        <f>IF(M12="-","-",IF($M$2="Top Performing Scottish Local Authority",SUM(MROUND(SUM(E12*VLOOKUP($D$3,'Raw - Participation Rate'!A:Q,15,FALSE)/100),100)-MROUND(SUM(VLOOKUP($D$3,'Raw - Participation Rate'!A:Q,16,FALSE)*VLOOKUP($D$3,'Raw - Participation Rate'!A:Q,15,FALSE)/100),100)),
IF($M$2="LGBF Family Group 1 Average",SUM(MROUND(SUM(F12*VLOOKUP($D$3,'Raw - Participation Rate'!A:Q,15,FALSE)/100),100)-MROUND(SUM(VLOOKUP($D$3,'Raw - Participation Rate'!A:Q,16,FALSE)*VLOOKUP($D$3,'Raw - Participation Rate'!A:Q,15,FALSE)/100),100)),
IF($M$2="LGBF Family Group 2 Average",SUM(MROUND(SUM(G12*VLOOKUP($D$3,'Raw - Participation Rate'!A:Q,15,FALSE)/100),100)-MROUND(SUM(VLOOKUP($D$3,'Raw - Participation Rate'!A:Q,16,FALSE)*VLOOKUP($D$3,'Raw - Participation Rate'!A:Q,15,FALSE)/100),100)),
IF($M$2="LGBF Family Group 3 Average",SUM(MROUND(SUM(H12*VLOOKUP($D$3,'Raw - Participation Rate'!A:Q,15,FALSE)/100),100)-MROUND(SUM(VLOOKUP($D$3,'Raw - Participation Rate'!A:Q,16,FALSE)*VLOOKUP($D$3,'Raw - Participation Rate'!A:Q,15,FALSE)/100),100)),
IF($M$2="LGBF Family Group 4 Average",SUM(MROUND(SUM(I12*VLOOKUP($D$3,'Raw - Participation Rate'!A:Q,15,FALSE)/100),100)-MROUND(SUM(VLOOKUP($D$3,'Raw - Participation Rate'!A:Q,16,FALSE)*VLOOKUP($D$3,'Raw - Participation Rate'!A:Q,15,FALSE)/100),100)),
IF($M$2="City Region Comparator",SUM(MROUND(SUM(J12*VLOOKUP($D$3,'Raw - Participation Rate'!A:Q,15,FALSE)/100),100)-MROUND(SUM(VLOOKUP($D$3,'Raw - Participation Rate'!A:Q,16,FALSE)*VLOOKUP($D$3,'Raw - Participation Rate'!A:Q,15,FALSE)/100),100)),IF($M$2="Scotland",SUM(MROUND(SUM(K12*VLOOKUP($D$3,'Raw - Participation Rate'!A:Q,15,FALSE)/100),100)-MROUND(SUM(VLOOKUP($D$3,'Raw - Participation Rate'!A:Q,16,FALSE)*VLOOKUP($D$3,'Raw - Participation Rate'!A:Q,15,FALSE)/100),100)),SUM(MROUND(SUM(L12*VLOOKUP($D$3,'Raw - Participation Rate'!A:Q,15,FALSE)/100),100)-MROUND(SUM(VLOOKUP($D$3,'Raw - Participation Rate'!A:Q,16,FALSE)*VLOOKUP($D$3,'Raw - Participation Rate'!A:Q,15,FALSE)/100),100))))))))))</f>
        <v>600</v>
      </c>
    </row>
    <row r="13" spans="2:136" s="145" customFormat="1" ht="23.45" customHeight="1">
      <c r="B13" s="462"/>
      <c r="C13" s="160" t="s">
        <v>200</v>
      </c>
      <c r="D13" s="135">
        <f>VLOOKUP(D$3,'Raw - Degree Quals'!$A:$Q,16,FALSE)</f>
        <v>61.1</v>
      </c>
      <c r="E13" s="209">
        <f>VLOOKUP(E$3,'Degree Quals'!$B:$G,6,FALSE)</f>
        <v>70.099999999999994</v>
      </c>
      <c r="F13" s="209">
        <f>VLOOKUP(F$3,'Raw - Degree Quals'!$A:$Q,16,FALSE)</f>
        <v>49.153789551140541</v>
      </c>
      <c r="G13" s="209">
        <f>VLOOKUP(G$3,'Raw - Degree Quals'!$A:$Q,16,FALSE)</f>
        <v>55.164520743919887</v>
      </c>
      <c r="H13" s="209">
        <f>VLOOKUP(H$3,'Raw - Degree Quals'!$A:$Q,16,FALSE)</f>
        <v>53.82517800333283</v>
      </c>
      <c r="I13" s="209">
        <f>VLOOKUP(I$3,'Raw - Degree Quals'!$A:$Q,16,FALSE)</f>
        <v>57.841140529531565</v>
      </c>
      <c r="J13" s="209">
        <f>VLOOKUP(J$3,'Raw - Degree Quals'!$A:$Q,16,FALSE)</f>
        <v>55.410447761194028</v>
      </c>
      <c r="K13" s="209">
        <f>VLOOKUP(K$3,'Raw - Degree Quals'!$A:$Q,16,FALSE)</f>
        <v>55.1</v>
      </c>
      <c r="L13" s="209">
        <f>IF(VLOOKUP(L$3,'Raw - Degree Quals'!$A:$Q,16,FALSE)&lt;0.0001,"-",VLOOKUP(L$3,'Raw - Degree Quals'!$A:$Q,16,FALSE))</f>
        <v>47.1</v>
      </c>
      <c r="M13" s="210">
        <f>IF(IF(AND(L13="-",M$2="United Kingdom"),"-",IF(M$2="Top Performing Scottish Local Authority",SUM(E13-D13),IF(M$2="City Region Comparator",SUM(J13-D13),IF(M$2="Scotland",SUM(K13-D13),IF(M$2="LGBF Family Group 1 Average",SUM(F13-D13),IF(M$2="LGBF Family Group 2 Average",SUM(G13-D13),IF(M$2="LGBF Family Group 3 Average",SUM(H13-D13),IF(M$2="LGBF Family Group 4 Average",SUM(I13-D13),SUM(L13-D13)))))))))&lt;0,"-",IF(AND(L13="-",M$2="United Kingdom"),"-",IF(M$2="Top Performing Scottish Local Authority",SUM(E13-D13),IF(M$2="City Region Comparator",SUM(J13-D13),IF(M$2="Scotland",SUM(K13-D13),IF(M$2="LGBF Family Group 1 Average",SUM(F13-D13),IF(M$2="LGBF Family Group 2 Average",SUM(G13-D13),IF(M$2="LGBF Family Group 3 Average",SUM(H13-D13),IF(M$2="LGBF Family Group 4 Average",SUM(I13-D13),SUM(L13-D13))))))))))</f>
        <v>8.9999999999999929</v>
      </c>
      <c r="N13" s="211">
        <f>IF(M13="-","-",IF($M$2="Top Performing Scottish Local Authority",SUM(MROUND(SUM(E13*VLOOKUP($D$3,'Raw - Degree Quals'!A:Q,15,FALSE)/100),100)-MROUND(SUM(VLOOKUP($D$3,'Raw - Degree Quals'!A:Q,16,FALSE)*VLOOKUP($D$3,'Raw - Degree Quals'!A:Q,15,FALSE)/100),100)),
IF($M$2="LGBF Family Group 1 Average",SUM(MROUND(SUM(F13*VLOOKUP($D$3,'Raw - Degree Quals'!A:Q,15,FALSE)/100),100)-MROUND(SUM(VLOOKUP($D$3,'Raw - Degree Quals'!A:Q,16,FALSE)*VLOOKUP($D$3,'Raw - Degree Quals'!A:Q,15,FALSE)/100),100)),
IF($M$2="LGBF Family Group 2 Average",SUM(MROUND(SUM(G13*VLOOKUP($D$3,'Raw - Degree Quals'!A:Q,15,FALSE)/100),100)-MROUND(SUM(VLOOKUP($D$3,'Raw - Degree Quals'!A:Q,16,FALSE)*VLOOKUP($D$3,'Raw - Degree Quals'!A:Q,15,FALSE)/100),100)),
IF($M$2="LGBF Family Group 3 Average",SUM(MROUND(SUM(H13*VLOOKUP($D$3,'Raw - Degree Quals'!A:Q,15,FALSE)/100),100)-MROUND(SUM(VLOOKUP($D$3,'Raw - Degree Quals'!A:Q,16,FALSE)*VLOOKUP($D$3,'Raw - Degree Quals'!A:Q,15,FALSE)/100),100)),
IF($M$2="LGBF Family Group 4 Average",SUM(MROUND(SUM(I13*VLOOKUP($D$3,'Raw - Degree Quals'!A:Q,15,FALSE)/100),100)-MROUND(SUM(VLOOKUP($D$3,'Raw - Degree Quals'!A:Q,16,FALSE)*VLOOKUP($D$3,'Raw - Degree Quals'!A:Q,15,FALSE)/100),100)),
IF($M$2="City Region Comparator",SUM(MROUND(SUM(J13*VLOOKUP($D$3,'Raw - Degree Quals'!A:Q,15,FALSE)/100),100)-MROUND(SUM(VLOOKUP($D$3,'Raw - Degree Quals'!A:Q,16,FALSE)*VLOOKUP($D$3,'Raw - Degree Quals'!A:Q,15,FALSE)/100),100)),IF($M$2="Scotland",SUM(MROUND(SUM(K13*VLOOKUP($D$3,'Raw - Degree Quals'!A:Q,15,FALSE)/100),100)-MROUND(SUM(VLOOKUP($D$3,'Raw - Degree Quals'!A:Q,16,FALSE)*VLOOKUP($D$3,'Raw - Degree Quals'!A:Q,15,FALSE)/100),100)),SUM(MROUND(SUM(L13*VLOOKUP($D$3,'Raw - Degree Quals'!A:Q,15,FALSE)/100),100)-MROUND(SUM(VLOOKUP($D$3,'Raw - Degree Quals'!A:Q,16,FALSE)*VLOOKUP($D$3,'Raw - Degree Quals'!A:Q,15,FALSE)/100),100))))))))))</f>
        <v>14100</v>
      </c>
    </row>
    <row r="14" spans="2:136" s="145" customFormat="1" ht="23.45" customHeight="1" thickBot="1">
      <c r="B14" s="462"/>
      <c r="C14" s="160" t="s">
        <v>201</v>
      </c>
      <c r="D14" s="135">
        <f>IF(OR(VLOOKUP(D$3,'Raw - No Qualifications'!$A:$Q,16,FALSE)="",VLOOKUP(D$3,'Raw - No Qualifications'!$A:$Q,16,FALSE)="!"),"-",VLOOKUP(D$3,'Raw - No Qualifications'!$A:$Q,16,FALSE))</f>
        <v>2.1</v>
      </c>
      <c r="E14" s="209">
        <f>VLOOKUP(E$3,'No Qualifications'!$B:$G,6,FALSE)</f>
        <v>2.1</v>
      </c>
      <c r="F14" s="209">
        <f>VLOOKUP(F$3,'Raw - No Qualifications'!$A:$Q,16,FALSE)</f>
        <v>6.6041206769683587</v>
      </c>
      <c r="G14" s="209">
        <f>VLOOKUP(G$3,'Raw - No Qualifications'!$A:$Q,16,FALSE)</f>
        <v>7.4678111587982832</v>
      </c>
      <c r="H14" s="209">
        <f>VLOOKUP(H$3,'Raw - No Qualifications'!$A:$Q,16,FALSE)</f>
        <v>8.8016967126193002</v>
      </c>
      <c r="I14" s="209">
        <f>VLOOKUP(I$3,'Raw - No Qualifications'!$A:$Q,16,FALSE)</f>
        <v>8.7014537537748424</v>
      </c>
      <c r="J14" s="209">
        <f>VLOOKUP(J$3,'Raw - No Qualifications'!$A:$Q,16,FALSE)</f>
        <v>4.5398009950248754</v>
      </c>
      <c r="K14" s="209">
        <f>VLOOKUP(K$3,'Raw - No Qualifications'!$A:$Q,16,FALSE)</f>
        <v>8.1999999999999993</v>
      </c>
      <c r="L14" s="209">
        <f>IF(VLOOKUP(L$3,'Raw - No Qualifications'!$A:$Q,16,FALSE)&lt;0.0001,"-",VLOOKUP(L$3,'Raw - No Qualifications'!$A:$Q,16,FALSE))</f>
        <v>6.6</v>
      </c>
      <c r="M14" s="210">
        <f>IF(D14="-","-",IF(IF(AND(L14="-",M$2="United Kingdom"),"-",IF(M$2="Top Performing Scottish Local Authority",SUM(E14-D14),IF(M$2="City Region Comparator",SUM(J14-D14),IF(M$2="Scotland",SUM(K14-D14),IF(M$2="LGBF Family Group 1 Average",SUM(F14-D14),IF(M$2="LGBF Family Group 2 Average",SUM(G14-D14),IF(M$2="LGBF Family Group 3 Average",SUM(H14-D14),IF(M$2="LGBF Family Group 4 Average",SUM(I14-D14),SUM(L14-D14)))))))))&gt;0,"-",IF(AND(L14="-",M$2="United Kingdom"),"-",IF(M$2="Top Performing Scottish Local Authority",SUM(E14-D14),IF(M$2="City Region Comparator",SUM(J14-D14),IF(M$2="Scotland",SUM(K14-D14),IF(M$2="LGBF Family Group 1 Average",SUM(F14-D14),IF(M$2="LGBF Family Group 2 Average",SUM(G14-D14),IF(M$2="LGBF Family Group 3 Average",SUM(H14-D14),IF(M$2="LGBF Family Group 4 Average",SUM(I14-D14),SUM(L14-D14)))))))))))</f>
        <v>0</v>
      </c>
      <c r="N14" s="211">
        <f>IF(M14="-","-",IF($M$2="Top Performing Scottish Local Authority",SUM(MROUND(SUM(E14*VLOOKUP($D$3,'Raw - No Qualifications'!A:Q,15,FALSE)/100),100)-MROUND(SUM(VLOOKUP($D$3,'Raw - No Qualifications'!A:Q,16,FALSE)*VLOOKUP($D$3,'Raw - No Qualifications'!A:Q,15,FALSE)/100),100)),
IF($M$2="LGBF Family Group 1 Average",SUM(MROUND(SUM(F14*VLOOKUP($D$3,'Raw - No Qualifications'!A:Q,15,FALSE)/100),100)-MROUND(SUM(VLOOKUP($D$3,'Raw - No Qualifications'!A:Q,16,FALSE)*VLOOKUP($D$3,'Raw - No Qualifications'!A:Q,15,FALSE)/100),100)),
IF($M$2="LGBF Family Group 2 Average",SUM(MROUND(SUM(G14*VLOOKUP($D$3,'Raw - No Qualifications'!A:Q,15,FALSE)/100),100)-MROUND(SUM(VLOOKUP($D$3,'Raw - No Qualifications'!A:Q,16,FALSE)*VLOOKUP($D$3,'Raw - No Qualifications'!A:Q,15,FALSE)/100),100)),
IF($M$2="LGBF Family Group 3 Average",SUM(MROUND(SUM(H14*VLOOKUP($D$3,'Raw - No Qualifications'!A:Q,15,FALSE)/100),100)-MROUND(SUM(VLOOKUP($D$3,'Raw - No Qualifications'!A:Q,16,FALSE)*VLOOKUP($D$3,'Raw - No Qualifications'!A:Q,15,FALSE)/100),100)),
IF($M$2="LGBF Family Group 4 Average",SUM(MROUND(SUM(I14*VLOOKUP($D$3,'Raw - No Qualifications'!A:Q,15,FALSE)/100),100)-MROUND(SUM(VLOOKUP($D$3,'Raw - No Qualifications'!A:Q,16,FALSE)*VLOOKUP($D$3,'Raw - No Qualifications'!A:Q,15,FALSE)/100),100)),
IF($M$2="City Region Comparator",SUM(MROUND(SUM(J14*VLOOKUP($D$3,'Raw - No Qualifications'!A:Q,15,FALSE)/100),100)-MROUND(SUM(VLOOKUP($D$3,'Raw - No Qualifications'!A:Q,16,FALSE)*VLOOKUP($D$3,'Raw - No Qualifications'!A:Q,15,FALSE)/100),100)),IF($M$2="Scotland",SUM(MROUND(SUM(K14*VLOOKUP($D$3,'Raw - No Qualifications'!A:Q,15,FALSE)/100),100)-MROUND(SUM(VLOOKUP($D$3,'Raw - No Qualifications'!A:Q,16,FALSE)*VLOOKUP($D$3,'Raw - No Qualifications'!A:Q,15,FALSE)/100),100)),SUM(MROUND(SUM(L14*VLOOKUP($D$3,'Raw - No Qualifications'!A:Q,15,FALSE)/100),100)-MROUND(SUM(VLOOKUP($D$3,'Raw - No Qualifications'!A:Q,16,FALSE)*VLOOKUP($D$3,'Raw - No Qualifications'!A:Q,15,FALSE)/100),100))))))))))</f>
        <v>0</v>
      </c>
    </row>
    <row r="15" spans="2:136" s="145" customFormat="1" ht="23.45" customHeight="1">
      <c r="B15" s="461" t="s">
        <v>302</v>
      </c>
      <c r="C15" s="160" t="s">
        <v>284</v>
      </c>
      <c r="D15" s="135">
        <f>VLOOKUP(D$3,'Raw - Incapacity'!$A:$Q,16,FALSE)</f>
        <v>34.053258466306595</v>
      </c>
      <c r="E15" s="209">
        <f>VLOOKUP(E$3,Incapacity!$B:$G,6,FALSE)</f>
        <v>27.81395059036107</v>
      </c>
      <c r="F15" s="209">
        <f>VLOOKUP(F$3,'Raw - Incapacity'!$A:$Q,16,FALSE)</f>
        <v>36.69416227592766</v>
      </c>
      <c r="G15" s="209">
        <f>VLOOKUP(G$3,'Raw - Incapacity'!$A:$Q,16,FALSE)</f>
        <v>42.957937844196742</v>
      </c>
      <c r="H15" s="209">
        <f>VLOOKUP(H$3,'Raw - Incapacity'!$A:$Q,16,FALSE)</f>
        <v>47.662306547024833</v>
      </c>
      <c r="I15" s="209">
        <f>VLOOKUP(I$3,'Raw - Incapacity'!$A:$Q,16,FALSE)</f>
        <v>50.59836836360212</v>
      </c>
      <c r="J15" s="209">
        <f>VLOOKUP(J$3,'Raw - Incapacity'!$A:$Q,16,FALSE)</f>
        <v>30.871493753256818</v>
      </c>
      <c r="K15" s="209">
        <f>VLOOKUP(K$3,'Raw - Incapacity'!$A:$Q,16,FALSE)</f>
        <v>46.20753025382335</v>
      </c>
      <c r="L15" s="209" t="s">
        <v>71</v>
      </c>
      <c r="M15" s="210">
        <f t="shared" si="0"/>
        <v>-6.2393078759455243</v>
      </c>
      <c r="N15" s="211">
        <f>IF(M15="-","-",IF($M$2="Top Performing Scottish Local Authority",SUM(MROUND(SUM(E15*VLOOKUP($D$3,'Raw - Incapacity'!A:Q,15,FALSE)/1000),100)-MROUND(SUM(VLOOKUP($D$3,'Raw - Incapacity'!A:Q,16,FALSE)*VLOOKUP($D$3,'Raw - Incapacity'!A:Q,15,FALSE)/1000),100)),
IF($M$2="LGBF Family Group 1 Average",SUM(MROUND(SUM(F15*VLOOKUP($D$3,'Raw - Incapacity'!A:Q,15,FALSE)/1000),100)-MROUND(SUM(VLOOKUP($D$3,'Raw - Incapacity'!A:Q,16,FALSE)*VLOOKUP($D$3,'Raw - Incapacity'!A:Q,15,FALSE)/1000),100)),
IF($M$2="LGBF Family Group 2 Average",SUM(MROUND(SUM(G15*VLOOKUP($D$3,'Raw - Incapacity'!A:Q,15,FALSE)/1000),100)-MROUND(SUM(VLOOKUP($D$3,'Raw - Incapacity'!A:Q,16,FALSE)*VLOOKUP($D$3,'Raw - Incapacity'!A:Q,15,FALSE)/1000),100)),
IF($M$2="LGBF Family Group 3 Average",SUM(MROUND(SUM(H15*VLOOKUP($D$3,'Raw - Incapacity'!A:Q,15,FALSE)/1000),100)-MROUND(SUM(VLOOKUP($D$3,'Raw - Incapacity'!A:Q,16,FALSE)*VLOOKUP($D$3,'Raw - Incapacity'!A:Q,15,FALSE)/1000),100)),
IF($M$2="LGBF Family Group 4 Average",SUM(MROUND(SUM(I15*VLOOKUP($D$3,'Raw - Incapacity'!A:Q,15,FALSE)/1000),100)-MROUND(SUM(VLOOKUP($D$3,'Raw - Incapacity'!A:Q,16,FALSE)*VLOOKUP($D$3,'Raw - Incapacity'!A:Q,15,FALSE)/1000),100)),
IF($M$2="City Region Comparator",SUM(MROUND(SUM(J15*VLOOKUP($D$3,'Raw - Incapacity'!A:Q,15,FALSE)/1000),100)-MROUND(SUM(VLOOKUP($D$3,'Raw - Incapacity'!A:Q,16,FALSE)*VLOOKUP($D$3,'Raw - Incapacity'!A:Q,15,FALSE)/1000),100)),IF($M$2="Scotland",SUM(MROUND(SUM(K15*VLOOKUP($D$3,'Raw - Incapacity'!A:Q,15,FALSE)/1000),100)-MROUND(SUM(VLOOKUP($D$3,'Raw - Incapacity'!A:Q,16,FALSE)*VLOOKUP($D$3,'Raw - Incapacity'!A:Q,15,FALSE)/1000),100)),SUM(MROUND(SUM(L15*VLOOKUP($D$3,'Raw - Incapacity'!A:Q,15,FALSE)/1000),100)-MROUND(SUM(VLOOKUP($D$3,'Raw - Incapacity'!A:Q,16,FALSE)*VLOOKUP($D$3,'Raw - Incapacity'!A:Q,15,FALSE)/1000),100))))))))))</f>
        <v>0</v>
      </c>
    </row>
    <row r="16" spans="2:136" s="145" customFormat="1" ht="23.45" customHeight="1">
      <c r="B16" s="462"/>
      <c r="C16" s="160" t="s">
        <v>202</v>
      </c>
      <c r="D16" s="135">
        <f>IF(OR(VLOOKUP(D$3,'Raw - Ill Health'!$A:$Q,16,FALSE)="",VLOOKUP(D$3,'Raw - Ill Health'!$A:$Q,16,FALSE)="!"),"-",VLOOKUP(D$3,'Raw - Ill Health'!$A:$Q,16,FALSE))</f>
        <v>32.1</v>
      </c>
      <c r="E16" s="209">
        <f>VLOOKUP(E$3,'Ill Health'!$B:$G,6,FALSE)</f>
        <v>19.899999999999999</v>
      </c>
      <c r="F16" s="209">
        <f>VLOOKUP(F$3,'Raw - Ill Health'!$A:$Q,16,FALSE)</f>
        <v>32.448630136986303</v>
      </c>
      <c r="G16" s="209">
        <f>VLOOKUP(G$3,'Raw - Ill Health'!$A:$Q,16,FALSE)</f>
        <v>34.704830053667266</v>
      </c>
      <c r="H16" s="209">
        <f>VLOOKUP(H$3,'Raw - Ill Health'!$A:$Q,16,FALSE)</f>
        <v>33.333333333333329</v>
      </c>
      <c r="I16" s="209">
        <f>VLOOKUP(I$3,'Raw - Ill Health'!$A:$Q,16,FALSE)</f>
        <v>28.794577070439136</v>
      </c>
      <c r="J16" s="209">
        <f>VLOOKUP(J$3,'Raw - Ill Health'!$A:$Q,16,FALSE)</f>
        <v>27.241962774957702</v>
      </c>
      <c r="K16" s="209">
        <f>VLOOKUP(K$3,'Raw - Ill Health'!$A:$Q,16,FALSE)</f>
        <v>31.6</v>
      </c>
      <c r="L16" s="209">
        <f>IF(VLOOKUP(L$3,'Raw - Ill Health'!$A:$Q,16,FALSE)&lt;0.0001,"-",VLOOKUP(L$3,'Raw - Ill Health'!$A:$Q,16,FALSE))</f>
        <v>27.5</v>
      </c>
      <c r="M16" s="210">
        <f>IF(D16="-","-",IF(IF(AND(L16="-",M$2="United Kingdom"),"-",IF(M$2="Top Performing Scottish Local Authority",SUM(E16-D16),IF(M$2="City Region Comparator",SUM(J16-D16),IF(M$2="Scotland",SUM(K16-D16),IF(M$2="LGBF Family Group 1 Average",SUM(F16-D16),IF(M$2="LGBF Family Group 2 Average",SUM(G16-D16),IF(M$2="LGBF Family Group 3 Average",SUM(H16-D16),IF(M$2="LGBF Family Group 4 Average",SUM(I16-D16),SUM(L16-D16)))))))))&gt;0,"-",IF(AND(L16="-",M$2="United Kingdom"),"-",IF(M$2="Top Performing Scottish Local Authority",SUM(E16-D16),IF(M$2="City Region Comparator",SUM(J16-D16),IF(M$2="Scotland",SUM(K16-D16),IF(M$2="LGBF Family Group 1 Average",SUM(F16-D16),IF(M$2="LGBF Family Group 2 Average",SUM(G16-D16),IF(M$2="LGBF Family Group 3 Average",SUM(H16-D16),IF(M$2="LGBF Family Group 4 Average",SUM(I16-D16),SUM(L16-D16)))))))))))</f>
        <v>-12.200000000000003</v>
      </c>
      <c r="N16" s="211">
        <f>IF(M16="-","-",IF($M$2="Top Performing Scottish Local Authority",SUM(MROUND(SUM(E16*VLOOKUP($D$3,'Raw - Ill Health'!A:Q,15,FALSE)/100),100)-MROUND(SUM(VLOOKUP($D$3,'Raw - Ill Health'!A:Q,16,FALSE)*VLOOKUP($D$3,'Raw - Ill Health'!A:Q,15,FALSE)/100),100)),
IF($M$2="LGBF Family Group 1 Average",SUM(MROUND(SUM(F16*VLOOKUP($D$3,'Raw - Ill Health'!A:Q,15,FALSE)/100),100)-MROUND(SUM(VLOOKUP($D$3,'Raw - Ill Health'!A:Q,16,FALSE)*VLOOKUP($D$3,'Raw - Ill Health'!A:Q,15,FALSE)/100),100)),
IF($M$2="LGBF Family Group 2 Average",SUM(MROUND(SUM(I16*VLOOKUP($D$3,'Raw - Ill Health'!A:Q,15,FALSE)/100),100)-MROUND(SUM(VLOOKUP($D$3,'Raw - Ill Health'!A:Q,16,FALSE)*VLOOKUP($D$3,'Raw - Ill Health'!A:Q,15,FALSE)/100),100)),
IF($M$2="LGBF Family Group 3 Average",SUM(MROUND(SUM(H16*VLOOKUP($D$3,'Raw - Ill Health'!A:Q,15,FALSE)/100),100)-MROUND(SUM(VLOOKUP($D$3,'Raw - Ill Health'!A:Q,16,FALSE)*VLOOKUP($D$3,'Raw - Ill Health'!A:Q,15,FALSE)/100),100)),
IF($M$2="LGBF Family Group 4 Average",SUM(MROUND(SUM(H16*VLOOKUP($D$3,'Raw - Ill Health'!A:Q,15,FALSE)/100),100)-MROUND(SUM(VLOOKUP($D$3,'Raw - Ill Health'!A:Q,16,FALSE)*VLOOKUP($D$3,'Raw - Ill Health'!A:Q,15,FALSE)/100),100)),
IF($M$2="City Region Comparator",SUM(MROUND(SUM(J16*VLOOKUP($D$3,'Raw - Ill Health'!A:Q,15,FALSE)/100),100)-MROUND(SUM(VLOOKUP($D$3,'Raw - Ill Health'!A:Q,16,FALSE)*VLOOKUP($D$3,'Raw - Ill Health'!A:Q,15,FALSE)/100),100)),IF($M$2="Scotland",SUM(MROUND(SUM(K16*VLOOKUP($D$3,'Raw - Ill Health'!A:Q,15,FALSE)/100),100)-MROUND(SUM(VLOOKUP($D$3,'Raw - Ill Health'!A:Q,16,FALSE)*VLOOKUP($D$3,'Raw - Ill Health'!A:Q,15,FALSE)/100),100)),SUM(MROUND(SUM(L16*VLOOKUP($D$3,'Raw - Ill Health'!A:Q,15,FALSE)/100),100)-MROUND(SUM(VLOOKUP($D$3,'Raw - Ill Health'!A:Q,16,FALSE)*VLOOKUP($D$3,'Raw - Ill Health'!A:Q,15,FALSE)/100),100))))))))))</f>
        <v>-4100</v>
      </c>
    </row>
    <row r="17" spans="2:14" s="145" customFormat="1" ht="23.45" customHeight="1">
      <c r="B17" s="462"/>
      <c r="C17" s="160" t="s">
        <v>199</v>
      </c>
      <c r="D17" s="135">
        <f>VLOOKUP(D$3,'Raw - Economic Inactivity'!$A:$Q,16,FALSE)</f>
        <v>21.6</v>
      </c>
      <c r="E17" s="209">
        <f>VLOOKUP(E$3,'Economic Inactivity'!$B:$G,6,FALSE)</f>
        <v>11.7</v>
      </c>
      <c r="F17" s="209">
        <f>VLOOKUP(F$3,'Raw - Economic Inactivity'!$A:$Q,16,FALSE)</f>
        <v>20.92065197922264</v>
      </c>
      <c r="G17" s="209">
        <f>VLOOKUP(G$3,'Raw - Economic Inactivity'!$A:$Q,16,FALSE)</f>
        <v>23.2368019952889</v>
      </c>
      <c r="H17" s="209">
        <f>VLOOKUP(H$3,'Raw - Economic Inactivity'!$A:$Q,16,FALSE)</f>
        <v>22.151440567540178</v>
      </c>
      <c r="I17" s="209">
        <f>VLOOKUP(I$3,'Raw - Economic Inactivity'!$A:$Q,16,FALSE)</f>
        <v>22.874671340929009</v>
      </c>
      <c r="J17" s="209">
        <f>VLOOKUP(J$3,'Raw - Economic Inactivity'!$A:$Q,16,FALSE)</f>
        <v>17.996345919610231</v>
      </c>
      <c r="K17" s="209">
        <f>VLOOKUP(K$3,'Raw - Economic Inactivity'!$A:$Q,16,FALSE)</f>
        <v>22.5</v>
      </c>
      <c r="L17" s="209">
        <f>IF(VLOOKUP(L$3,'Raw - Economic Inactivity'!$A:$Q,16,FALSE)&lt;0.0001,"-",VLOOKUP(L$3,'Raw - Economic Inactivity'!$A:$Q,16,FALSE))</f>
        <v>21.3</v>
      </c>
      <c r="M17" s="210">
        <f t="shared" si="0"/>
        <v>-9.9000000000000021</v>
      </c>
      <c r="N17" s="211">
        <f>IF(M17="-","-",IF($M$2="Top Performing Scottish Local Authority",SUM(MROUND(SUM(E17*VLOOKUP($D$3,'Raw - Economic Inactivity'!A:Q,15,FALSE)/100),100)-MROUND(SUM(VLOOKUP($D$3,'Raw - Economic Inactivity'!A:Q,16,FALSE)*VLOOKUP($D$3,'Raw - Economic Inactivity'!A:Q,15,FALSE)/100),100)),
IF($M$2="LGBF Family Group 1 Average",SUM(MROUND(SUM(F17*VLOOKUP($D$3,'Raw - Economic Inactivity'!A:Q,15,FALSE)/100),100)-MROUND(SUM(VLOOKUP($D$3,'Raw - Economic Inactivity'!A:Q,16,FALSE)*VLOOKUP($D$3,'Raw - Economic Inactivity'!A:Q,15,FALSE)/100),100)),
IF($M$2="LGBF Family Group 2 Average",SUM(MROUND(SUM(G17*VLOOKUP($D$3,'Raw - Economic Inactivity'!A:Q,15,FALSE)/100),100)-MROUND(SUM(VLOOKUP($D$3,'Raw - Economic Inactivity'!A:Q,16,FALSE)*VLOOKUP($D$3,'Raw - Economic Inactivity'!A:Q,15,FALSE)/100),100)),
IF($M$2="LGBF Family Group 3 Average",SUM(MROUND(SUM(H17*VLOOKUP($D$3,'Raw - Economic Inactivity'!A:Q,15,FALSE)/100),100)-MROUND(SUM(VLOOKUP($D$3,'Raw - Economic Inactivity'!A:Q,16,FALSE)*VLOOKUP($D$3,'Raw - Economic Inactivity'!A:Q,15,FALSE)/100),100)),
IF($M$2="LGBF Family Group 4 Average",SUM(MROUND(SUM(I17*VLOOKUP($D$3,'Raw - Economic Inactivity'!A:Q,15,FALSE)/100),100)-MROUND(SUM(VLOOKUP($D$3,'Raw - Economic Inactivity'!A:Q,16,FALSE)*VLOOKUP($D$3,'Raw - Economic Inactivity'!A:Q,15,FALSE)/100),100)),
IF($M$2="City Region Comparator",SUM(MROUND(SUM(J17*VLOOKUP($D$3,'Raw - Economic Inactivity'!A:Q,15,FALSE)/100),100)-MROUND(SUM(VLOOKUP($D$3,'Raw - Economic Inactivity'!A:Q,16,FALSE)*VLOOKUP($D$3,'Raw - Economic Inactivity'!A:Q,15,FALSE)/100),100)),IF($M$2="Scotland",SUM(MROUND(SUM(K17*VLOOKUP($D$3,'Raw - Economic Inactivity'!A:Q,15,FALSE)/100),100)-MROUND(SUM(VLOOKUP($D$3,'Raw - Economic Inactivity'!A:Q,16,FALSE)*VLOOKUP($D$3,'Raw - Economic Inactivity'!A:Q,15,FALSE)/100),100)),SUM(MROUND(SUM(L17*VLOOKUP($D$3,'Raw - Economic Inactivity'!A:Q,15,FALSE)/100),100)-MROUND(SUM(VLOOKUP($D$3,'Raw - Economic Inactivity'!A:Q,16,FALSE)*VLOOKUP($D$3,'Raw - Economic Inactivity'!A:Q,15,FALSE)/100),100))))))))))</f>
        <v>-15600</v>
      </c>
    </row>
    <row r="18" spans="2:14" s="145" customFormat="1" ht="23.45" customHeight="1">
      <c r="B18" s="462"/>
      <c r="C18" s="160" t="s">
        <v>197</v>
      </c>
      <c r="D18" s="135">
        <f>VLOOKUP(D$3,'Raw - Employment'!$A:$Q,16,FALSE)</f>
        <v>74.7</v>
      </c>
      <c r="E18" s="209">
        <f>VLOOKUP(E$3,Employment!$B:$G,6,FALSE)</f>
        <v>88.3</v>
      </c>
      <c r="F18" s="209">
        <f>VLOOKUP(F$3,'Raw - Employment'!$A:$Q,16,FALSE)</f>
        <v>76.894142933906508</v>
      </c>
      <c r="G18" s="209">
        <f>VLOOKUP(G$3,'Raw - Employment'!$A:$Q,16,FALSE)</f>
        <v>74.047388111403635</v>
      </c>
      <c r="H18" s="209">
        <f>VLOOKUP(H$3,'Raw - Employment'!$A:$Q,16,FALSE)</f>
        <v>75.720283770088315</v>
      </c>
      <c r="I18" s="209">
        <f>VLOOKUP(I$3,'Raw - Employment'!$A:$Q,16,FALSE)</f>
        <v>73.848850535967102</v>
      </c>
      <c r="J18" s="209">
        <f>VLOOKUP(J$3,'Raw - Employment'!$A:$Q,16,FALSE)</f>
        <v>79.628501827040196</v>
      </c>
      <c r="K18" s="209">
        <f>VLOOKUP(K$3,'Raw - Employment'!$A:$Q,16,FALSE)</f>
        <v>74.7</v>
      </c>
      <c r="L18" s="209">
        <f>IF(VLOOKUP(L$3,'Raw - Employment'!$A:$Q,16,FALSE)&lt;0.0001,"-",VLOOKUP(L$3,'Raw - Employment'!$A:$Q,16,FALSE))</f>
        <v>75.7</v>
      </c>
      <c r="M18" s="210">
        <f>IF(IF(AND(L18="-",M$2="United Kingdom"),"-",IF(M$2="Top Performing Scottish Local Authority",SUM(E18-D18),IF(M$2="City Region Comparator",SUM(J18-D18),IF(M$2="Scotland",SUM(K18-D18),IF(M$2="LGBF Family Group 1 Average",SUM(F18-D18),IF(M$2="LGBF Family Group 2 Average",SUM(G18-D18),IF(M$2="LGBF Family Group 3 Average",SUM(H18-D18),IF(M$2="LGBF Family Group 4 Average",SUM(I18-D18),SUM(L18-D18)))))))))&lt;0,"-",IF(AND(L18="-",M$2="United Kingdom"),"-",IF(M$2="Top Performing Scottish Local Authority",SUM(E18-D18),IF(M$2="City Region Comparator",SUM(J18-D18),IF(M$2="Scotland",SUM(K18-D18),IF(M$2="LGBF Family Group 1 Average",SUM(F18-D18),IF(M$2="LGBF Family Group 2 Average",SUM(G18-D18),IF(M$2="LGBF Family Group 3 Average",SUM(H18-D18),IF(M$2="LGBF Family Group 4 Average",SUM(I18-D18),SUM(L18-D18))))))))))</f>
        <v>13.599999999999994</v>
      </c>
      <c r="N18" s="211">
        <f>IF(M18="-","-",IF($M$2="Top Performing Scottish Local Authority",SUM(MROUND(SUM(E18*VLOOKUP($D$3,'Raw - Employment'!A:Q,15,FALSE)/100),100)-MROUND(SUM(VLOOKUP($D$3,'Raw - Employment'!A:Q,16,FALSE)*VLOOKUP($D$3,'Raw - Employment'!A:Q,15,FALSE)/100),100)),
IF($M$2="LGBF Family Group 1 Average",SUM(MROUND(SUM(F18*VLOOKUP($D$3,'Raw - Employment'!A:Q,15,FALSE)/100),100)-MROUND(SUM(VLOOKUP($D$3,'Raw - Employment'!A:Q,16,FALSE)*VLOOKUP($D$3,'Raw - Employment'!A:Q,15,FALSE)/100),100)),
IF($M$2="LGBF Family Group 2 Average",SUM(MROUND(SUM(G18*VLOOKUP($D$3,'Raw - Employment'!A:Q,15,FALSE)/100),100)-MROUND(SUM(VLOOKUP($D$3,'Raw - Employment'!A:Q,16,FALSE)*VLOOKUP($D$3,'Raw - Employment'!A:Q,15,FALSE)/100),100)),
IF($M$2="LGBF Family Group 3 Average",SUM(MROUND(SUM(H18*VLOOKUP($D$3,'Raw - Employment'!A:Q,15,FALSE)/100),100)-MROUND(SUM(VLOOKUP($D$3,'Raw - Employment'!A:Q,16,FALSE)*VLOOKUP($D$3,'Raw - Employment'!A:Q,15,FALSE)/100),100)),
IF($M$2="LGBF Family Group 4 Average",SUM(MROUND(SUM(I18*VLOOKUP($D$3,'Raw - Employment'!A:Q,15,FALSE)/100),100)-MROUND(SUM(VLOOKUP($D$3,'Raw - Employment'!A:Q,16,FALSE)*VLOOKUP($D$3,'Raw - Employment'!A:Q,15,FALSE)/100),100)),
IF($M$2="City Region Comparator",SUM(MROUND(SUM(J18*VLOOKUP($D$3,'Raw - Employment'!A:Q,15,FALSE)/100),100)-MROUND(SUM(VLOOKUP($D$3,'Raw - Employment'!A:Q,16,FALSE)*VLOOKUP($D$3,'Raw - Employment'!A:Q,15,FALSE)/100),100)),IF($M$2="Scotland",SUM(MROUND(SUM(K18*VLOOKUP($D$3,'Raw - Employment'!A:Q,15,FALSE)/100),100)-MROUND(SUM(VLOOKUP($D$3,'Raw - Employment'!A:Q,16,FALSE)*VLOOKUP($D$3,'Raw - Employment'!A:Q,15,FALSE)/100),100)),SUM(MROUND(SUM(L18*VLOOKUP($D$3,'Raw - Employment'!A:Q,15,FALSE)/100),100)-MROUND(SUM(VLOOKUP($D$3,'Raw - Employment'!A:Q,16,FALSE)*VLOOKUP($D$3,'Raw - Employment'!A:Q,15,FALSE)/100),100))))))))))</f>
        <v>21400</v>
      </c>
    </row>
    <row r="19" spans="2:14" s="145" customFormat="1" ht="23.45" customHeight="1">
      <c r="B19" s="462"/>
      <c r="C19" s="160" t="s">
        <v>198</v>
      </c>
      <c r="D19" s="135">
        <f>IF(OR(VLOOKUP(D$3,'Raw - Unemployment'!$A:$Q,16,FALSE)="",VLOOKUP(D$3,'Raw - Unemployment'!$A:$Q,16,FALSE)="!"),"-",(VLOOKUP(D$3,'Raw - Unemployment'!$A:$Q,16,FALSE)))</f>
        <v>4.7</v>
      </c>
      <c r="E19" s="209">
        <f>VLOOKUP(E$3,Unemployment!$B:$G,6,FALSE)</f>
        <v>1</v>
      </c>
      <c r="F19" s="209">
        <f>VLOOKUP(F$3,'Raw - Unemployment'!$A:$Q,16,FALSE)</f>
        <v>2.3108291798821932</v>
      </c>
      <c r="G19" s="209">
        <f>VLOOKUP(G$3,'Raw - Unemployment'!$A:$Q,16,FALSE)</f>
        <v>3.412784398699892</v>
      </c>
      <c r="H19" s="209">
        <f>VLOOKUP(H$3,'Raw - Unemployment'!$A:$Q,16,FALSE)</f>
        <v>2.3805095778315044</v>
      </c>
      <c r="I19" s="209">
        <f>VLOOKUP(I$3,'Raw - Unemployment'!$A:$Q,16,FALSE)</f>
        <v>4.2486231313926046</v>
      </c>
      <c r="J19" s="209">
        <f>VLOOKUP(J$3,'Raw - Unemployment'!$A:$Q,16,FALSE)</f>
        <v>2.9324424647364515</v>
      </c>
      <c r="K19" s="209">
        <f>VLOOKUP(K$3,'Raw - Unemployment'!$A:$Q,16,FALSE)</f>
        <v>3.6</v>
      </c>
      <c r="L19" s="209">
        <f>IF(VLOOKUP(L$3,'Raw - Unemployment'!$A:$Q,16,FALSE)&lt;0.0001,"-",VLOOKUP(L$3,'Raw - Unemployment'!$A:$Q,16,FALSE))</f>
        <v>3.8</v>
      </c>
      <c r="M19" s="210">
        <f>IF(D19="-","-",IF(IF(AND(L19="-",M$2="United Kingdom"),"-",IF(M$2="Top Performing Scottish Local Authority",SUM(E19-D19),IF(M$2="City Region Comparator",SUM(J19-D19),IF(M$2="Scotland",SUM(K19-D19),IF(M$2="LGBF Family Group 1 Average",SUM(F19-D19),IF(M$2="LGBF Family Group 2 Average",SUM(G19-D19),IF(M$2="LGBF Family Group 3 Average",SUM(H19-D19),IF(M$2="LGBF Family Group 4 Average",SUM(I19-D19),SUM(L19-D19)))))))))&gt;0,"-",IF(AND(L19="-",M$2="United Kingdom"),"-",IF(M$2="Top Performing Scottish Local Authority",SUM(E19-D19),IF(M$2="City Region Comparator",SUM(J19-D19),IF(M$2="Scotland",SUM(K19-D19),IF(M$2="LGBF Family Group 1 Average",SUM(F19-D19),IF(M$2="LGBF Family Group 2 Average",SUM(G19-D19),IF(M$2="LGBF Family Group 3 Average",SUM(H19-D19),IF(M$2="LGBF Family Group 4 Average",SUM(I19-D19),SUM(L19-D19)))))))))))</f>
        <v>-3.7</v>
      </c>
      <c r="N19" s="211">
        <f>IF(M19="-","-",IF($M$2="Top Performing Scottish Local Authority",SUM(MROUND(SUM(E19*VLOOKUP($D$3,'Raw - Unemployment'!A:Q,15,FALSE)/100),100)-MROUND(SUM(VLOOKUP($D$3,'Raw - Unemployment'!A:Q,16,FALSE)*VLOOKUP($D$3,'Raw - Unemployment'!A:Q,15,FALSE)/100),100)),
IF($M$2="LGBF Family Group 1 Average",SUM(MROUND(SUM(F19*VLOOKUP($D$3,'Raw - Unemployment'!A:Q,15,FALSE)/100),100)-MROUND(SUM(VLOOKUP($D$3,'Raw - Unemployment'!A:Q,16,FALSE)*VLOOKUP($D$3,'Raw - Unemployment'!A:Q,15,FALSE)/100),100)),
IF($M$2="LGBF Family Group 2 Average",SUM(MROUND(SUM(G19*VLOOKUP($D$3,'Raw - Unemployment'!A:Q,15,FALSE)/100),100)-MROUND(SUM(VLOOKUP($D$3,'Raw - Unemployment'!A:Q,16,FALSE)*VLOOKUP($D$3,'Raw - Unemployment'!A:Q,15,FALSE)/100),100)),
IF($M$2="LGBF Family Group 3 Average",SUM(MROUND(SUM(H19*VLOOKUP($D$3,'Raw - Unemployment'!A:Q,15,FALSE)/100),100)-MROUND(SUM(VLOOKUP($D$3,'Raw - Unemployment'!A:Q,16,FALSE)*VLOOKUP($D$3,'Raw - Unemployment'!A:Q,15,FALSE)/100),100)),
IF($M$2="LGBF Family Group 4 Average",SUM(MROUND(SUM(I19*VLOOKUP($D$3,'Raw - Unemployment'!A:Q,15,FALSE)/100),100)-MROUND(SUM(VLOOKUP($D$3,'Raw - Unemployment'!A:Q,16,FALSE)*VLOOKUP($D$3,'Raw - Unemployment'!A:Q,15,FALSE)/100),100)),
IF($M$2="City Region Comparator",SUM(MROUND(SUM(J19*VLOOKUP($D$3,'Raw - Unemployment'!A:Q,15,FALSE)/100),100)-MROUND(SUM(VLOOKUP($D$3,'Raw - Unemployment'!A:Q,16,FALSE)*VLOOKUP($D$3,'Raw - Unemployment'!A:Q,15,FALSE)/100),100)),IF($M$2="Scotland",SUM(MROUND(SUM(K19*VLOOKUP($D$3,'Raw - Unemployment'!A:Q,15,FALSE)/100),100)-MROUND(SUM(VLOOKUP($D$3,'Raw - Unemployment'!A:Q,16,FALSE)*VLOOKUP($D$3,'Raw - Unemployment'!A:Q,15,FALSE)/100),100)),SUM(MROUND(SUM(L19*VLOOKUP($D$3,'Raw - Unemployment'!A:Q,15,FALSE)/100),100)-MROUND(SUM(VLOOKUP($D$3,'Raw - Unemployment'!A:Q,16,FALSE)*VLOOKUP($D$3,'Raw - Unemployment'!A:Q,15,FALSE)/100),100))))))))))</f>
        <v>-4600</v>
      </c>
    </row>
    <row r="20" spans="2:14" s="145" customFormat="1" ht="23.45" customHeight="1">
      <c r="B20" s="462"/>
      <c r="C20" s="160" t="s">
        <v>180</v>
      </c>
      <c r="D20" s="135">
        <f>VLOOKUP(D$3,'Raw - Low Pay Sectors'!$A:$Q,16,FALSE)</f>
        <v>25.8</v>
      </c>
      <c r="E20" s="209">
        <f>VLOOKUP(E$3,'Low Pay Sectors'!$B:$G,6,FALSE)</f>
        <v>20.8</v>
      </c>
      <c r="F20" s="209">
        <f>VLOOKUP(F$3,'Raw - Low Pay Sectors'!$A:$Q,16,FALSE)</f>
        <v>28.699276325046085</v>
      </c>
      <c r="G20" s="209">
        <f>VLOOKUP(G$3,'Raw - Low Pay Sectors'!$A:$Q,16,FALSE)</f>
        <v>29.912093752656244</v>
      </c>
      <c r="H20" s="209">
        <f>VLOOKUP(H$3,'Raw - Low Pay Sectors'!$A:$Q,16,FALSE)</f>
        <v>30.45203919047476</v>
      </c>
      <c r="I20" s="209">
        <f>VLOOKUP(I$3,'Raw - Low Pay Sectors'!$A:$Q,16,FALSE)</f>
        <v>27.592294455223815</v>
      </c>
      <c r="J20" s="209">
        <f>VLOOKUP(J$3,'Raw - Low Pay Sectors'!$A:$Q,16,FALSE)</f>
        <v>25.879042323839784</v>
      </c>
      <c r="K20" s="209">
        <f>VLOOKUP(K$3,'Raw - Low Pay Sectors'!$A:$Q,16,FALSE)</f>
        <v>28.8</v>
      </c>
      <c r="L20" s="209" t="s">
        <v>71</v>
      </c>
      <c r="M20" s="210">
        <f t="shared" si="0"/>
        <v>-5</v>
      </c>
      <c r="N20" s="211">
        <f>IF(M20="-","-",IF($M$2="Top Performing Scottish Local Authority",SUM(MROUND(SUM(E20*VLOOKUP($D$3,'Raw - Low Pay Sectors'!A:Q,15,FALSE)/100),100)-MROUND(SUM(VLOOKUP($D$3,'Raw - Low Pay Sectors'!A:Q,16,FALSE)*VLOOKUP($D$3,'Raw - Low Pay Sectors'!A:Q,15,FALSE)/100),100)),
IF($M$2="LGBF Family Group 1 Average",SUM(MROUND(SUM(F20*VLOOKUP($D$3,'Raw - Low Pay Sectors'!A:Q,15,FALSE)/100),100)-MROUND(SUM(VLOOKUP($D$3,'Raw - Low Pay Sectors'!A:Q,16,FALSE)*VLOOKUP($D$3,'Raw - Low Pay Sectors'!A:Q,15,FALSE)/100),100)),
IF($M$2="LGBF Family Group 2 Average",SUM(MROUND(SUM(G20*VLOOKUP($D$3,'Raw - Low Pay Sectors'!A:Q,15,FALSE)/100),100)-MROUND(SUM(VLOOKUP($D$3,'Raw - Low Pay Sectors'!A:Q,16,FALSE)*VLOOKUP($D$3,'Raw - Low Pay Sectors'!A:Q,15,FALSE)/100),100)),
IF($M$2="LGBF Family Group 3 Average",SUM(MROUND(SUM(H20*VLOOKUP($D$3,'Raw - Low Pay Sectors'!A:Q,15,FALSE)/100),100)-MROUND(SUM(VLOOKUP($D$3,'Raw - Low Pay Sectors'!A:Q,16,FALSE)*VLOOKUP($D$3,'Raw - Low Pay Sectors'!A:Q,15,FALSE)/100),100)),
IF($M$2="LGBF Family Group 4 Average",SUM(MROUND(SUM(I20*VLOOKUP($D$3,'Raw - Low Pay Sectors'!A:Q,15,FALSE)/100),100)-MROUND(SUM(VLOOKUP($D$3,'Raw - Low Pay Sectors'!A:Q,16,FALSE)*VLOOKUP($D$3,'Raw - Low Pay Sectors'!A:Q,15,FALSE)/100),100)),
IF($M$2="City Region Comparator",SUM(MROUND(SUM(J20*VLOOKUP($D$3,'Raw - Low Pay Sectors'!A:Q,15,FALSE)/100),100)-MROUND(SUM(VLOOKUP($D$3,'Raw - Low Pay Sectors'!A:Q,16,FALSE)*VLOOKUP($D$3,'Raw - Low Pay Sectors'!A:Q,15,FALSE)/100),100)),IF($M$2="Scotland",SUM(MROUND(SUM(K20*VLOOKUP($D$3,'Raw - Low Pay Sectors'!A:Q,15,FALSE)/100),100)-MROUND(SUM(VLOOKUP($D$3,'Raw - Low Pay Sectors'!A:Q,16,FALSE)*VLOOKUP($D$3,'Raw - Low Pay Sectors'!A:Q,15,FALSE)/100),100)),SUM(MROUND(SUM(L20*VLOOKUP($D$3,'Raw - Low Pay Sectors'!A:Q,15,FALSE)/100),100)-MROUND(SUM(VLOOKUP($D$3,'Raw - Low Pay Sectors'!A:Q,16,FALSE)*VLOOKUP($D$3,'Raw - Low Pay Sectors'!A:Q,15,FALSE)/100),100))))))))))</f>
        <v>-7900</v>
      </c>
    </row>
    <row r="21" spans="2:14" s="145" customFormat="1" ht="23.45" customHeight="1">
      <c r="B21" s="462"/>
      <c r="C21" s="160" t="s">
        <v>292</v>
      </c>
      <c r="D21" s="135">
        <f>VLOOKUP(D$3,'Raw - Gender Emp'!$A:$Q,16,FALSE)</f>
        <v>4</v>
      </c>
      <c r="E21" s="209" t="s">
        <v>196</v>
      </c>
      <c r="F21" s="209">
        <f>VLOOKUP(F$3,'Raw - No Qualifications'!$A:$Q,16,FALSE)</f>
        <v>6.6041206769683587</v>
      </c>
      <c r="G21" s="209">
        <f>VLOOKUP(G$3,'Raw - No Qualifications'!$A:$Q,16,FALSE)</f>
        <v>7.4678111587982832</v>
      </c>
      <c r="H21" s="209">
        <f>VLOOKUP(H$3,'Raw - No Qualifications'!$A:$Q,16,FALSE)</f>
        <v>8.8016967126193002</v>
      </c>
      <c r="I21" s="209">
        <f>VLOOKUP(I$3,'Raw - No Qualifications'!$A:$Q,16,FALSE)</f>
        <v>8.7014537537748424</v>
      </c>
      <c r="J21" s="209">
        <f>VLOOKUP(J$3,'Raw - No Qualifications'!$A:$Q,16,FALSE)</f>
        <v>4.5398009950248754</v>
      </c>
      <c r="K21" s="209">
        <f>VLOOKUP(K$3,'Raw - No Qualifications'!$A:$Q,16,FALSE)</f>
        <v>8.1999999999999993</v>
      </c>
      <c r="L21" s="209">
        <f>IF(VLOOKUP(L$3,'Raw - No Qualifications'!$A:$Q,16,FALSE)&lt;0.0001,"-",VLOOKUP(L$3,'Raw - No Qualifications'!$A:$Q,16,FALSE))</f>
        <v>6.6</v>
      </c>
      <c r="M21" s="210" t="s">
        <v>196</v>
      </c>
      <c r="N21" s="211" t="s">
        <v>71</v>
      </c>
    </row>
    <row r="22" spans="2:14" s="145" customFormat="1" ht="23.45" customHeight="1">
      <c r="B22" s="462"/>
      <c r="C22" s="160" t="s">
        <v>66</v>
      </c>
      <c r="D22" s="135">
        <f>VLOOKUP(D$3,'Raw - Earnings'!$A:$Q,16,FALSE)</f>
        <v>721.7</v>
      </c>
      <c r="E22" s="209">
        <f>VLOOKUP(E$3,Earnings!$B:$G,6,FALSE)</f>
        <v>862</v>
      </c>
      <c r="F22" s="209">
        <f>VLOOKUP(F$3,'Raw - Earnings'!$A:$Q,16,FALSE)</f>
        <v>727.17142857142858</v>
      </c>
      <c r="G22" s="209">
        <f>VLOOKUP(G$3,'Raw - Earnings'!$A:$Q,16,FALSE)</f>
        <v>735.21249999999998</v>
      </c>
      <c r="H22" s="209">
        <f>VLOOKUP(H$3,'Raw - Earnings'!$A:$Q,16,FALSE)</f>
        <v>743.66249999999991</v>
      </c>
      <c r="I22" s="209">
        <f>VLOOKUP(I$3,'Raw - Earnings'!$A:$Q,16,FALSE)</f>
        <v>742.82500000000005</v>
      </c>
      <c r="J22" s="209">
        <f>VLOOKUP(J$3,'Raw - Earnings'!$A:$Q,16,FALSE)</f>
        <v>752.8</v>
      </c>
      <c r="K22" s="209">
        <f>VLOOKUP(K$3,'Raw - Earnings'!$A:$Q,16,FALSE)</f>
        <v>740</v>
      </c>
      <c r="L22" s="209">
        <f>IF(VLOOKUP(L$3,'Raw - Earnings'!$A:$Q,16,FALSE)&lt;0.0001,"-",VLOOKUP(L$3,'Raw - Earnings'!$A:$Q,16,FALSE))</f>
        <v>728.3</v>
      </c>
      <c r="M22" s="210" t="s">
        <v>196</v>
      </c>
      <c r="N22" s="210">
        <f>IF(M22="-","-",IF(IF(AND(L22="-",M$2="United Kingdom"),"-",IF(M$2="Top Performing Scottish Local Authority",SUM(E22-D22),IF(M$2="City Region Comparator",SUM(J22-D22),IF(M$2="Scotland",SUM(K22-D22),IF(M$2="LGBF Family Group 1 Average",SUM(F22-D22),IF(M$2="LGBF Family Group 2 Average",SUM(G22-D22),IF(M$2="LGBF Family Group 3 Average",SUM(H22-D22),IF(M$2="LGBF Family Group 4 Average",SUM(I22-D22),SUM(L22-D22)))))))))&lt;0,"-",IF(M$2="Top Performing Scottish Local Authority",SUM(E22-D22),IF(M$2="City Region Comparator",SUM(J22-D22),IF(M$2="Scotland",SUM(K22-D22),IF(M$2="LGBF Family Group 1 Average",SUM(F22-D22),IF(M$2="LGBF Family Group 2 Average",SUM(G22-D22),IF(M$2="LGBF Family Group 3 Average",SUM(H22-D22),IF(M$2="LGBF Family Group 4 Average",SUM(I22-D22),SUM(L22-D22))))))))))</f>
        <v>140.29999999999995</v>
      </c>
    </row>
    <row r="23" spans="2:14" s="145" customFormat="1" ht="23.45" customHeight="1">
      <c r="B23" s="462"/>
      <c r="C23" s="160" t="s">
        <v>285</v>
      </c>
      <c r="D23" s="135">
        <f>IF(VLOOKUP(D$3,'Raw - 20th Percentile Earnings'!$A:$Q,16,FALSE)="","-",(VLOOKUP(D$3,'Raw - 20th Percentile Earnings'!$A:$Q,16,FALSE)))</f>
        <v>538.20000000000005</v>
      </c>
      <c r="E23" s="209">
        <f>VLOOKUP(E$3,'Low Earnings'!B:G,6,FALSE)</f>
        <v>614.79999999999995</v>
      </c>
      <c r="F23" s="209">
        <f>VLOOKUP(F$3,'Raw - 20th Percentile Earnings'!$A:$Q,16,FALSE)</f>
        <v>537.75714285714287</v>
      </c>
      <c r="G23" s="209">
        <f>VLOOKUP(G$3,'Raw - 20th Percentile Earnings'!$A:$Q,16,FALSE)</f>
        <v>529.66250000000002</v>
      </c>
      <c r="H23" s="209">
        <f>VLOOKUP(H$3,'Raw - 20th Percentile Earnings'!$A:$Q,16,FALSE)</f>
        <v>546.76250000000005</v>
      </c>
      <c r="I23" s="209">
        <f>VLOOKUP(I$3,'Raw - 20th Percentile Earnings'!$A:$Q,16,FALSE)</f>
        <v>538.3125</v>
      </c>
      <c r="J23" s="209">
        <f>VLOOKUP(J$3,'Raw - 20th Percentile Earnings'!$A:$Q,16,FALSE)</f>
        <v>543.15000000000009</v>
      </c>
      <c r="K23" s="209">
        <f>VLOOKUP(K$3,'Raw - 20th Percentile Earnings'!$A:$Q,16,FALSE)</f>
        <v>536.6</v>
      </c>
      <c r="L23" s="209">
        <f>IF(VLOOKUP(L$3,'Raw - 20th Percentile Earnings'!$A:$Q,16,FALSE)&lt;0.0001,"-",VLOOKUP(L$3,'Raw - 20th Percentile Earnings'!$A:$Q,16,FALSE))</f>
        <v>527</v>
      </c>
      <c r="M23" s="210" t="s">
        <v>196</v>
      </c>
      <c r="N23" s="210">
        <f>IF(M23="-","-",IF(IF(AND(L23="-",M$2="United Kingdom"),"-",IF(M$2="Top Performing Scottish Local Authority",SUM(E23-D23),IF(M$2="City Region Comparator",SUM(J23-D23),IF(M$2="Scotland",SUM(K23-D23),IF(M$2="LGBF Family Group 1 Average",SUM(F23-D23),IF(M$2="LGBF Family Group 2 Average",SUM(G23-D23),IF(M$2="LGBF Family Group 3 Average",SUM(H23-D23),IF(M$2="LGBF Family Group 4 Average",SUM(I23-D23),SUM(L23-D23)))))))))&lt;0,"-",IF(M$2="Top Performing Scottish Local Authority",SUM(E23-D23),IF(M$2="City Region Comparator",SUM(J23-D23),IF(M$2="Scotland",SUM(K23-D23),IF(M$2="LGBF Family Group 1 Average",SUM(F23-D23),IF(M$2="LGBF Family Group 2 Average",SUM(G23-D23),IF(M$2="LGBF Family Group 3 Average",SUM(H23-D23),IF(M$2="LGBF Family Group 4 Average",SUM(I23-D23),SUM(L23-D23))))))))))</f>
        <v>76.599999999999909</v>
      </c>
    </row>
    <row r="24" spans="2:14" s="145" customFormat="1" ht="23.45" customHeight="1">
      <c r="B24" s="462"/>
      <c r="C24" s="160" t="s">
        <v>335</v>
      </c>
      <c r="D24" s="135">
        <f>VLOOKUP(D$3,'Raw - Underemployment'!$A:$Q,16,FALSE)</f>
        <v>7</v>
      </c>
      <c r="E24" s="209">
        <f>VLOOKUP(E$3,Underemployment!$B:$G,6,FALSE)</f>
        <v>3.4</v>
      </c>
      <c r="F24" s="209">
        <f>VLOOKUP(F$3,'Raw - Underemployment'!$A:$Q,16,FALSE)</f>
        <v>7.4584811402809024</v>
      </c>
      <c r="G24" s="209">
        <f>VLOOKUP(G$3,'Raw - Underemployment'!$A:$Q,16,FALSE)</f>
        <v>9.4287051981897303</v>
      </c>
      <c r="H24" s="209">
        <f>VLOOKUP(H$3,'Raw - Underemployment'!$A:$Q,16,FALSE)</f>
        <v>8.1982519670906342</v>
      </c>
      <c r="I24" s="209">
        <f>VLOOKUP(I$3,'Raw - Underemployment'!$A:$Q,16,FALSE)</f>
        <v>7.6974900635074732</v>
      </c>
      <c r="J24" s="209">
        <f>VLOOKUP(J$3,'Raw - Underemployment'!$A:$Q,16,FALSE)</f>
        <v>7.0000000000000009</v>
      </c>
      <c r="K24" s="209">
        <f>VLOOKUP(K$3,'Raw - Underemployment'!$A:$Q,16,FALSE)</f>
        <v>8.1</v>
      </c>
      <c r="L24" s="209" t="s">
        <v>71</v>
      </c>
      <c r="M24" s="210">
        <f t="shared" si="0"/>
        <v>-3.6</v>
      </c>
      <c r="N24" s="211">
        <f>IF(M24="-","-",IF($M$2="Top Performing Scottish Local Authority",SUM(MROUND(SUM(E24*VLOOKUP($D$3,'Raw - Underemployment'!A:Q,15,FALSE)/100),100)-MROUND(SUM(VLOOKUP($D$3,'Raw - Underemployment'!A:Q,16,FALSE)*VLOOKUP($D$3,'Raw - Underemployment'!A:Q,15,FALSE)/100),100)),
IF($M$2="LGBF Family Group 1 Average",SUM(MROUND(SUM(F24*VLOOKUP($D$3,'Raw - Underemployment'!A:Q,15,FALSE)/100),100)-MROUND(SUM(VLOOKUP($D$3,'Raw - Underemployment'!A:Q,16,FALSE)*VLOOKUP($D$3,'Raw - Underemployment'!A:Q,15,FALSE)/100),100)),
IF($M$2="LGBF Family Group 2 Average",SUM(MROUND(SUM(G24*VLOOKUP($D$3,'Raw - Underemployment'!A:Q,15,FALSE)/100),100)-MROUND(SUM(VLOOKUP($D$3,'Raw - Underemployment'!A:Q,16,FALSE)*VLOOKUP($D$3,'Raw - Underemployment'!A:Q,15,FALSE)/100),100)),
IF($M$2="LGBF Family Group 3 Average",SUM(MROUND(SUM(H24*VLOOKUP($D$3,'Raw - Underemployment'!A:Q,15,FALSE)/100),100)-MROUND(SUM(VLOOKUP($D$3,'Raw - Underemployment'!A:Q,16,FALSE)*VLOOKUP($D$3,'Raw - Underemployment'!A:Q,15,FALSE)/100),100)),
IF($M$2="LGBF Family Group 4 Average",SUM(MROUND(SUM(I24*VLOOKUP($D$3,'Raw - Underemployment'!A:Q,15,FALSE)/100),100)-MROUND(SUM(VLOOKUP($D$3,'Raw - Underemployment'!A:Q,16,FALSE)*VLOOKUP($D$3,'Raw - Underemployment'!A:Q,15,FALSE)/100),100)),
IF($M$2="City Region Comparator",SUM(MROUND(SUM(J24*VLOOKUP($D$3,'Raw - Underemployment'!A:Q,15,FALSE)/100),100)-MROUND(SUM(VLOOKUP($D$3,'Raw - Underemployment'!A:Q,16,FALSE)*VLOOKUP($D$3,'Raw - Underemployment'!A:Q,15,FALSE)/100),100)),IF($M$2="Scotland",SUM(MROUND(SUM(K24*VLOOKUP($D$3,'Raw - Underemployment'!A:Q,15,FALSE)/100),100)-MROUND(SUM(VLOOKUP($D$3,'Raw - Underemployment'!A:Q,16,FALSE)*VLOOKUP($D$3,'Raw - Underemployment'!A:Q,15,FALSE)/100),100)),SUM(MROUND(SUM(L24*VLOOKUP($D$3,'Raw - Underemployment'!A:Q,15,FALSE)/100),100)-MROUND(SUM(VLOOKUP($D$3,'Raw - Underemployment'!A:Q,16,FALSE)*VLOOKUP($D$3,'Raw - Underemployment'!A:Q,15,FALSE)/100),100))))))))))</f>
        <v>-4200</v>
      </c>
    </row>
    <row r="25" spans="2:14" s="145" customFormat="1" ht="23.45" customHeight="1">
      <c r="B25" s="462"/>
      <c r="C25" s="160" t="s">
        <v>286</v>
      </c>
      <c r="D25" s="135">
        <f>IF(OR(VLOOKUP(D$3,'Raw - SOC1 Occupations'!$A:$Q,16,FALSE)="",VLOOKUP(D$3,'Raw - SOC1 Occupations'!$A:$Q,16,FALSE)="!"),"-",VLOOKUP(D$3,'Raw - SOC1 Occupations'!$A:$Q,16,FALSE))</f>
        <v>7.1</v>
      </c>
      <c r="E25" s="209">
        <f>VLOOKUP(E$3,'SOC1 Occupations'!$B:$G,6,FALSE)</f>
        <v>12.8</v>
      </c>
      <c r="F25" s="209">
        <f>VLOOKUP(F$3,'Raw - SOC1 Occupations'!$A:$Q,16,FALSE)</f>
        <v>8.604954367666231</v>
      </c>
      <c r="G25" s="209">
        <f>VLOOKUP(G$3,'Raw - SOC1 Occupations'!$A:$Q,16,FALSE)</f>
        <v>8.0754440578648605</v>
      </c>
      <c r="H25" s="209">
        <f>VLOOKUP(H$3,'Raw - SOC1 Occupations'!$A:$Q,16,FALSE)</f>
        <v>8.6764363805536178</v>
      </c>
      <c r="I25" s="209">
        <f>VLOOKUP(I$3,'Raw - SOC1 Occupations'!$A:$Q,16,FALSE)</f>
        <v>6.636410344237027</v>
      </c>
      <c r="J25" s="209">
        <f>VLOOKUP(J$3,'Raw - SOC1 Occupations'!$A:$Q,16,FALSE)</f>
        <v>8.5279940674823873</v>
      </c>
      <c r="K25" s="209">
        <f>VLOOKUP(K$3,'Raw - SOC1 Occupations'!$A:$Q,16,FALSE)</f>
        <v>7.7</v>
      </c>
      <c r="L25" s="209">
        <f>IF(VLOOKUP(L$3,'Raw - SOC1 Occupations'!$A:$Q,16,FALSE)&lt;0.0001,"-",VLOOKUP(L$3,'Raw - SOC1 Occupations'!$A:$Q,16,FALSE))</f>
        <v>10.7</v>
      </c>
      <c r="M25" s="210">
        <f>IF(IF(AND(L25="-",M$2="United Kingdom"),"-",IF(M$2="Top Performing Scottish Local Authority",SUM(E25-D25),IF(M$2="City Region Comparator",SUM(J25-D25),IF(M$2="Scotland",SUM(K25-D25),IF(M$2="LGBF Family Group 1 Average",SUM(F25-D25),IF(M$2="LGBF Family Group 2 Average",SUM(G25-D25),IF(M$2="LGBF Family Group 3 Average",SUM(H25-D25),IF(M$2="LGBF Family Group 4 Average",SUM(I25-D25),SUM(L25-D25)))))))))&lt;0,"-",IF(AND(L25="-",M$2="United Kingdom"),"-",IF(M$2="Top Performing Scottish Local Authority",SUM(E25-D25),IF(M$2="City Region Comparator",SUM(J25-D25),IF(M$2="Scotland",SUM(K25-D25),IF(M$2="LGBF Family Group 1 Average",SUM(F25-D25),IF(M$2="LGBF Family Group 2 Average",SUM(G25-D25),IF(M$2="LGBF Family Group 3 Average",SUM(H25-D25),IF(M$2="LGBF Family Group 4 Average",SUM(I25-D25),SUM(L25-D25))))))))))</f>
        <v>5.7000000000000011</v>
      </c>
      <c r="N25" s="211">
        <f>IF(M25="-","-",IF($M$2="Top Performing Scottish Local Authority",SUM(MROUND(SUM(E25*VLOOKUP($D$3,'Raw - SOC1 Occupations'!A:Q,15,FALSE)/100),100)-MROUND(SUM(VLOOKUP($D$3,'Raw - SOC1 Occupations'!A:Q,16,FALSE)*VLOOKUP($D$3,'Raw - SOC1 Occupations'!A:Q,15,FALSE)/100),100)),
IF($M$2="LGBF Family Group 1 Average",SUM(MROUND(SUM(F25*VLOOKUP($D$3,'Raw - SOC1 Occupations'!A:Q,15,FALSE)/100),100)-MROUND(SUM(VLOOKUP($D$3,'Raw - SOC1 Occupations'!A:Q,16,FALSE)*VLOOKUP($D$3,'Raw - SOC1 Occupations'!A:Q,15,FALSE)/100),100)),
IF($M$2="LGBF Family Group 2 Average",SUM(MROUND(SUM(G25*VLOOKUP($D$3,'Raw - SOC1 Occupations'!A:Q,15,FALSE)/100),100)-MROUND(SUM(VLOOKUP($D$3,'Raw - SOC1 Occupations'!A:Q,16,FALSE)*VLOOKUP($D$3,'Raw - SOC1 Occupations'!A:Q,15,FALSE)/100),100)),
IF($M$2="LGBF Family Group 3 Average",SUM(MROUND(SUM(H25*VLOOKUP($D$3,'Raw - SOC1 Occupations'!A:Q,15,FALSE)/100),100)-MROUND(SUM(VLOOKUP($D$3,'Raw - SOC1 Occupations'!A:Q,16,FALSE)*VLOOKUP($D$3,'Raw - SOC1 Occupations'!A:Q,15,FALSE)/100),100)),
IF($M$2="LGBF Family Group 4 Average",SUM(MROUND(SUM(I25*VLOOKUP($D$3,'Raw - SOC1 Occupations'!A:Q,15,FALSE)/100),100)-MROUND(SUM(VLOOKUP($D$3,'Raw - SOC1 Occupations'!A:Q,16,FALSE)*VLOOKUP($D$3,'Raw - SOC1 Occupations'!A:Q,15,FALSE)/100),100)),
IF($M$2="City Region Comparator",SUM(MROUND(SUM(J25*VLOOKUP($D$3,'Raw - SOC1 Occupations'!A:Q,15,FALSE)/100),100)-MROUND(SUM(VLOOKUP($D$3,'Raw - SOC1 Occupations'!A:Q,16,FALSE)*VLOOKUP($D$3,'Raw - SOC1 Occupations'!A:Q,15,FALSE)/100),100)),IF($M$2="Scotland",SUM(MROUND(SUM(K25*VLOOKUP($D$3,'Raw - SOC1 Occupations'!A:Q,15,FALSE)/100),100)-MROUND(SUM(VLOOKUP($D$3,'Raw - SOC1 Occupations'!A:Q,16,FALSE)*VLOOKUP($D$3,'Raw - SOC1 Occupations'!A:Q,15,FALSE)/100),100)),SUM(MROUND(SUM(L25*VLOOKUP($D$3,'Raw - SOC1 Occupations'!A:Q,15,FALSE)/100),100)-MROUND(SUM(VLOOKUP($D$3,'Raw - SOC1 Occupations'!A:Q,16,FALSE)*VLOOKUP($D$3,'Raw - SOC1 Occupations'!A:Q,15,FALSE)/100),100))))))))))</f>
        <v>6800</v>
      </c>
    </row>
    <row r="26" spans="2:14" s="145" customFormat="1" ht="23.45" customHeight="1">
      <c r="B26" s="462"/>
      <c r="C26" s="160" t="s">
        <v>365</v>
      </c>
      <c r="D26" s="135">
        <f>VLOOKUP(D$3,'Raw - Satisfactory hours'!$A:$Q,4,FALSE)</f>
        <v>88.4</v>
      </c>
      <c r="E26" s="209">
        <f>VLOOKUP(E$3,'Satisfactory hours'!$B:$G,3,FALSE)</f>
        <v>92.7</v>
      </c>
      <c r="F26" s="209">
        <f>VLOOKUP(F$3,'Raw - Satisfactory hours'!$A:$Q,4,FALSE)</f>
        <v>84.033333333333346</v>
      </c>
      <c r="G26" s="209">
        <f>VLOOKUP(G$3,'Raw - Satisfactory hours'!$A:$Q,4,FALSE)</f>
        <v>83.575000000000003</v>
      </c>
      <c r="H26" s="209">
        <f>VLOOKUP(H$3,'Raw - Satisfactory hours'!$A:$Q,4,FALSE)</f>
        <v>85.612499999999997</v>
      </c>
      <c r="I26" s="209">
        <f>VLOOKUP(I$3,'Raw - Satisfactory hours'!$A:$Q,4,FALSE)</f>
        <v>84.442857142857136</v>
      </c>
      <c r="J26" s="209">
        <f>VLOOKUP(J$3,'Raw - Satisfactory hours'!$A:$Q,4,FALSE)</f>
        <v>86.35</v>
      </c>
      <c r="K26" s="209" t="s">
        <v>71</v>
      </c>
      <c r="L26" s="209" t="s">
        <v>71</v>
      </c>
      <c r="M26" s="210">
        <f>IFERROR(IF(IF(AND(L26="-",M$2="United Kingdom"),"-",IF(M$2="Top Performing Scottish Local Authority",SUM(E26-D26),IF(M$2="City Region Comparator",SUM(J26-D26),IF(M$2="Scotland",SUM(K26-D26),IF(M$2="LGBF Family Group 1 Average",SUM(F26-D26),IF(M$2="LGBF Family Group 2 Average",SUM(G26-D26),IF(M$2="LGBF Family Group 3 Average",SUM(H26-D26),IF(M$2="LGBF Family Group 4 Average",SUM(I26-D26),SUM(L26-D26)))))))))&lt;0,"-",IF(AND(L26="-",M$2="United Kingdom"),"-",IF(M$2="Top Performing Scottish Local Authority",SUM(E26-D26),IF(M$2="City Region Comparator",SUM(J26-D26),IF(M$2="Scotland",SUM(K26-D26),IF(M$2="LGBF Family Group 1 Average",SUM(F26-D26),IF(M$2="LGBF Family Group 2 Average",SUM(G26-D26),IF(M$2="LGBF Family Group 3 Average",SUM(H26-D26),IF(M$2="LGBF Family Group 4 Average",SUM(I26-D26),SUM(L26-D26)))))))))),"-")</f>
        <v>4.2999999999999972</v>
      </c>
      <c r="N26" s="211" t="s">
        <v>71</v>
      </c>
    </row>
    <row r="27" spans="2:14" s="145" customFormat="1" ht="23.45" customHeight="1">
      <c r="B27" s="462"/>
      <c r="C27" s="160" t="s">
        <v>366</v>
      </c>
      <c r="D27" s="135">
        <f>VLOOKUP(D$3,'Raw - Low pay'!$A:$Q,4,FALSE)</f>
        <v>10.9</v>
      </c>
      <c r="E27" s="209">
        <f>VLOOKUP(E$3,'Low pay'!$B:$G,3,FALSE)</f>
        <v>21</v>
      </c>
      <c r="F27" s="209">
        <f>VLOOKUP(F$3,'Raw - Low pay'!$A:$Q,4,FALSE)</f>
        <v>10.45</v>
      </c>
      <c r="G27" s="209">
        <f>VLOOKUP(G$3,'Raw - Low pay'!$A:$Q,4,FALSE)</f>
        <v>13.637499999999999</v>
      </c>
      <c r="H27" s="209">
        <f>VLOOKUP(H$3,'Raw - Low pay'!$A:$Q,4,FALSE)</f>
        <v>13.0625</v>
      </c>
      <c r="I27" s="209">
        <f>VLOOKUP(I$3,'Raw - Low pay'!$A:$Q,4,FALSE)</f>
        <v>12.714285714285714</v>
      </c>
      <c r="J27" s="209">
        <f>VLOOKUP(J$3,'Raw - Low pay'!$A:$Q,4,FALSE)</f>
        <v>12.100000000000001</v>
      </c>
      <c r="K27" s="209" t="s">
        <v>71</v>
      </c>
      <c r="L27" s="209" t="s">
        <v>71</v>
      </c>
      <c r="M27" s="210">
        <f>IFERROR(IF(IF(AND(L27="-",M$2="United Kingdom"),"-",IF(M$2="Top Performing Scottish Local Authority",SUM(E27-D27),IF(M$2="City Region Comparator",SUM(J27-D27),IF(M$2="Scotland",SUM(K27-D27),IF(M$2="LGBF Family Group 1 Average",SUM(F27-D27),IF(M$2="LGBF Family Group 2 Average",SUM(G27-D27),IF(M$2="LGBF Family Group 3 Average",SUM(H27-D27),IF(M$2="LGBF Family Group 4 Average",SUM(I27-D27),SUM(L27-D27)))))))))&lt;0,"-",IF(AND(L27="-",M$2="United Kingdom"),"-",IF(M$2="Top Performing Scottish Local Authority",SUM(E27-D27),IF(M$2="City Region Comparator",SUM(J27-D27),IF(M$2="Scotland",SUM(K27-D27),IF(M$2="LGBF Family Group 1 Average",SUM(F27-D27),IF(M$2="LGBF Family Group 2 Average",SUM(G27-D27),IF(M$2="LGBF Family Group 3 Average",SUM(H27-D27),IF(M$2="LGBF Family Group 4 Average",SUM(I27-D27),SUM(L27-D27)))))))))),"-")</f>
        <v>10.1</v>
      </c>
      <c r="N27" s="211" t="s">
        <v>71</v>
      </c>
    </row>
    <row r="28" spans="2:14" s="145" customFormat="1" ht="23.45" customHeight="1" thickBot="1">
      <c r="B28" s="462"/>
      <c r="C28" s="160" t="s">
        <v>367</v>
      </c>
      <c r="D28" s="135">
        <f>VLOOKUP(D$3,'Raw - Zero-hour contracts'!$A:$Q,4,FALSE)</f>
        <v>3</v>
      </c>
      <c r="E28" s="209">
        <f>VLOOKUP(E$3,'Zero-hour contracts'!$B:$G,3,FALSE)</f>
        <v>4.4000000000000004</v>
      </c>
      <c r="F28" s="209">
        <f>VLOOKUP(F$3,'Raw - Zero-hour contracts'!$A:$Q,4,FALSE)</f>
        <v>2.5666666666666669</v>
      </c>
      <c r="G28" s="209">
        <f>VLOOKUP(G$3,'Raw - Zero-hour contracts'!$A:$Q,4,FALSE)</f>
        <v>2.7285714285714282</v>
      </c>
      <c r="H28" s="209">
        <f>VLOOKUP(H$3,'Raw - Zero-hour contracts'!$A:$Q,4,FALSE)</f>
        <v>2.3285714285714292</v>
      </c>
      <c r="I28" s="209">
        <f>VLOOKUP(I$3,'Raw - Zero-hour contracts'!$A:$Q,4,FALSE)</f>
        <v>1.9142857142857144</v>
      </c>
      <c r="J28" s="209">
        <f>VLOOKUP(J$3,'Raw - Zero-hour contracts'!$A:$Q,4,FALSE)</f>
        <v>2.7</v>
      </c>
      <c r="K28" s="209" t="s">
        <v>71</v>
      </c>
      <c r="L28" s="209" t="s">
        <v>71</v>
      </c>
      <c r="M28" s="210">
        <f>IFERROR(IF(IF(AND(L28="-",M$2="United Kingdom"),"-",IF(M$2="Top Performing Scottish Local Authority",SUM(E28-D28),IF(M$2="City Region Comparator",SUM(J28-D28),IF(M$2="Scotland",SUM(K28-D28),IF(M$2="LGBF Family Group 1 Average",SUM(F28-D28),IF(M$2="LGBF Family Group 2 Average",SUM(G28-D28),IF(M$2="LGBF Family Group 3 Average",SUM(H28-D28),IF(M$2="LGBF Family Group 4 Average",SUM(I28-D28),SUM(L28-D28)))))))))&lt;0,"-",IF(AND(L28="-",M$2="United Kingdom"),"-",IF(M$2="Top Performing Scottish Local Authority",SUM(E28-D28),IF(M$2="City Region Comparator",SUM(J28-D28),IF(M$2="Scotland",SUM(K28-D28),IF(M$2="LGBF Family Group 1 Average",SUM(F28-D28),IF(M$2="LGBF Family Group 2 Average",SUM(G28-D28),IF(M$2="LGBF Family Group 3 Average",SUM(H28-D28),IF(M$2="LGBF Family Group 4 Average",SUM(I28-D28),SUM(L28-D28)))))))))),"-")</f>
        <v>1.4000000000000004</v>
      </c>
      <c r="N28" s="211" t="s">
        <v>71</v>
      </c>
    </row>
    <row r="29" spans="2:14" s="145" customFormat="1" ht="23.45" customHeight="1">
      <c r="B29" s="461" t="s">
        <v>303</v>
      </c>
      <c r="C29" s="160" t="s">
        <v>337</v>
      </c>
      <c r="D29" s="135">
        <f>VLOOKUP(D3,'Raw - SME Procurement'!$A:$E,5,FALSE)</f>
        <v>35.651188629329603</v>
      </c>
      <c r="E29" s="209">
        <f>VLOOKUP(E3,'SME Procurement'!B:G,6,FALSE)</f>
        <v>49.0877880076903</v>
      </c>
      <c r="F29" s="209">
        <f>VLOOKUP(F3,'Raw - SME Procurement'!$A:$E,5,FALSE)</f>
        <v>35.603008277010737</v>
      </c>
      <c r="G29" s="209">
        <f>VLOOKUP(G3,'Raw - SME Procurement'!$A:$E,5,FALSE)</f>
        <v>23.776577198944388</v>
      </c>
      <c r="H29" s="209">
        <f>VLOOKUP(H3,'Raw - SME Procurement'!$A:$E,5,FALSE)</f>
        <v>21.015897420016262</v>
      </c>
      <c r="I29" s="209">
        <f>VLOOKUP(I3,'Raw - SME Procurement'!$A:$E,5,FALSE)</f>
        <v>27.820785218706863</v>
      </c>
      <c r="J29" s="209">
        <f>VLOOKUP(J3,'Raw - SME Procurement'!$A:$E,5,FALSE)</f>
        <v>31.254796071960552</v>
      </c>
      <c r="K29" s="209">
        <f>VLOOKUP(K3,'Raw - SME Procurement'!$A:$E,5,FALSE)</f>
        <v>29.9</v>
      </c>
      <c r="L29" s="209" t="s">
        <v>71</v>
      </c>
      <c r="M29" s="210">
        <f>IF(IF(AND(L29="-",M$2="United Kingdom"),"-",IF(M$2="Top Performing Scottish Local Authority",SUM(E29-D29),IF(M$2="City Region Comparator",SUM(J29-D29),IF(M$2="Scotland",SUM(K29-D29),IF(M$2="LGBF Family Group 1 Average",SUM(F29-D29),IF(M$2="LGBF Family Group 2 Average",SUM(G29-D29),IF(M$2="LGBF Family Group 3 Average",SUM(H29-D29),IF(M$2="LGBF Family Group 4 Average",SUM(I29-D29),SUM(L29-D29)))))))))&lt;0,"-",IF(AND(L29="-",M$2="United Kingdom"),"-",IF(M$2="Top Performing Scottish Local Authority",SUM(E29-D29),IF(M$2="City Region Comparator",SUM(J29-D29),IF(M$2="Scotland",SUM(K29-D29),IF(M$2="LGBF Family Group 1 Average",SUM(F29-D29),IF(M$2="LGBF Family Group 2 Average",SUM(G29-D29),IF(M$2="LGBF Family Group 3 Average",SUM(H29-D29),IF(M$2="LGBF Family Group 4 Average",SUM(I29-D29),SUM(L29-D29))))))))))</f>
        <v>13.436599378360697</v>
      </c>
      <c r="N29" s="212" t="s">
        <v>71</v>
      </c>
    </row>
    <row r="30" spans="2:14" s="145" customFormat="1" ht="23.45" customHeight="1">
      <c r="B30" s="462"/>
      <c r="C30" s="160" t="s">
        <v>195</v>
      </c>
      <c r="D30" s="136">
        <f>VLOOKUP(D3,'Raw - GVA'!$A:$E,5,FALSE)</f>
        <v>10847</v>
      </c>
      <c r="E30" s="213">
        <f>VLOOKUP(E3,GVA!B:G,6,FALSE)</f>
        <v>29713</v>
      </c>
      <c r="F30" s="213">
        <f>VLOOKUP(F3,'Raw - GVA'!$A:$E,5,FALSE)</f>
        <v>3080.375</v>
      </c>
      <c r="G30" s="213">
        <f>VLOOKUP(G3,'Raw - GVA'!$A:$E,5,FALSE)</f>
        <v>3467.75</v>
      </c>
      <c r="H30" s="213">
        <f>VLOOKUP(H3,'Raw - GVA'!$A:$E,5,FALSE)</f>
        <v>3244.375</v>
      </c>
      <c r="I30" s="213">
        <f>VLOOKUP(I3,'Raw - GVA'!$A:$E,5,FALSE)</f>
        <v>10921.875</v>
      </c>
      <c r="J30" s="213">
        <f>VLOOKUP(J3,'Raw - GVA'!$A:$E,5,FALSE)</f>
        <v>17906</v>
      </c>
      <c r="K30" s="213">
        <f>VLOOKUP(K3,'Raw - GVA'!$A:$E,5,FALSE)</f>
        <v>165714</v>
      </c>
      <c r="L30" s="213">
        <f>VLOOKUP(L3,'Raw - GVA'!$A:$E,5,FALSE)</f>
        <v>2246047</v>
      </c>
      <c r="M30" s="215" t="s">
        <v>196</v>
      </c>
      <c r="N30" s="212">
        <f>IF(IF(M30="-","-",IF(M$2="Top Performing Scottish Local Authority",SUM(E30-D30),IF(M$2="City Region Comparator",SUM(J30-D30),IF(M$2="Scotland",SUM(K30-D30),IF(M$2="LGBF Family Group 1 Average",SUM(F30-D30),IF(M$2="LGBF Family Group 2 Average",SUM(G30-D30),IF(M$2="LGBF Family Group 3 Average",SUM(H30-D30),IF(M$2="LGBF Family Group 4 Average",SUM(I30-D30),SUM(L30-D30)))))))))&lt;0,"-",IF(M$2="Top Performing Scottish Local Authority",SUM(E30-D30),IF(M$2="City Region Comparator",SUM(J30-D30),IF(M$2="Scotland",SUM(K30-D30),IF(M$2="LGBF Family Group 1 Average",SUM(F30-D30),IF(M$2="LGBF Family Group 2 Average",SUM(G30-D30),IF(M$2="LGBF Family Group 3 Average",SUM(H30-D30),IF(M$2="LGBF Family Group 4 Average",SUM(I30-D30),SUM(L30-D30)))))))))</f>
        <v>18866</v>
      </c>
    </row>
    <row r="31" spans="2:14" s="145" customFormat="1" ht="23.45" customHeight="1">
      <c r="B31" s="462"/>
      <c r="C31" s="160" t="s">
        <v>92</v>
      </c>
      <c r="D31" s="135">
        <f>VLOOKUP(D3,'Raw - GVA phw'!$A:$E,5,FALSE)</f>
        <v>38.200000000000003</v>
      </c>
      <c r="E31" s="214">
        <f>VLOOKUP(E3,'GVA phw'!B:G,6,FALSE)</f>
        <v>50.2</v>
      </c>
      <c r="F31" s="214">
        <f>VLOOKUP(F3,'Raw - GVA phw'!$A:$E,5,FALSE)</f>
        <v>36.287500000000001</v>
      </c>
      <c r="G31" s="214">
        <f>VLOOKUP(G3,'Raw - GVA phw'!$A:$E,5,FALSE)</f>
        <v>36.287500000000001</v>
      </c>
      <c r="H31" s="214">
        <f>VLOOKUP(H3,'Raw - GVA phw'!$A:$E,5,FALSE)</f>
        <v>37.012500000000003</v>
      </c>
      <c r="I31" s="214">
        <f>VLOOKUP(I3,'Raw - GVA phw'!$A:$E,5,FALSE)</f>
        <v>37.65</v>
      </c>
      <c r="J31" s="214">
        <f>VLOOKUP(J3,'Raw - GVA phw'!$A:$E,5,FALSE)</f>
        <v>37.85</v>
      </c>
      <c r="K31" s="214">
        <f>VLOOKUP(K3,'Raw - GVA phw'!$A:$E,5,FALSE)</f>
        <v>36.950000000000003</v>
      </c>
      <c r="L31" s="214">
        <f>VLOOKUP(L3,'Raw - GVA phw'!$A:$E,5,FALSE)</f>
        <v>38.33</v>
      </c>
      <c r="M31" s="210">
        <f>IF(IF(AND(L31="-",M$2="United Kingdom"),"-",IF(M$2="Top Performing Scottish Local Authority",SUM(E31-D31),IF(M$2="City Region Comparator",SUM(J31-D31),IF(M$2="Scotland",SUM(K31-D31),IF(M$2="LGBF Family Group 1 Average",SUM(F31-D31),IF(M$2="LGBF Family Group 2 Average",SUM(G31-D31),IF(M$2="LGBF Family Group 3 Average",SUM(H31-D31),IF(M$2="LGBF Family Group 4 Average",SUM(I31-D31),SUM(L31-D31)))))))))&lt;0,"-",IF(AND(L31="-",M$2="United Kingdom"),"-",IF(M$2="Top Performing Scottish Local Authority",SUM(E31-D31),IF(M$2="City Region Comparator",SUM(J31-D31),IF(M$2="Scotland",SUM(K31-D31),IF(M$2="LGBF Family Group 1 Average",SUM(F31-D31),IF(M$2="LGBF Family Group 2 Average",SUM(G31-D31),IF(M$2="LGBF Family Group 3 Average",SUM(H31-D31),IF(M$2="LGBF Family Group 4 Average",SUM(I31-D31),SUM(L31-D31))))))))))</f>
        <v>12</v>
      </c>
      <c r="N31" s="215">
        <f>IF(IF(M31="-","-",IF(M$2="Top Performing Scottish Local Authority",SUM(E31-D31),IF(M$2="City Region Comparator",SUM(J31-D31),IF(M$2="Scotland",SUM(K31-D31),IF(M$2="LGBF Family Group 1 Average",SUM(F31-D31),IF(M$2="LGBF Family Group 2 Average",SUM(G31-D31),IF(M$2="LGBF Family Group 3 Average",SUM(H31-D31),IF(M$2="LGBF Family Group 4 Average",SUM(I31-D31),SUM(L31-D31)))))))))&lt;0,"-",IF(M$2="Top Performing Scottish Local Authority",SUM(E31-D31),IF(M$2="City Region Comparator",SUM(J31-D31),IF(M$2="Scotland",SUM(K31-D31),IF(M$2="LGBF Family Group 1 Average",SUM(F31-D31),IF(M$2="LGBF Family Group 2 Average",SUM(G31-D31),IF(M$2="LGBF Family Group 3 Average",SUM(H31-D31),IF(M$2="LGBF Family Group 4 Average",SUM(I31-D31),SUM(L31-D31)))))))))</f>
        <v>12</v>
      </c>
    </row>
    <row r="32" spans="2:14" s="145" customFormat="1">
      <c r="D32" s="145" t="s">
        <v>85</v>
      </c>
    </row>
    <row r="33" spans="2:3" s="145" customFormat="1">
      <c r="B33" s="209" t="s">
        <v>71</v>
      </c>
      <c r="C33" s="458" t="s">
        <v>515</v>
      </c>
    </row>
    <row r="34" spans="2:3" s="145" customFormat="1">
      <c r="C34" s="458"/>
    </row>
    <row r="35" spans="2:3" s="145" customFormat="1"/>
    <row r="36" spans="2:3" s="145" customFormat="1"/>
    <row r="37" spans="2:3" s="145" customFormat="1"/>
    <row r="38" spans="2:3" s="145" customFormat="1"/>
    <row r="39" spans="2:3" s="145" customFormat="1"/>
    <row r="40" spans="2:3" s="145" customFormat="1"/>
    <row r="41" spans="2:3" s="145" customFormat="1"/>
    <row r="42" spans="2:3" s="145" customFormat="1"/>
    <row r="43" spans="2:3" s="145" customFormat="1"/>
    <row r="44" spans="2:3" s="145" customFormat="1"/>
    <row r="45" spans="2:3" s="145" customFormat="1"/>
    <row r="46" spans="2:3" s="145" customFormat="1"/>
    <row r="47" spans="2:3" s="145" customFormat="1"/>
    <row r="48" spans="2:3" s="145" customFormat="1"/>
    <row r="49" s="145" customFormat="1"/>
    <row r="50" s="145" customFormat="1"/>
    <row r="51" s="145" customFormat="1"/>
    <row r="52" s="145" customFormat="1"/>
    <row r="53" s="145" customFormat="1"/>
    <row r="54" s="145" customFormat="1"/>
    <row r="55" s="145" customFormat="1"/>
  </sheetData>
  <sheetProtection algorithmName="SHA-512" hashValue="La6frCt3+8EZ5kJOealWTMPahloUsmz/jLi/kz0vIJcNe6rzj7G4/bIhgT934D5GaP/OZSrb3sMo9muMsiH1BA==" saltValue="bmSj6fK4R3GadVNAg823lQ==" spinCount="100000" sheet="1" objects="1" scenarios="1"/>
  <mergeCells count="6">
    <mergeCell ref="C33:C34"/>
    <mergeCell ref="M2:N2"/>
    <mergeCell ref="B4:B10"/>
    <mergeCell ref="B11:B14"/>
    <mergeCell ref="B15:B28"/>
    <mergeCell ref="B29:B31"/>
  </mergeCells>
  <conditionalFormatting sqref="B33">
    <cfRule type="cellIs" dxfId="94" priority="16" operator="equal">
      <formula>"-"</formula>
    </cfRule>
  </conditionalFormatting>
  <conditionalFormatting sqref="D4:D31">
    <cfRule type="cellIs" dxfId="93" priority="3" operator="equal">
      <formula>0</formula>
    </cfRule>
    <cfRule type="cellIs" dxfId="92" priority="4" operator="equal">
      <formula>"n/A"</formula>
    </cfRule>
  </conditionalFormatting>
  <conditionalFormatting sqref="D4:N31">
    <cfRule type="containsText" dxfId="91" priority="1" operator="containsText" text="n/a">
      <formula>NOT(ISERROR(SEARCH("n/a",D4)))</formula>
    </cfRule>
    <cfRule type="cellIs" dxfId="90" priority="2" operator="equal">
      <formula>"-"</formula>
    </cfRule>
  </conditionalFormatting>
  <conditionalFormatting sqref="P26:P31">
    <cfRule type="duplicateValues" dxfId="89" priority="251"/>
  </conditionalFormatting>
  <hyperlinks>
    <hyperlink ref="C4" location="'Child Poverty'!A1" display="'Child Poverty'!A1" xr:uid="{D02A740C-C8AE-4CC0-8F56-48DF61BC5C24}"/>
    <hyperlink ref="C8" location="'Child Benefit'!A1" display="Families with Dependent Children eligible for Child Benefit (%)" xr:uid="{6626FE29-F1BE-4388-B180-D45BF9DA05B4}"/>
    <hyperlink ref="C31" location="'GVA phw'!A1" display="GVA per hour worked (£)" xr:uid="{800342E8-EB54-4C07-92E2-6A1FF3E37385}"/>
    <hyperlink ref="C30" location="GVA!A1" display="Gross Value Added (£m)" xr:uid="{74DB77B0-42C9-43ED-8E8D-D7C7E9B07E6F}"/>
    <hyperlink ref="C29" location="'SME Procurement'!A1" display="% of Procurement spend on Local Enterprises" xr:uid="{B5E17226-71A1-41AB-8C45-949138A504C1}"/>
    <hyperlink ref="C23" location="'Low Earnings'!A1" display="20th Percentile Weekly Earning (Residence based, full time)" xr:uid="{2F92D1DA-E209-4594-B0AC-A61A42C252A7}"/>
    <hyperlink ref="C22" location="Earnings!A1" display="Median Weekly Earnings (Residence-based, full-time)" xr:uid="{31A70A6B-8D3A-4750-BB33-C17809FD70E4}"/>
    <hyperlink ref="C21" location="'Gender Gap'!A1" display="Gender Employment Gap (%)" xr:uid="{B6259AA2-EFE1-4F90-A51E-7D3ED760F685}"/>
    <hyperlink ref="C20" location="'Low Pay Sectors'!A1" display="Employment in low pay sectors (%)" xr:uid="{749221A9-B954-477E-B1F2-7B45B99DDA8D}"/>
    <hyperlink ref="C19" location="Unemployment!A1" display="Unemployment Rate (%)" xr:uid="{D886E90E-3A83-430B-A334-4A2112ED83D4}"/>
    <hyperlink ref="C18" location="Employment!A1" display="Employment Rate (%)" xr:uid="{F3286E80-0B1A-4AD0-8755-74FB7E49A32F}"/>
    <hyperlink ref="C17" location="'Economic Inactivity'!A1" display="Economic Inactivity Rate (%)" xr:uid="{49144D19-51A7-4EF3-9B82-CC7ED2F09E7A}"/>
    <hyperlink ref="C16" location="'Ill Health'!A1" display="Economic Inactive:  Long-term Sick/Disabled Rate (%)" xr:uid="{D6FF9476-71B3-407F-8F10-D5FF5F2E6612}"/>
    <hyperlink ref="C15" location="Incapacity!A1" display="Number of Incpacity Based Benefits (per 1,000 16 - 64 population)" xr:uid="{2EAD8881-A6B7-4EEC-BA9E-6BE88EE8AB3C}"/>
    <hyperlink ref="C14" location="'No Qualifications'!A1" display="No Qualifications Rate (%)" xr:uid="{0D83404F-AD94-4AC7-93FB-9C2DFB132C33}"/>
    <hyperlink ref="C13" location="'Degree Quals'!A1" display="Degree-level Qualifications Rate (%)" xr:uid="{9D7C4C14-B520-4954-B0E9-8BFE530E1C35}"/>
    <hyperlink ref="C12" location="'Participation Rate'!A1" display="Participation Rate (%)" xr:uid="{A255EF4C-4D53-4D76-98DD-42E1EF40065D}"/>
    <hyperlink ref="C11" location="SLDR!A1" display="% of School Leavers in Positive Destination" xr:uid="{3F4762BA-F8E4-4250-B145-7F4B7B41090C}"/>
    <hyperlink ref="C10" location="'Workless Households'!A1" display="% of Household that are workless" xr:uid="{3D71C812-29F2-4FF4-9BF5-AD5120BBA4C5}"/>
    <hyperlink ref="C9" location="'Claimant Count'!A1" display="'Claimant Count'!A1" xr:uid="{48BC9AF5-A04E-412A-AAD2-7C700066F05A}"/>
    <hyperlink ref="C5" location="Childcare!A1" display="Childcare!A1" xr:uid="{D6BA0EFD-AD2F-442C-8219-6AB8D97C492F}"/>
    <hyperlink ref="C6" location="'Children in Low Income'!A1" display="Households with Children on Out-of-Work Benefits (%)" xr:uid="{18E5B285-12F3-4314-8571-D17232616D14}"/>
    <hyperlink ref="C25" location="'SOC1 Occupations'!A1" display="% Employed in SOC 1 Occupations" xr:uid="{B4361F24-FB55-49AA-B1E9-9C58980167CE}"/>
    <hyperlink ref="C24" location="Underemployment!A1" display="Underemployment Rate %" xr:uid="{EB217669-1C97-465A-98EC-1F949E342513}"/>
    <hyperlink ref="C26" location="'Satisfactory hours'!A1" display="Satisfactory hours (% of employees)" xr:uid="{34205360-4BD3-4E33-93C4-5C594FFA9DC3}"/>
    <hyperlink ref="C27" location="'Low pay'!A1" display="Low pay (% of employees)" xr:uid="{8D97237B-E0A6-4664-869C-0C75FE513B82}"/>
    <hyperlink ref="C28" location="'Zero-hour contracts'!A1" display="Zero-hour contracts (% of employees)" xr:uid="{F9EC3F71-39F7-4E50-9F03-03F233424A2F}"/>
  </hyperlink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Lookups!$N$11:$N$18</xm:f>
          </x14:formula1>
          <xm:sqref>M2:N2</xm:sqref>
        </x14:dataValidation>
        <x14:dataValidation type="list" allowBlank="1" showInputMessage="1" showErrorMessage="1" xr:uid="{8499F2BF-5F73-4C1C-A25D-E13D970BA0BD}">
          <x14:formula1>
            <xm:f>Lookups!$P$28:$P$59</xm:f>
          </x14:formula1>
          <xm:sqref>D3</xm:sqref>
        </x14:dataValidation>
        <x14:dataValidation type="list" allowBlank="1" showInputMessage="1" showErrorMessage="1" xr:uid="{2033971D-4029-4317-AA1D-0A873099ED7D}">
          <x14:formula1>
            <xm:f>Lookups!$Q$3:$Q$7</xm:f>
          </x14:formula1>
          <xm:sqref>J3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autoPageBreaks="0"/>
  </sheetPr>
  <dimension ref="A1:Q56"/>
  <sheetViews>
    <sheetView zoomScale="70" zoomScaleNormal="70" workbookViewId="0">
      <selection activeCell="T38" sqref="T38"/>
    </sheetView>
  </sheetViews>
  <sheetFormatPr defaultColWidth="8.7109375" defaultRowHeight="15"/>
  <cols>
    <col min="1" max="1" width="25" customWidth="1" collapsed="1"/>
    <col min="2" max="17" width="14" customWidth="1" collapsed="1"/>
  </cols>
  <sheetData>
    <row r="1" spans="1:17" ht="15.75">
      <c r="A1" s="1" t="s">
        <v>0</v>
      </c>
    </row>
    <row r="2" spans="1:17">
      <c r="A2" s="2" t="s">
        <v>63</v>
      </c>
    </row>
    <row r="4" spans="1:17">
      <c r="A4" s="10" t="s">
        <v>2</v>
      </c>
      <c r="B4" s="10" t="s">
        <v>3</v>
      </c>
    </row>
    <row r="5" spans="1:17">
      <c r="A5" s="10" t="s">
        <v>4</v>
      </c>
      <c r="B5" s="10" t="s">
        <v>64</v>
      </c>
    </row>
    <row r="7" spans="1:17" ht="21.95" customHeight="1">
      <c r="A7" s="17" t="s">
        <v>7</v>
      </c>
      <c r="B7" s="478" t="s">
        <v>230</v>
      </c>
      <c r="C7" s="475"/>
      <c r="D7" s="475"/>
      <c r="E7" s="475"/>
      <c r="F7" s="478" t="s">
        <v>356</v>
      </c>
      <c r="G7" s="475"/>
      <c r="H7" s="475"/>
      <c r="I7" s="475"/>
      <c r="J7" s="478" t="s">
        <v>398</v>
      </c>
      <c r="K7" s="475"/>
      <c r="L7" s="475"/>
      <c r="M7" s="475"/>
      <c r="N7" s="473" t="s">
        <v>423</v>
      </c>
      <c r="O7" s="475"/>
      <c r="P7" s="475"/>
      <c r="Q7" s="475"/>
    </row>
    <row r="8" spans="1:17" ht="26.1" customHeight="1">
      <c r="B8" s="313" t="s">
        <v>8</v>
      </c>
      <c r="C8" s="313" t="s">
        <v>9</v>
      </c>
      <c r="D8" s="313" t="s">
        <v>10</v>
      </c>
      <c r="E8" s="313" t="s">
        <v>11</v>
      </c>
      <c r="F8" s="313" t="s">
        <v>8</v>
      </c>
      <c r="G8" s="313" t="s">
        <v>9</v>
      </c>
      <c r="H8" s="313" t="s">
        <v>10</v>
      </c>
      <c r="I8" s="313" t="s">
        <v>11</v>
      </c>
      <c r="J8" s="313" t="s">
        <v>8</v>
      </c>
      <c r="K8" s="313" t="s">
        <v>9</v>
      </c>
      <c r="L8" s="313" t="s">
        <v>10</v>
      </c>
      <c r="M8" s="313" t="s">
        <v>11</v>
      </c>
      <c r="N8" s="313" t="s">
        <v>8</v>
      </c>
      <c r="O8" s="313" t="s">
        <v>9</v>
      </c>
      <c r="P8" s="313" t="s">
        <v>10</v>
      </c>
      <c r="Q8" s="313" t="s">
        <v>11</v>
      </c>
    </row>
    <row r="9" spans="1:17">
      <c r="A9" s="10" t="s">
        <v>15</v>
      </c>
      <c r="B9" s="314">
        <v>8900</v>
      </c>
      <c r="C9" s="314">
        <v>121200</v>
      </c>
      <c r="D9" s="315">
        <v>7.3</v>
      </c>
      <c r="E9" s="315">
        <v>2.9</v>
      </c>
      <c r="F9" s="314">
        <v>5300</v>
      </c>
      <c r="G9" s="314">
        <v>124200</v>
      </c>
      <c r="H9" s="315">
        <v>4.2</v>
      </c>
      <c r="I9" s="315">
        <v>2.1</v>
      </c>
      <c r="J9" s="314">
        <v>6100</v>
      </c>
      <c r="K9" s="314">
        <v>118900</v>
      </c>
      <c r="L9" s="315">
        <v>5.0999999999999996</v>
      </c>
      <c r="M9" s="315">
        <v>2.6</v>
      </c>
      <c r="N9" s="314">
        <v>5800</v>
      </c>
      <c r="O9" s="314">
        <v>123800</v>
      </c>
      <c r="P9" s="314">
        <v>4.7</v>
      </c>
      <c r="Q9" s="314">
        <v>2.7</v>
      </c>
    </row>
    <row r="10" spans="1:17">
      <c r="A10" s="10" t="s">
        <v>16</v>
      </c>
      <c r="B10" s="314">
        <v>3700</v>
      </c>
      <c r="C10" s="314">
        <v>134700</v>
      </c>
      <c r="D10" s="315">
        <v>2.7</v>
      </c>
      <c r="E10" s="315" t="s">
        <v>12</v>
      </c>
      <c r="F10" s="314">
        <v>5800</v>
      </c>
      <c r="G10" s="314">
        <v>128700</v>
      </c>
      <c r="H10" s="315">
        <v>4.5</v>
      </c>
      <c r="I10" s="314">
        <v>2.2000000000000002</v>
      </c>
      <c r="J10" s="314">
        <v>7000</v>
      </c>
      <c r="K10" s="314">
        <v>138200</v>
      </c>
      <c r="L10" s="315">
        <v>5.0999999999999996</v>
      </c>
      <c r="M10" s="315">
        <v>2.4</v>
      </c>
      <c r="N10" s="314">
        <v>2100</v>
      </c>
      <c r="O10" s="314">
        <v>145600</v>
      </c>
      <c r="P10" s="314">
        <v>1.5</v>
      </c>
      <c r="Q10" s="314" t="s">
        <v>12</v>
      </c>
    </row>
    <row r="11" spans="1:17">
      <c r="A11" s="10" t="s">
        <v>17</v>
      </c>
      <c r="B11" s="314">
        <v>1800</v>
      </c>
      <c r="C11" s="314">
        <v>51600</v>
      </c>
      <c r="D11" s="315">
        <v>3.5</v>
      </c>
      <c r="E11" s="315">
        <v>1.7</v>
      </c>
      <c r="F11" s="314">
        <v>1600</v>
      </c>
      <c r="G11" s="314">
        <v>53400</v>
      </c>
      <c r="H11" s="315">
        <v>2.9</v>
      </c>
      <c r="I11" s="315">
        <v>1.8</v>
      </c>
      <c r="J11" s="314">
        <v>1300</v>
      </c>
      <c r="K11" s="314">
        <v>53000</v>
      </c>
      <c r="L11" s="315">
        <v>2.5</v>
      </c>
      <c r="M11" s="315" t="s">
        <v>12</v>
      </c>
      <c r="N11" s="314">
        <v>1200</v>
      </c>
      <c r="O11" s="314">
        <v>51200</v>
      </c>
      <c r="P11" s="314">
        <v>2.4</v>
      </c>
      <c r="Q11" s="314" t="s">
        <v>12</v>
      </c>
    </row>
    <row r="12" spans="1:17">
      <c r="A12" s="10" t="s">
        <v>18</v>
      </c>
      <c r="B12" s="314">
        <v>700</v>
      </c>
      <c r="C12" s="314">
        <v>37400</v>
      </c>
      <c r="D12" s="315">
        <v>2</v>
      </c>
      <c r="E12" s="315" t="s">
        <v>12</v>
      </c>
      <c r="F12" s="314">
        <v>700</v>
      </c>
      <c r="G12" s="314">
        <v>36600</v>
      </c>
      <c r="H12" s="315">
        <v>2</v>
      </c>
      <c r="I12" s="314" t="s">
        <v>12</v>
      </c>
      <c r="J12" s="314" t="s">
        <v>71</v>
      </c>
      <c r="K12" s="314">
        <v>37000</v>
      </c>
      <c r="L12" s="315" t="s">
        <v>71</v>
      </c>
      <c r="M12" s="314" t="s">
        <v>71</v>
      </c>
      <c r="N12" s="314">
        <v>1400</v>
      </c>
      <c r="O12" s="314">
        <v>34500</v>
      </c>
      <c r="P12" s="314">
        <v>3.9</v>
      </c>
      <c r="Q12" s="314" t="s">
        <v>12</v>
      </c>
    </row>
    <row r="13" spans="1:17">
      <c r="A13" s="10" t="s">
        <v>126</v>
      </c>
      <c r="B13" s="314">
        <v>11600</v>
      </c>
      <c r="C13" s="314">
        <v>277200</v>
      </c>
      <c r="D13" s="315">
        <v>4.2</v>
      </c>
      <c r="E13" s="315">
        <v>1.8</v>
      </c>
      <c r="F13" s="314">
        <v>6700</v>
      </c>
      <c r="G13" s="314">
        <v>283300</v>
      </c>
      <c r="H13" s="315">
        <v>2.4</v>
      </c>
      <c r="I13" s="315">
        <v>1.4</v>
      </c>
      <c r="J13" s="314">
        <v>3700</v>
      </c>
      <c r="K13" s="314">
        <v>287100</v>
      </c>
      <c r="L13" s="315">
        <v>1.3</v>
      </c>
      <c r="M13" s="315" t="s">
        <v>12</v>
      </c>
      <c r="N13" s="314">
        <v>12900</v>
      </c>
      <c r="O13" s="314">
        <v>305800</v>
      </c>
      <c r="P13" s="314">
        <v>4.2</v>
      </c>
      <c r="Q13" s="314">
        <v>2.2000000000000002</v>
      </c>
    </row>
    <row r="14" spans="1:17">
      <c r="A14" s="10" t="s">
        <v>19</v>
      </c>
      <c r="B14" s="239" t="s">
        <v>71</v>
      </c>
      <c r="C14" s="239" t="s">
        <v>71</v>
      </c>
      <c r="D14" s="239" t="s">
        <v>71</v>
      </c>
      <c r="E14" s="239" t="s">
        <v>71</v>
      </c>
      <c r="F14" s="239" t="s">
        <v>71</v>
      </c>
      <c r="G14" s="239" t="s">
        <v>71</v>
      </c>
      <c r="H14" s="239" t="s">
        <v>71</v>
      </c>
      <c r="I14" s="239" t="s">
        <v>71</v>
      </c>
      <c r="J14" s="239" t="s">
        <v>71</v>
      </c>
      <c r="K14" s="239" t="s">
        <v>71</v>
      </c>
      <c r="L14" s="239" t="s">
        <v>71</v>
      </c>
      <c r="M14" s="239" t="s">
        <v>71</v>
      </c>
      <c r="N14" s="314">
        <v>1300</v>
      </c>
      <c r="O14" s="314">
        <v>23000</v>
      </c>
      <c r="P14" s="314">
        <v>5.7</v>
      </c>
      <c r="Q14" s="314" t="s">
        <v>12</v>
      </c>
    </row>
    <row r="15" spans="1:17">
      <c r="A15" s="10" t="s">
        <v>20</v>
      </c>
      <c r="B15" s="314">
        <v>3800</v>
      </c>
      <c r="C15" s="314">
        <v>61600</v>
      </c>
      <c r="D15" s="315">
        <v>6.2</v>
      </c>
      <c r="E15" s="315">
        <v>2.7</v>
      </c>
      <c r="F15" s="314">
        <v>2700</v>
      </c>
      <c r="G15" s="314">
        <v>62500</v>
      </c>
      <c r="H15" s="315">
        <v>4.3</v>
      </c>
      <c r="I15" s="315">
        <v>2.2000000000000002</v>
      </c>
      <c r="J15" s="314">
        <v>2900</v>
      </c>
      <c r="K15" s="314">
        <v>59800</v>
      </c>
      <c r="L15" s="315">
        <v>4.8</v>
      </c>
      <c r="M15" s="315">
        <v>2.6</v>
      </c>
      <c r="N15" s="314">
        <v>4100</v>
      </c>
      <c r="O15" s="314">
        <v>61800</v>
      </c>
      <c r="P15" s="314">
        <v>6.7</v>
      </c>
      <c r="Q15" s="314" t="s">
        <v>12</v>
      </c>
    </row>
    <row r="16" spans="1:17">
      <c r="A16" s="10" t="s">
        <v>21</v>
      </c>
      <c r="B16" s="314">
        <v>4200</v>
      </c>
      <c r="C16" s="314">
        <v>71500</v>
      </c>
      <c r="D16" s="315">
        <v>5.8</v>
      </c>
      <c r="E16" s="315">
        <v>2.2999999999999998</v>
      </c>
      <c r="F16" s="314">
        <v>4000</v>
      </c>
      <c r="G16" s="314">
        <v>71200</v>
      </c>
      <c r="H16" s="315">
        <v>5.7</v>
      </c>
      <c r="I16" s="315">
        <v>2.6</v>
      </c>
      <c r="J16" s="314">
        <v>5900</v>
      </c>
      <c r="K16" s="314">
        <v>71200</v>
      </c>
      <c r="L16" s="315">
        <v>8.3000000000000007</v>
      </c>
      <c r="M16" s="315">
        <v>3.1</v>
      </c>
      <c r="N16" s="314">
        <v>6700</v>
      </c>
      <c r="O16" s="314">
        <v>67700</v>
      </c>
      <c r="P16" s="314">
        <v>9.8000000000000007</v>
      </c>
      <c r="Q16" s="314">
        <v>4</v>
      </c>
    </row>
    <row r="17" spans="1:17">
      <c r="A17" s="10" t="s">
        <v>22</v>
      </c>
      <c r="B17" s="314">
        <v>1900</v>
      </c>
      <c r="C17" s="314">
        <v>54800</v>
      </c>
      <c r="D17" s="315">
        <v>3.5</v>
      </c>
      <c r="E17" s="315">
        <v>2</v>
      </c>
      <c r="F17" s="314">
        <v>2100</v>
      </c>
      <c r="G17" s="314">
        <v>57700</v>
      </c>
      <c r="H17" s="315">
        <v>3.6</v>
      </c>
      <c r="I17" s="315">
        <v>2.1</v>
      </c>
      <c r="J17" s="314">
        <v>1500</v>
      </c>
      <c r="K17" s="314">
        <v>54400</v>
      </c>
      <c r="L17" s="315">
        <v>2.7</v>
      </c>
      <c r="M17" s="315" t="s">
        <v>12</v>
      </c>
      <c r="N17" s="314" t="s">
        <v>71</v>
      </c>
      <c r="O17" s="314">
        <v>53200</v>
      </c>
      <c r="P17" s="314" t="s">
        <v>71</v>
      </c>
      <c r="Q17" s="314" t="s">
        <v>71</v>
      </c>
    </row>
    <row r="18" spans="1:17">
      <c r="A18" s="10" t="s">
        <v>23</v>
      </c>
      <c r="B18" s="314">
        <v>1100</v>
      </c>
      <c r="C18" s="314">
        <v>50000</v>
      </c>
      <c r="D18" s="315">
        <v>2.2999999999999998</v>
      </c>
      <c r="E18" s="315">
        <v>1.3</v>
      </c>
      <c r="F18" s="314">
        <v>1900</v>
      </c>
      <c r="G18" s="314">
        <v>48800</v>
      </c>
      <c r="H18" s="315">
        <v>4</v>
      </c>
      <c r="I18" s="315">
        <v>2</v>
      </c>
      <c r="J18" s="314">
        <v>1000</v>
      </c>
      <c r="K18" s="314">
        <v>50000</v>
      </c>
      <c r="L18" s="315">
        <v>2</v>
      </c>
      <c r="M18" s="315" t="s">
        <v>12</v>
      </c>
      <c r="N18" s="314">
        <v>1300</v>
      </c>
      <c r="O18" s="314">
        <v>47800</v>
      </c>
      <c r="P18" s="314">
        <v>2.7</v>
      </c>
      <c r="Q18" s="314" t="s">
        <v>12</v>
      </c>
    </row>
    <row r="19" spans="1:17">
      <c r="A19" s="10" t="s">
        <v>24</v>
      </c>
      <c r="B19" s="314">
        <v>1900</v>
      </c>
      <c r="C19" s="314">
        <v>50000</v>
      </c>
      <c r="D19" s="315">
        <v>3.8</v>
      </c>
      <c r="E19" s="314">
        <v>2.1</v>
      </c>
      <c r="F19" s="314">
        <v>2000</v>
      </c>
      <c r="G19" s="314">
        <v>53500</v>
      </c>
      <c r="H19" s="315">
        <v>3.8</v>
      </c>
      <c r="I19" s="315" t="s">
        <v>12</v>
      </c>
      <c r="J19" s="314">
        <v>700</v>
      </c>
      <c r="K19" s="314">
        <v>49900</v>
      </c>
      <c r="L19" s="315">
        <v>1.4</v>
      </c>
      <c r="M19" s="314" t="s">
        <v>12</v>
      </c>
      <c r="N19" s="314">
        <v>2500</v>
      </c>
      <c r="O19" s="314">
        <v>54200</v>
      </c>
      <c r="P19" s="314">
        <v>4.5</v>
      </c>
      <c r="Q19" s="314" t="s">
        <v>12</v>
      </c>
    </row>
    <row r="20" spans="1:17">
      <c r="A20" s="10" t="s">
        <v>25</v>
      </c>
      <c r="B20" s="314">
        <v>1800</v>
      </c>
      <c r="C20" s="314">
        <v>44100</v>
      </c>
      <c r="D20" s="315">
        <v>4</v>
      </c>
      <c r="E20" s="315">
        <v>2.1</v>
      </c>
      <c r="F20" s="314">
        <v>1500</v>
      </c>
      <c r="G20" s="314">
        <v>40900</v>
      </c>
      <c r="H20" s="315">
        <v>3.6</v>
      </c>
      <c r="I20" s="315" t="s">
        <v>12</v>
      </c>
      <c r="J20" s="314">
        <v>1500</v>
      </c>
      <c r="K20" s="314">
        <v>45100</v>
      </c>
      <c r="L20" s="315">
        <v>3.3</v>
      </c>
      <c r="M20" s="314" t="s">
        <v>12</v>
      </c>
      <c r="N20" s="314" t="s">
        <v>71</v>
      </c>
      <c r="O20" s="314">
        <v>44200</v>
      </c>
      <c r="P20" s="314">
        <v>2.6</v>
      </c>
      <c r="Q20" s="314" t="s">
        <v>12</v>
      </c>
    </row>
    <row r="21" spans="1:17">
      <c r="A21" s="10" t="s">
        <v>26</v>
      </c>
      <c r="B21" s="314">
        <v>3800</v>
      </c>
      <c r="C21" s="314">
        <v>80000</v>
      </c>
      <c r="D21" s="315">
        <v>4.7</v>
      </c>
      <c r="E21" s="315">
        <v>2.2999999999999998</v>
      </c>
      <c r="F21" s="314">
        <v>1400</v>
      </c>
      <c r="G21" s="314">
        <v>79000</v>
      </c>
      <c r="H21" s="315">
        <v>1.8</v>
      </c>
      <c r="I21" s="315" t="s">
        <v>12</v>
      </c>
      <c r="J21" s="314">
        <v>4600</v>
      </c>
      <c r="K21" s="314">
        <v>81900</v>
      </c>
      <c r="L21" s="315">
        <v>5.6</v>
      </c>
      <c r="M21" s="314">
        <v>2.6</v>
      </c>
      <c r="N21" s="314">
        <v>2400</v>
      </c>
      <c r="O21" s="314">
        <v>75400</v>
      </c>
      <c r="P21" s="314">
        <v>3.2</v>
      </c>
      <c r="Q21" s="314" t="s">
        <v>12</v>
      </c>
    </row>
    <row r="22" spans="1:17">
      <c r="A22" s="10" t="s">
        <v>27</v>
      </c>
      <c r="B22" s="314">
        <v>11400</v>
      </c>
      <c r="C22" s="314">
        <v>172700</v>
      </c>
      <c r="D22" s="315">
        <v>6.6</v>
      </c>
      <c r="E22" s="315">
        <v>2.2999999999999998</v>
      </c>
      <c r="F22" s="314">
        <v>12400</v>
      </c>
      <c r="G22" s="314">
        <v>165600</v>
      </c>
      <c r="H22" s="315">
        <v>7.5</v>
      </c>
      <c r="I22" s="315">
        <v>2.6</v>
      </c>
      <c r="J22" s="314">
        <v>7300</v>
      </c>
      <c r="K22" s="314">
        <v>176400</v>
      </c>
      <c r="L22" s="315">
        <v>4.0999999999999996</v>
      </c>
      <c r="M22" s="315">
        <v>2</v>
      </c>
      <c r="N22" s="314">
        <v>6100</v>
      </c>
      <c r="O22" s="314">
        <v>175700</v>
      </c>
      <c r="P22" s="314">
        <v>3.5</v>
      </c>
      <c r="Q22" s="314">
        <v>1.9</v>
      </c>
    </row>
    <row r="23" spans="1:17">
      <c r="A23" s="10" t="s">
        <v>28</v>
      </c>
      <c r="B23" s="314">
        <v>14400</v>
      </c>
      <c r="C23" s="314">
        <v>319200</v>
      </c>
      <c r="D23" s="315">
        <v>4.5</v>
      </c>
      <c r="E23" s="315">
        <v>1.9</v>
      </c>
      <c r="F23" s="314">
        <v>12100</v>
      </c>
      <c r="G23" s="314">
        <v>315700</v>
      </c>
      <c r="H23" s="315">
        <v>3.8</v>
      </c>
      <c r="I23" s="315">
        <v>1.7</v>
      </c>
      <c r="J23" s="314">
        <v>10600</v>
      </c>
      <c r="K23" s="314">
        <v>321800</v>
      </c>
      <c r="L23" s="315">
        <v>3.3</v>
      </c>
      <c r="M23" s="315">
        <v>1.7</v>
      </c>
      <c r="N23" s="314">
        <v>14000</v>
      </c>
      <c r="O23" s="314">
        <v>323000</v>
      </c>
      <c r="P23" s="314">
        <v>4.3</v>
      </c>
      <c r="Q23" s="314">
        <v>2.4</v>
      </c>
    </row>
    <row r="24" spans="1:17">
      <c r="A24" s="10" t="s">
        <v>29</v>
      </c>
      <c r="B24" s="314">
        <v>2400</v>
      </c>
      <c r="C24" s="314">
        <v>113200</v>
      </c>
      <c r="D24" s="315">
        <v>2.2000000000000002</v>
      </c>
      <c r="E24" s="314" t="s">
        <v>12</v>
      </c>
      <c r="F24" s="314">
        <v>4300</v>
      </c>
      <c r="G24" s="314">
        <v>106800</v>
      </c>
      <c r="H24" s="315">
        <v>4</v>
      </c>
      <c r="I24" s="314" t="s">
        <v>12</v>
      </c>
      <c r="J24" s="314">
        <v>3900</v>
      </c>
      <c r="K24" s="314">
        <v>104800</v>
      </c>
      <c r="L24" s="315">
        <v>3.7</v>
      </c>
      <c r="M24" s="314" t="s">
        <v>12</v>
      </c>
      <c r="N24" s="314" t="s">
        <v>71</v>
      </c>
      <c r="O24" s="314">
        <v>111900</v>
      </c>
      <c r="P24" s="314" t="s">
        <v>71</v>
      </c>
      <c r="Q24" s="314" t="s">
        <v>71</v>
      </c>
    </row>
    <row r="25" spans="1:17">
      <c r="A25" s="10" t="s">
        <v>30</v>
      </c>
      <c r="B25" s="314">
        <v>1600</v>
      </c>
      <c r="C25" s="314">
        <v>33900</v>
      </c>
      <c r="D25" s="315">
        <v>4.7</v>
      </c>
      <c r="E25" s="315">
        <v>2.4</v>
      </c>
      <c r="F25" s="314">
        <v>1600</v>
      </c>
      <c r="G25" s="314">
        <v>36900</v>
      </c>
      <c r="H25" s="315">
        <v>4.4000000000000004</v>
      </c>
      <c r="I25" s="315">
        <v>2.4</v>
      </c>
      <c r="J25" s="314">
        <v>1000</v>
      </c>
      <c r="K25" s="314">
        <v>36500</v>
      </c>
      <c r="L25" s="315">
        <v>2.6</v>
      </c>
      <c r="M25" s="315" t="s">
        <v>12</v>
      </c>
      <c r="N25" s="314">
        <v>2000</v>
      </c>
      <c r="O25" s="314">
        <v>34200</v>
      </c>
      <c r="P25" s="314">
        <v>5.7</v>
      </c>
      <c r="Q25" s="314" t="s">
        <v>12</v>
      </c>
    </row>
    <row r="26" spans="1:17">
      <c r="A26" s="10" t="s">
        <v>31</v>
      </c>
      <c r="B26" s="314">
        <v>1000</v>
      </c>
      <c r="C26" s="314">
        <v>43900</v>
      </c>
      <c r="D26" s="315">
        <v>2.2999999999999998</v>
      </c>
      <c r="E26" s="315" t="s">
        <v>12</v>
      </c>
      <c r="F26" s="314">
        <v>1000</v>
      </c>
      <c r="G26" s="314">
        <v>47500</v>
      </c>
      <c r="H26" s="315">
        <v>2.2000000000000002</v>
      </c>
      <c r="I26" s="314" t="s">
        <v>12</v>
      </c>
      <c r="J26" s="314">
        <v>800</v>
      </c>
      <c r="K26" s="314">
        <v>46100</v>
      </c>
      <c r="L26" s="315">
        <v>1.8</v>
      </c>
      <c r="M26" s="314" t="s">
        <v>12</v>
      </c>
      <c r="N26" s="314" t="s">
        <v>71</v>
      </c>
      <c r="O26" s="314">
        <v>49400</v>
      </c>
      <c r="P26" s="314" t="s">
        <v>71</v>
      </c>
      <c r="Q26" s="314" t="s">
        <v>71</v>
      </c>
    </row>
    <row r="27" spans="1:17">
      <c r="A27" s="10" t="s">
        <v>32</v>
      </c>
      <c r="B27" s="314">
        <v>1600</v>
      </c>
      <c r="C27" s="314">
        <v>46000</v>
      </c>
      <c r="D27" s="315">
        <v>3.4</v>
      </c>
      <c r="E27" s="315">
        <v>1.9</v>
      </c>
      <c r="F27" s="314">
        <v>1500</v>
      </c>
      <c r="G27" s="314">
        <v>45100</v>
      </c>
      <c r="H27" s="315">
        <v>3.3</v>
      </c>
      <c r="I27" s="315" t="s">
        <v>12</v>
      </c>
      <c r="J27" s="314">
        <v>2200</v>
      </c>
      <c r="K27" s="314">
        <v>48000</v>
      </c>
      <c r="L27" s="315">
        <v>4.5999999999999996</v>
      </c>
      <c r="M27" s="314">
        <v>2.5</v>
      </c>
      <c r="N27" s="314">
        <v>2100</v>
      </c>
      <c r="O27" s="314">
        <v>45500</v>
      </c>
      <c r="P27" s="314">
        <v>4.5</v>
      </c>
      <c r="Q27" s="314" t="s">
        <v>12</v>
      </c>
    </row>
    <row r="28" spans="1:17">
      <c r="A28" s="10" t="s">
        <v>33</v>
      </c>
      <c r="B28" s="239" t="s">
        <v>71</v>
      </c>
      <c r="C28" s="239" t="s">
        <v>71</v>
      </c>
      <c r="D28" s="239" t="s">
        <v>71</v>
      </c>
      <c r="E28" s="239" t="s">
        <v>71</v>
      </c>
      <c r="F28" s="239" t="s">
        <v>71</v>
      </c>
      <c r="G28" s="239" t="s">
        <v>71</v>
      </c>
      <c r="H28" s="239" t="s">
        <v>71</v>
      </c>
      <c r="I28" s="239" t="s">
        <v>71</v>
      </c>
      <c r="J28" s="239" t="s">
        <v>71</v>
      </c>
      <c r="K28" s="239" t="s">
        <v>71</v>
      </c>
      <c r="L28" s="239" t="s">
        <v>71</v>
      </c>
      <c r="M28" s="239" t="s">
        <v>71</v>
      </c>
      <c r="N28" s="314" t="s">
        <v>71</v>
      </c>
      <c r="O28" s="314">
        <v>12200</v>
      </c>
      <c r="P28" s="314" t="s">
        <v>71</v>
      </c>
      <c r="Q28" s="314" t="s">
        <v>71</v>
      </c>
    </row>
    <row r="29" spans="1:17">
      <c r="A29" s="10" t="s">
        <v>34</v>
      </c>
      <c r="B29" s="314">
        <v>2800</v>
      </c>
      <c r="C29" s="314">
        <v>55900</v>
      </c>
      <c r="D29" s="315">
        <v>5.0999999999999996</v>
      </c>
      <c r="E29" s="315">
        <v>2.6</v>
      </c>
      <c r="F29" s="314">
        <v>3800</v>
      </c>
      <c r="G29" s="314">
        <v>54800</v>
      </c>
      <c r="H29" s="315">
        <v>7</v>
      </c>
      <c r="I29" s="315">
        <v>3</v>
      </c>
      <c r="J29" s="314">
        <v>1000</v>
      </c>
      <c r="K29" s="314">
        <v>59500</v>
      </c>
      <c r="L29" s="315">
        <v>1.6</v>
      </c>
      <c r="M29" s="315" t="s">
        <v>12</v>
      </c>
      <c r="N29" s="314">
        <v>1500</v>
      </c>
      <c r="O29" s="314">
        <v>58400</v>
      </c>
      <c r="P29" s="314">
        <v>2.7</v>
      </c>
      <c r="Q29" s="314" t="s">
        <v>12</v>
      </c>
    </row>
    <row r="30" spans="1:17">
      <c r="A30" s="10" t="s">
        <v>35</v>
      </c>
      <c r="B30" s="314">
        <v>10300</v>
      </c>
      <c r="C30" s="314">
        <v>161100</v>
      </c>
      <c r="D30" s="315">
        <v>6.4</v>
      </c>
      <c r="E30" s="315">
        <v>2.5</v>
      </c>
      <c r="F30" s="314">
        <v>5700</v>
      </c>
      <c r="G30" s="314">
        <v>154500</v>
      </c>
      <c r="H30" s="315">
        <v>3.7</v>
      </c>
      <c r="I30" s="315" t="s">
        <v>12</v>
      </c>
      <c r="J30" s="314">
        <v>4600</v>
      </c>
      <c r="K30" s="314">
        <v>154000</v>
      </c>
      <c r="L30" s="315">
        <v>3</v>
      </c>
      <c r="M30" s="314" t="s">
        <v>12</v>
      </c>
      <c r="N30" s="314">
        <v>4300</v>
      </c>
      <c r="O30" s="314">
        <v>159200</v>
      </c>
      <c r="P30" s="314">
        <v>2.7</v>
      </c>
      <c r="Q30" s="314" t="s">
        <v>12</v>
      </c>
    </row>
    <row r="31" spans="1:17">
      <c r="A31" s="10" t="s">
        <v>36</v>
      </c>
      <c r="B31" s="239" t="s">
        <v>71</v>
      </c>
      <c r="C31" s="239" t="s">
        <v>71</v>
      </c>
      <c r="D31" s="239" t="s">
        <v>71</v>
      </c>
      <c r="E31" s="239" t="s">
        <v>71</v>
      </c>
      <c r="F31" s="239" t="s">
        <v>71</v>
      </c>
      <c r="G31" s="239" t="s">
        <v>71</v>
      </c>
      <c r="H31" s="239" t="s">
        <v>71</v>
      </c>
      <c r="I31" s="239" t="s">
        <v>71</v>
      </c>
      <c r="J31" s="239" t="s">
        <v>71</v>
      </c>
      <c r="K31" s="239" t="s">
        <v>71</v>
      </c>
      <c r="L31" s="239" t="s">
        <v>71</v>
      </c>
      <c r="M31" s="239" t="s">
        <v>71</v>
      </c>
      <c r="N31" s="314" t="s">
        <v>71</v>
      </c>
      <c r="O31" s="314">
        <v>11500</v>
      </c>
      <c r="P31" s="314" t="s">
        <v>71</v>
      </c>
      <c r="Q31" s="314" t="s">
        <v>71</v>
      </c>
    </row>
    <row r="32" spans="1:17">
      <c r="A32" s="10" t="s">
        <v>37</v>
      </c>
      <c r="B32" s="314">
        <v>3600</v>
      </c>
      <c r="C32" s="314">
        <v>71800</v>
      </c>
      <c r="D32" s="315">
        <v>5.0999999999999996</v>
      </c>
      <c r="E32" s="315">
        <v>2.1</v>
      </c>
      <c r="F32" s="314">
        <v>2100</v>
      </c>
      <c r="G32" s="314">
        <v>71700</v>
      </c>
      <c r="H32" s="315">
        <v>3</v>
      </c>
      <c r="I32" s="315" t="s">
        <v>12</v>
      </c>
      <c r="J32" s="314">
        <v>2400</v>
      </c>
      <c r="K32" s="314">
        <v>70300</v>
      </c>
      <c r="L32" s="315">
        <v>3.3</v>
      </c>
      <c r="M32" s="314" t="s">
        <v>12</v>
      </c>
      <c r="N32" s="314">
        <v>2000</v>
      </c>
      <c r="O32" s="314">
        <v>72400</v>
      </c>
      <c r="P32" s="314">
        <v>2.7</v>
      </c>
      <c r="Q32" s="314" t="s">
        <v>12</v>
      </c>
    </row>
    <row r="33" spans="1:17">
      <c r="A33" s="10" t="s">
        <v>38</v>
      </c>
      <c r="B33" s="314">
        <v>4200</v>
      </c>
      <c r="C33" s="314">
        <v>90900</v>
      </c>
      <c r="D33" s="315">
        <v>4.5999999999999996</v>
      </c>
      <c r="E33" s="315">
        <v>2.2000000000000002</v>
      </c>
      <c r="F33" s="314">
        <v>3400</v>
      </c>
      <c r="G33" s="314">
        <v>87500</v>
      </c>
      <c r="H33" s="315">
        <v>3.9</v>
      </c>
      <c r="I33" s="315">
        <v>2.1</v>
      </c>
      <c r="J33" s="314">
        <v>3200</v>
      </c>
      <c r="K33" s="314">
        <v>84200</v>
      </c>
      <c r="L33" s="315">
        <v>3.8</v>
      </c>
      <c r="M33" s="315" t="s">
        <v>12</v>
      </c>
      <c r="N33" s="314">
        <v>900</v>
      </c>
      <c r="O33" s="314">
        <v>87000</v>
      </c>
      <c r="P33" s="314">
        <v>1</v>
      </c>
      <c r="Q33" s="314" t="s">
        <v>12</v>
      </c>
    </row>
    <row r="34" spans="1:17">
      <c r="A34" s="10" t="s">
        <v>39</v>
      </c>
      <c r="B34" s="314">
        <v>500</v>
      </c>
      <c r="C34" s="314">
        <v>53200</v>
      </c>
      <c r="D34" s="315">
        <v>0.9</v>
      </c>
      <c r="E34" s="315" t="s">
        <v>12</v>
      </c>
      <c r="F34" s="314">
        <v>3800</v>
      </c>
      <c r="G34" s="314">
        <v>48900</v>
      </c>
      <c r="H34" s="315">
        <v>7.8</v>
      </c>
      <c r="I34" s="314">
        <v>3.2</v>
      </c>
      <c r="J34" s="314">
        <v>3600</v>
      </c>
      <c r="K34" s="314">
        <v>56400</v>
      </c>
      <c r="L34" s="315">
        <v>6.3</v>
      </c>
      <c r="M34" s="315">
        <v>2.7</v>
      </c>
      <c r="N34" s="314">
        <v>2600</v>
      </c>
      <c r="O34" s="314">
        <v>51900</v>
      </c>
      <c r="P34" s="314">
        <v>5</v>
      </c>
      <c r="Q34" s="314" t="s">
        <v>12</v>
      </c>
    </row>
    <row r="35" spans="1:17">
      <c r="A35" s="10" t="s">
        <v>40</v>
      </c>
      <c r="B35" s="239" t="s">
        <v>71</v>
      </c>
      <c r="C35" s="239" t="s">
        <v>71</v>
      </c>
      <c r="D35" s="239" t="s">
        <v>71</v>
      </c>
      <c r="E35" s="239" t="s">
        <v>71</v>
      </c>
      <c r="F35" s="239" t="s">
        <v>71</v>
      </c>
      <c r="G35" s="239" t="s">
        <v>71</v>
      </c>
      <c r="H35" s="239" t="s">
        <v>71</v>
      </c>
      <c r="I35" s="239" t="s">
        <v>71</v>
      </c>
      <c r="J35" s="239" t="s">
        <v>71</v>
      </c>
      <c r="K35" s="239" t="s">
        <v>71</v>
      </c>
      <c r="L35" s="239" t="s">
        <v>71</v>
      </c>
      <c r="M35" s="239" t="s">
        <v>71</v>
      </c>
      <c r="N35" s="314" t="s">
        <v>71</v>
      </c>
      <c r="O35" s="314">
        <v>12000</v>
      </c>
      <c r="P35" s="314" t="s">
        <v>71</v>
      </c>
      <c r="Q35" s="314" t="s">
        <v>71</v>
      </c>
    </row>
    <row r="36" spans="1:17">
      <c r="A36" s="10" t="s">
        <v>41</v>
      </c>
      <c r="B36" s="314">
        <v>2300</v>
      </c>
      <c r="C36" s="314">
        <v>48700</v>
      </c>
      <c r="D36" s="315">
        <v>4.8</v>
      </c>
      <c r="E36" s="315">
        <v>2.4</v>
      </c>
      <c r="F36" s="314">
        <v>3000</v>
      </c>
      <c r="G36" s="314">
        <v>47700</v>
      </c>
      <c r="H36" s="315">
        <v>6.3</v>
      </c>
      <c r="I36" s="315">
        <v>3</v>
      </c>
      <c r="J36" s="314">
        <v>3200</v>
      </c>
      <c r="K36" s="314">
        <v>46300</v>
      </c>
      <c r="L36" s="315">
        <v>6.9</v>
      </c>
      <c r="M36" s="315">
        <v>3.2</v>
      </c>
      <c r="N36" s="314">
        <v>2700</v>
      </c>
      <c r="O36" s="314">
        <v>45000</v>
      </c>
      <c r="P36" s="314">
        <v>6.1</v>
      </c>
      <c r="Q36" s="314" t="s">
        <v>12</v>
      </c>
    </row>
    <row r="37" spans="1:17">
      <c r="A37" s="10" t="s">
        <v>42</v>
      </c>
      <c r="B37" s="314">
        <v>6000</v>
      </c>
      <c r="C37" s="314">
        <v>157600</v>
      </c>
      <c r="D37" s="315">
        <v>3.8</v>
      </c>
      <c r="E37" s="315">
        <v>1.9</v>
      </c>
      <c r="F37" s="314">
        <v>5800</v>
      </c>
      <c r="G37" s="314">
        <v>159500</v>
      </c>
      <c r="H37" s="315">
        <v>3.7</v>
      </c>
      <c r="I37" s="315">
        <v>1.9</v>
      </c>
      <c r="J37" s="314">
        <v>5100</v>
      </c>
      <c r="K37" s="314">
        <v>161500</v>
      </c>
      <c r="L37" s="315">
        <v>3.1</v>
      </c>
      <c r="M37" s="315">
        <v>1.8</v>
      </c>
      <c r="N37" s="314">
        <v>3400</v>
      </c>
      <c r="O37" s="314">
        <v>157500</v>
      </c>
      <c r="P37" s="314">
        <v>2.2000000000000002</v>
      </c>
      <c r="Q37" s="314" t="s">
        <v>12</v>
      </c>
    </row>
    <row r="38" spans="1:17">
      <c r="A38" s="10" t="s">
        <v>43</v>
      </c>
      <c r="B38" s="314">
        <v>1400</v>
      </c>
      <c r="C38" s="314">
        <v>45100</v>
      </c>
      <c r="D38" s="315">
        <v>3.2</v>
      </c>
      <c r="E38" s="315">
        <v>1.9</v>
      </c>
      <c r="F38" s="314">
        <v>1800</v>
      </c>
      <c r="G38" s="314">
        <v>44900</v>
      </c>
      <c r="H38" s="315">
        <v>4</v>
      </c>
      <c r="I38" s="315" t="s">
        <v>12</v>
      </c>
      <c r="J38" s="314">
        <v>1700</v>
      </c>
      <c r="K38" s="314">
        <v>46400</v>
      </c>
      <c r="L38" s="315">
        <v>3.7</v>
      </c>
      <c r="M38" s="314">
        <v>2</v>
      </c>
      <c r="N38" s="314">
        <v>2000</v>
      </c>
      <c r="O38" s="314">
        <v>49400</v>
      </c>
      <c r="P38" s="314">
        <v>4.0999999999999996</v>
      </c>
      <c r="Q38" s="314">
        <v>2.2999999999999998</v>
      </c>
    </row>
    <row r="39" spans="1:17">
      <c r="A39" s="10" t="s">
        <v>44</v>
      </c>
      <c r="B39" s="314">
        <v>2300</v>
      </c>
      <c r="C39" s="314">
        <v>42700</v>
      </c>
      <c r="D39" s="315">
        <v>5.3</v>
      </c>
      <c r="E39" s="315">
        <v>2.2000000000000002</v>
      </c>
      <c r="F39" s="314">
        <v>1800</v>
      </c>
      <c r="G39" s="314">
        <v>40900</v>
      </c>
      <c r="H39" s="315">
        <v>4.4000000000000004</v>
      </c>
      <c r="I39" s="315">
        <v>2.2999999999999998</v>
      </c>
      <c r="J39" s="314">
        <v>1300</v>
      </c>
      <c r="K39" s="314">
        <v>44300</v>
      </c>
      <c r="L39" s="315">
        <v>2.9</v>
      </c>
      <c r="M39" s="315" t="s">
        <v>12</v>
      </c>
      <c r="N39" s="314">
        <v>1200</v>
      </c>
      <c r="O39" s="314">
        <v>41200</v>
      </c>
      <c r="P39" s="314">
        <v>3</v>
      </c>
      <c r="Q39" s="314" t="s">
        <v>12</v>
      </c>
    </row>
    <row r="40" spans="1:17">
      <c r="A40" s="10" t="s">
        <v>45</v>
      </c>
      <c r="B40" s="314">
        <v>2900</v>
      </c>
      <c r="C40" s="314">
        <v>90500</v>
      </c>
      <c r="D40" s="315">
        <v>3.2</v>
      </c>
      <c r="E40" s="315">
        <v>1.9</v>
      </c>
      <c r="F40" s="314">
        <v>2600</v>
      </c>
      <c r="G40" s="314">
        <v>88900</v>
      </c>
      <c r="H40" s="315">
        <v>2.9</v>
      </c>
      <c r="I40" s="315" t="s">
        <v>12</v>
      </c>
      <c r="J40" s="314">
        <v>2000</v>
      </c>
      <c r="K40" s="314">
        <v>92100</v>
      </c>
      <c r="L40" s="315">
        <v>2.2000000000000002</v>
      </c>
      <c r="M40" s="314" t="s">
        <v>12</v>
      </c>
      <c r="N40" s="314">
        <v>4000</v>
      </c>
      <c r="O40" s="314">
        <v>91200</v>
      </c>
      <c r="P40" s="314">
        <v>4.4000000000000004</v>
      </c>
      <c r="Q40" s="314" t="s">
        <v>12</v>
      </c>
    </row>
    <row r="41" spans="1:17">
      <c r="A41" s="10"/>
      <c r="B41" s="239"/>
      <c r="C41" s="239"/>
      <c r="D41" s="240"/>
      <c r="E41" s="240"/>
      <c r="F41" s="239"/>
      <c r="G41" s="239"/>
      <c r="H41" s="240"/>
      <c r="I41" s="240"/>
      <c r="J41" s="239"/>
      <c r="K41" s="239"/>
      <c r="L41" s="240"/>
      <c r="M41" s="240"/>
      <c r="N41" s="314"/>
      <c r="O41" s="314"/>
      <c r="P41" s="314"/>
      <c r="Q41" s="314"/>
    </row>
    <row r="42" spans="1:17">
      <c r="A42" s="10" t="s">
        <v>46</v>
      </c>
      <c r="B42" s="239">
        <v>116500</v>
      </c>
      <c r="C42" s="239">
        <v>2639500</v>
      </c>
      <c r="D42" s="240">
        <v>4.4000000000000004</v>
      </c>
      <c r="E42" s="240">
        <v>0.4</v>
      </c>
      <c r="F42" s="239">
        <v>104200</v>
      </c>
      <c r="G42" s="239">
        <v>2612000</v>
      </c>
      <c r="H42" s="240">
        <v>4</v>
      </c>
      <c r="I42" s="240">
        <v>0.4</v>
      </c>
      <c r="J42" s="239">
        <v>91100</v>
      </c>
      <c r="K42" s="239">
        <v>2651000</v>
      </c>
      <c r="L42" s="240">
        <v>3.4</v>
      </c>
      <c r="M42" s="240">
        <v>0.4</v>
      </c>
      <c r="N42" s="314">
        <v>95100</v>
      </c>
      <c r="O42" s="314">
        <v>2677000</v>
      </c>
      <c r="P42" s="314">
        <v>3.6</v>
      </c>
      <c r="Q42" s="314">
        <v>0.5</v>
      </c>
    </row>
    <row r="43" spans="1:17">
      <c r="A43" s="10" t="s">
        <v>47</v>
      </c>
      <c r="B43" s="239">
        <v>1538800</v>
      </c>
      <c r="C43" s="239">
        <v>32613100</v>
      </c>
      <c r="D43" s="240">
        <v>4.7</v>
      </c>
      <c r="E43" s="240">
        <v>0.1</v>
      </c>
      <c r="F43" s="239">
        <v>1462300</v>
      </c>
      <c r="G43" s="239">
        <v>32377600</v>
      </c>
      <c r="H43" s="240">
        <v>4.5</v>
      </c>
      <c r="I43" s="240">
        <v>0.1</v>
      </c>
      <c r="J43" s="239">
        <v>1173500</v>
      </c>
      <c r="K43" s="239">
        <v>32513000</v>
      </c>
      <c r="L43" s="240">
        <v>3.6</v>
      </c>
      <c r="M43" s="240">
        <v>0.1</v>
      </c>
      <c r="N43" s="314">
        <v>1232300</v>
      </c>
      <c r="O43" s="314">
        <v>32791600</v>
      </c>
      <c r="P43" s="314">
        <v>3.8</v>
      </c>
      <c r="Q43" s="314">
        <v>0.2</v>
      </c>
    </row>
    <row r="44" spans="1:17">
      <c r="A44" s="10" t="s">
        <v>156</v>
      </c>
      <c r="B44" s="15" cm="1">
        <f t="array" ref="B44">SUM(SUMIFS(B$9:B$40,$A$9:$A$40,{"Aberdeen City","Aberdeenshire"}))</f>
        <v>12600</v>
      </c>
      <c r="C44" s="15" cm="1">
        <f t="array" ref="C44">SUM(SUMIFS(C$9:C$40,$A$9:$A$40,{"Aberdeen City","Aberdeenshire"}))</f>
        <v>255900</v>
      </c>
      <c r="D44" s="14">
        <f>SUM(B44/C44)*100</f>
        <v>4.9237983587338805</v>
      </c>
      <c r="E44" s="15"/>
      <c r="F44" s="15" cm="1">
        <f t="array" ref="F44">SUM(SUMIFS(F$9:F$40,$A$9:$A$40,{"Aberdeen City","Aberdeenshire"}))</f>
        <v>11100</v>
      </c>
      <c r="G44" s="15" cm="1">
        <f t="array" ref="G44">SUM(SUMIFS(G$9:G$40,$A$9:$A$40,{"Aberdeen City","Aberdeenshire"}))</f>
        <v>252900</v>
      </c>
      <c r="H44" s="14">
        <f t="shared" ref="H44" si="0">SUM(F44/G44)*100</f>
        <v>4.3890865954922891</v>
      </c>
      <c r="I44" s="15"/>
      <c r="J44" s="15" cm="1">
        <f t="array" ref="J44">SUM(SUMIFS(J$9:J$40,$A$9:$A$40,{"Aberdeen City","Aberdeenshire"}))</f>
        <v>13100</v>
      </c>
      <c r="K44" s="15" cm="1">
        <f t="array" ref="K44">SUM(SUMIFS(K$9:K$40,$A$9:$A$40,{"Aberdeen City","Aberdeenshire"}))</f>
        <v>257100</v>
      </c>
      <c r="L44" s="14">
        <f t="shared" ref="L44" si="1">SUM(J44/K44)*100</f>
        <v>5.0952936600544536</v>
      </c>
      <c r="M44" s="15"/>
      <c r="N44" s="15" cm="1">
        <f t="array" ref="N44">SUM(SUMIFS(N$9:N$40,$A$9:$A$40,{"Aberdeen City","Aberdeenshire"}))</f>
        <v>7900</v>
      </c>
      <c r="O44" s="15" cm="1">
        <f t="array" ref="O44">SUM(SUMIFS(O$9:O$40,$A$9:$A$40,{"Aberdeen City","Aberdeenshire"}))</f>
        <v>269400</v>
      </c>
      <c r="P44" s="14">
        <f t="shared" ref="P44" si="2">SUM(N44/O44)*100</f>
        <v>2.9324424647364515</v>
      </c>
      <c r="Q44" s="15"/>
    </row>
    <row r="45" spans="1:17">
      <c r="A45" s="10" t="s">
        <v>359</v>
      </c>
      <c r="B45" s="125" cm="1">
        <f t="array" ref="B45">SUM(SUMIFS(B$9:B$41,$A$9:$A$41,{"Falkirk","Stirling","Clackmannanshire"}))</f>
        <v>5200</v>
      </c>
      <c r="C45" s="125" cm="1">
        <f t="array" ref="C45">SUM(SUMIFS(C$9:C$41,$A$9:$A$41,{"Falkirk","Stirling","Clackmannanshire"}))</f>
        <v>125100</v>
      </c>
      <c r="D45" s="316">
        <f t="shared" ref="D45" si="3">SUM(B45/C45)*100</f>
        <v>4.1566746602717828</v>
      </c>
      <c r="E45" s="14"/>
      <c r="F45" s="125" cm="1">
        <f t="array" ref="F45">SUM(SUMIFS(F$9:F$41,$A$9:$A$41,{"Falkirk","Stirling","Clackmannanshire"}))</f>
        <v>3200</v>
      </c>
      <c r="G45" s="125" cm="1">
        <f t="array" ref="G45">SUM(SUMIFS(G$9:G$41,$A$9:$A$41,{"Falkirk","Stirling","Clackmannanshire"}))</f>
        <v>123900</v>
      </c>
      <c r="H45" s="316">
        <f t="shared" ref="H45" si="4">SUM(F45/G45)*100</f>
        <v>2.5827280064568199</v>
      </c>
      <c r="I45" s="14"/>
      <c r="J45" s="125" cm="1">
        <f t="array" ref="J45">SUM(SUMIFS(J$9:J$41,$A$9:$A$41,{"Falkirk","Stirling","Clackmannanshire"}))</f>
        <v>6300</v>
      </c>
      <c r="K45" s="125" cm="1">
        <f t="array" ref="K45">SUM(SUMIFS(K$9:K$41,$A$9:$A$41,{"Falkirk","Stirling","Clackmannanshire"}))</f>
        <v>128300</v>
      </c>
      <c r="L45" s="316">
        <f t="shared" ref="L45" si="5">SUM(J45/K45)*100</f>
        <v>4.9103663289166013</v>
      </c>
      <c r="M45" s="14"/>
      <c r="N45" s="125" cm="1">
        <f t="array" ref="N45">SUM(SUMIFS(N$9:N$41,$A$9:$A$41,{"Falkirk","Stirling","Clackmannanshire"}))</f>
        <v>5700</v>
      </c>
      <c r="O45" s="125" cm="1">
        <f t="array" ref="O45">SUM(SUMIFS(O$9:O$41,$A$9:$A$41,{"Falkirk","Stirling","Clackmannanshire"}))</f>
        <v>147800</v>
      </c>
      <c r="P45" s="316">
        <f t="shared" ref="P45" si="6">SUM(N45/O45)*100</f>
        <v>3.8565629228687412</v>
      </c>
      <c r="Q45" s="14"/>
    </row>
    <row r="46" spans="1:17">
      <c r="A46" s="10" t="s">
        <v>157</v>
      </c>
      <c r="B46" s="125" cm="1">
        <f t="array" ref="B46">SUM(SUMIFS(B$9:B$40,$A$9:$A$40,{"East Lothian","Edinburgh, City of","Fife","Midlothian","Scottish Borders","West Lothian"}))</f>
        <v>29300</v>
      </c>
      <c r="C46" s="125" cm="1">
        <f t="array" ref="C46">SUM(SUMIFS(C$9:C$40,$A$9:$A$40,{"East Lothian","Edinburgh, City of","Fife","Midlothian","Scottish Borders","West Lothian"}))</f>
        <v>687500</v>
      </c>
      <c r="D46" s="14">
        <f>SUM(B46/C46)*100</f>
        <v>4.2618181818181817</v>
      </c>
      <c r="E46" s="15"/>
      <c r="F46" s="125" cm="1">
        <f t="array" ref="F46">SUM(SUMIFS(F$9:F$40,$A$9:$A$40,{"East Lothian","Edinburgh, City of","Fife","Midlothian","Scottish Borders","West Lothian"}))</f>
        <v>28500</v>
      </c>
      <c r="G46" s="125" cm="1">
        <f t="array" ref="G46">SUM(SUMIFS(G$9:G$40,$A$9:$A$40,{"East Lothian","Edinburgh, City of","Fife","Midlothian","Scottish Borders","West Lothian"}))</f>
        <v>687700</v>
      </c>
      <c r="H46" s="14">
        <f t="shared" ref="H46:H47" si="7">SUM(F46/G46)*100</f>
        <v>4.144248945761233</v>
      </c>
      <c r="I46" s="15"/>
      <c r="J46" s="125" cm="1">
        <f t="array" ref="J46">SUM(SUMIFS(J$9:J$40,$A$9:$A$40,{"East Lothian","Edinburgh, City of","Fife","Midlothian","Scottish Borders","West Lothian"}))</f>
        <v>18100</v>
      </c>
      <c r="K46" s="125" cm="1">
        <f t="array" ref="K46">SUM(SUMIFS(K$9:K$40,$A$9:$A$40,{"East Lothian","Edinburgh, City of","Fife","Midlothian","Scottish Borders","West Lothian"}))</f>
        <v>708000</v>
      </c>
      <c r="L46" s="14">
        <f t="shared" ref="L46:L47" si="8">SUM(J46/K46)*100</f>
        <v>2.5564971751412431</v>
      </c>
      <c r="M46" s="15"/>
      <c r="N46" s="125" cm="1">
        <f t="array" ref="N46">SUM(SUMIFS(N$9:N$40,$A$9:$A$40,{"East Lothian","Edinburgh, City of","Fife","Midlothian","Scottish Borders","West Lothian"}))</f>
        <v>28100</v>
      </c>
      <c r="O46" s="125" cm="1">
        <f t="array" ref="O46">SUM(SUMIFS(O$9:O$40,$A$9:$A$40,{"East Lothian","Edinburgh, City of","Fife","Midlothian","Scottish Borders","West Lothian"}))</f>
        <v>728200</v>
      </c>
      <c r="P46" s="14">
        <f t="shared" ref="P46:P47" si="9">SUM(N46/O46)*100</f>
        <v>3.8588299917605053</v>
      </c>
      <c r="Q46" s="15"/>
    </row>
    <row r="47" spans="1:17">
      <c r="A47" s="10" t="s">
        <v>158</v>
      </c>
      <c r="B47" s="125" cm="1">
        <f t="array" ref="B47">SUM(SUMIFS(B$9:B$40,$A$9:$A$40,{"Angus","Dundee City","Fife","Perth and Kinross"}))</f>
        <v>21000</v>
      </c>
      <c r="C47" s="125" cm="1">
        <f t="array" ref="C47">SUM(SUMIFS(C$9:C$40,$A$9:$A$40,{"Angus","Dundee City","Fife","Perth and Kinross"}))</f>
        <v>367600</v>
      </c>
      <c r="D47" s="14">
        <f>SUM(B47/C47)*100</f>
        <v>5.712731229597388</v>
      </c>
      <c r="E47" s="15"/>
      <c r="F47" s="125" cm="1">
        <f t="array" ref="F47">SUM(SUMIFS(F$9:F$40,$A$9:$A$40,{"Angus","Dundee City","Fife","Perth and Kinross"}))</f>
        <v>20100</v>
      </c>
      <c r="G47" s="125" cm="1">
        <f t="array" ref="G47">SUM(SUMIFS(G$9:G$40,$A$9:$A$40,{"Angus","Dundee City","Fife","Perth and Kinross"}))</f>
        <v>361900</v>
      </c>
      <c r="H47" s="14">
        <f t="shared" si="7"/>
        <v>5.5540204476374688</v>
      </c>
      <c r="I47" s="15"/>
      <c r="J47" s="125" cm="1">
        <f t="array" ref="J47">SUM(SUMIFS(J$9:J$40,$A$9:$A$40,{"Angus","Dundee City","Fife","Perth and Kinross"}))</f>
        <v>16900</v>
      </c>
      <c r="K47" s="125" cm="1">
        <f t="array" ref="K47">SUM(SUMIFS(K$9:K$40,$A$9:$A$40,{"Angus","Dundee City","Fife","Perth and Kinross"}))</f>
        <v>370900</v>
      </c>
      <c r="L47" s="14">
        <f t="shared" si="8"/>
        <v>4.5564842275545967</v>
      </c>
      <c r="M47" s="15"/>
      <c r="N47" s="125" cm="1">
        <f t="array" ref="N47">SUM(SUMIFS(N$9:N$40,$A$9:$A$40,{"Angus","Dundee City","Fife","Perth and Kinross"}))</f>
        <v>16000</v>
      </c>
      <c r="O47" s="125" cm="1">
        <f t="array" ref="O47">SUM(SUMIFS(O$9:O$40,$A$9:$A$40,{"Angus","Dundee City","Fife","Perth and Kinross"}))</f>
        <v>367000</v>
      </c>
      <c r="P47" s="14">
        <f t="shared" si="9"/>
        <v>4.3596730245231603</v>
      </c>
      <c r="Q47" s="15"/>
    </row>
    <row r="48" spans="1:17">
      <c r="A48" s="10" t="s">
        <v>246</v>
      </c>
      <c r="B48" s="125" cm="1">
        <f t="array" ref="B48">SUM(SUMIFS(B$9:B$41,$A$9:$A$41,{"Na h-Eileanan Siar","Argyll and Bute","Shetland Islands","Highland","Orkney Islands","Scottish Borders","Dumfries and Galloway","Aberdeenshire"}))</f>
        <v>11100</v>
      </c>
      <c r="C48" s="125">
        <f>SUM(SUMIFS(C$9:C$41,$A$9:$A$41,{"Na h-Eileanan Siar","Argyll and Bute","Shetland Islands","Highland","Orkney Islands","Scottish Borders","Dumfries and Galloway","Aberdeenshire"}))</f>
        <v>400100</v>
      </c>
      <c r="D48" s="316">
        <f t="shared" ref="D48:D51" si="10">SUM(B48/C48)*100</f>
        <v>2.7743064233941515</v>
      </c>
      <c r="E48" s="14"/>
      <c r="F48" s="125">
        <f>SUM(SUMIFS(F$9:F$41,$A$9:$A$41,{"Na h-Eileanan Siar","Argyll and Bute","Shetland Islands","Highland","Orkney Islands","Scottish Borders","Dumfries and Galloway","Aberdeenshire"}))</f>
        <v>17300</v>
      </c>
      <c r="G48" s="125">
        <f>SUM(SUMIFS(G$9:G$41,$A$9:$A$41,{"Na h-Eileanan Siar","Argyll and Bute","Shetland Islands","Highland","Orkney Islands","Scottish Borders","Dumfries and Galloway","Aberdeenshire"}))</f>
        <v>383500</v>
      </c>
      <c r="H48" s="316">
        <f t="shared" ref="H48:H51" si="11">SUM(F48/G48)*100</f>
        <v>4.5110821382007824</v>
      </c>
      <c r="I48" s="14"/>
      <c r="J48" s="125">
        <f>SUM(SUMIFS(J$9:J$41,$A$9:$A$41,{"Na h-Eileanan Siar","Argyll and Bute","Shetland Islands","Highland","Orkney Islands","Scottish Borders","Dumfries and Galloway","Aberdeenshire"}))</f>
        <v>17400</v>
      </c>
      <c r="K48" s="125">
        <f>SUM(SUMIFS(K$9:K$41,$A$9:$A$41,{"Na h-Eileanan Siar","Argyll and Bute","Shetland Islands","Highland","Orkney Islands","Scottish Borders","Dumfries and Galloway","Aberdeenshire"}))</f>
        <v>396200</v>
      </c>
      <c r="L48" s="316">
        <f t="shared" ref="L48:L51" si="12">SUM(J48/K48)*100</f>
        <v>4.3917213528520946</v>
      </c>
      <c r="M48" s="14"/>
      <c r="N48" s="125">
        <f>SUM(SUMIFS(N$9:N$41,$A$9:$A$41,{"Na h-Eileanan Siar","Argyll and Bute","Shetland Islands","Highland","Orkney Islands","Scottish Borders","Dumfries and Galloway","Aberdeenshire"}))</f>
        <v>10200</v>
      </c>
      <c r="O48" s="125">
        <f>SUM(SUMIFS(O$9:O$41,$A$9:$A$41,{"Na h-Eileanan Siar","Argyll and Bute","Shetland Islands","Highland","Orkney Islands","Scottish Borders","Dumfries and Galloway","Aberdeenshire"}))</f>
        <v>441400</v>
      </c>
      <c r="P48" s="316">
        <f t="shared" ref="P48:P51" si="13">SUM(N48/O48)*100</f>
        <v>2.3108291798821932</v>
      </c>
      <c r="Q48" s="14"/>
    </row>
    <row r="49" spans="1:17">
      <c r="A49" s="10" t="s">
        <v>247</v>
      </c>
      <c r="B49" s="125">
        <f>SUM(SUMIFS(B$9:B$41,$A$9:$A$41,{"Perth and Kinross","Stirling","Moray","South Ayrshire","East Ayrshire","East Lothian","North Ayrshire","Fife"}))</f>
        <v>26900</v>
      </c>
      <c r="C49" s="125">
        <f>SUM(SUMIFS(C$9:C$41,$A$9:$A$41,{"Perth and Kinross","Stirling","Moray","South Ayrshire","East Ayrshire","East Lothian","North Ayrshire","Fife"}))</f>
        <v>545000</v>
      </c>
      <c r="D49" s="316">
        <f t="shared" si="10"/>
        <v>4.9357798165137616</v>
      </c>
      <c r="E49" s="14"/>
      <c r="F49" s="125">
        <f>SUM(SUMIFS(F$9:F$41,$A$9:$A$41,{"Perth and Kinross","Stirling","Moray","South Ayrshire","East Ayrshire","East Lothian","North Ayrshire","Fife"}))</f>
        <v>28700</v>
      </c>
      <c r="G49" s="125">
        <f>SUM(SUMIFS(G$9:G$41,$A$9:$A$41,{"Perth and Kinross","Stirling","Moray","South Ayrshire","East Ayrshire","East Lothian","North Ayrshire","Fife"}))</f>
        <v>541000</v>
      </c>
      <c r="H49" s="316">
        <f t="shared" si="11"/>
        <v>5.3049907578558226</v>
      </c>
      <c r="I49" s="14"/>
      <c r="J49" s="125">
        <f>SUM(SUMIFS(J$9:J$41,$A$9:$A$41,{"Perth and Kinross","Stirling","Moray","South Ayrshire","East Ayrshire","East Lothian","North Ayrshire","Fife"}))</f>
        <v>20000</v>
      </c>
      <c r="K49" s="125">
        <f>SUM(SUMIFS(K$9:K$41,$A$9:$A$41,{"Perth and Kinross","Stirling","Moray","South Ayrshire","East Ayrshire","East Lothian","North Ayrshire","Fife"}))</f>
        <v>551200</v>
      </c>
      <c r="L49" s="316">
        <f t="shared" si="12"/>
        <v>3.6284470246734397</v>
      </c>
      <c r="M49" s="14"/>
      <c r="N49" s="125">
        <f>SUM(SUMIFS(N$9:N$41,$A$9:$A$41,{"Perth and Kinross","Stirling","Moray","South Ayrshire","East Ayrshire","East Lothian","North Ayrshire","Fife"}))</f>
        <v>18900</v>
      </c>
      <c r="O49" s="125">
        <f>SUM(SUMIFS(O$9:O$41,$A$9:$A$41,{"Perth and Kinross","Stirling","Moray","South Ayrshire","East Ayrshire","East Lothian","North Ayrshire","Fife"}))</f>
        <v>553800</v>
      </c>
      <c r="P49" s="316">
        <f t="shared" si="13"/>
        <v>3.412784398699892</v>
      </c>
      <c r="Q49" s="14"/>
    </row>
    <row r="50" spans="1:17">
      <c r="A50" s="10" t="s">
        <v>248</v>
      </c>
      <c r="B50" s="125">
        <f>SUM(SUMIFS(B$9:B$41,$A$9:$A$41,{"Angus","Clackmannanshire","Midlothian","South Lanarkshire","Inverclyde","Renfrewshire","West Lothian","East Renfrewshire"}))</f>
        <v>19300</v>
      </c>
      <c r="C50" s="125">
        <f>SUM(SUMIFS(C$9:C$41,$A$9:$A$41,{"Angus","Clackmannanshire","Midlothian","South Lanarkshire","Inverclyde","Renfrewshire","West Lothian","East Renfrewshire"}))</f>
        <v>512500</v>
      </c>
      <c r="D50" s="316">
        <f t="shared" si="10"/>
        <v>3.7658536585365852</v>
      </c>
      <c r="E50" s="14"/>
      <c r="F50" s="125">
        <f>SUM(SUMIFS(F$9:F$41,$A$9:$A$41,{"Angus","Clackmannanshire","Midlothian","South Lanarkshire","Inverclyde","Renfrewshire","West Lothian","East Renfrewshire"}))</f>
        <v>17500</v>
      </c>
      <c r="G50" s="125">
        <f>SUM(SUMIFS(G$9:G$41,$A$9:$A$41,{"Angus","Clackmannanshire","Midlothian","South Lanarkshire","Inverclyde","Renfrewshire","West Lothian","East Renfrewshire"}))</f>
        <v>514600</v>
      </c>
      <c r="H50" s="316">
        <f t="shared" si="11"/>
        <v>3.4006995724834823</v>
      </c>
      <c r="I50" s="14"/>
      <c r="J50" s="125">
        <f>SUM(SUMIFS(J$9:J$41,$A$9:$A$41,{"Angus","Clackmannanshire","Midlothian","South Lanarkshire","Inverclyde","Renfrewshire","West Lothian","East Renfrewshire"}))</f>
        <v>14900</v>
      </c>
      <c r="K50" s="125">
        <f>SUM(SUMIFS(K$9:K$41,$A$9:$A$41,{"Angus","Clackmannanshire","Midlothian","South Lanarkshire","Inverclyde","Renfrewshire","West Lothian","East Renfrewshire"}))</f>
        <v>518500</v>
      </c>
      <c r="L50" s="316">
        <f t="shared" si="12"/>
        <v>2.8736740597878496</v>
      </c>
      <c r="M50" s="14"/>
      <c r="N50" s="125">
        <f>SUM(SUMIFS(N$9:N$41,$A$9:$A$41,{"Angus","Clackmannanshire","Midlothian","South Lanarkshire","Inverclyde","Renfrewshire","West Lothian","East Renfrewshire"}))</f>
        <v>12800</v>
      </c>
      <c r="O50" s="125">
        <f>SUM(SUMIFS(O$9:O$41,$A$9:$A$41,{"Angus","Clackmannanshire","Midlothian","South Lanarkshire","Inverclyde","Renfrewshire","West Lothian","East Renfrewshire"}))</f>
        <v>537700</v>
      </c>
      <c r="P50" s="316">
        <f t="shared" si="13"/>
        <v>2.3805095778315044</v>
      </c>
      <c r="Q50" s="14"/>
    </row>
    <row r="51" spans="1:17">
      <c r="A51" s="10" t="s">
        <v>249</v>
      </c>
      <c r="B51" s="125">
        <f>SUM(SUMIFS(B$9:B$41,$A$9:$A$41,{"North Lanarkshire","Falkirk","East Dunbartonshire","Aberdeen City","Edinburgh, City of","West Dunbartonshire","Dundee City","Glasgow City"}))</f>
        <v>56600</v>
      </c>
      <c r="C51" s="125">
        <f>SUM(SUMIFS(C$9:C$41,$A$9:$A$41,{"North Lanarkshire","Falkirk","East Dunbartonshire","Aberdeen City","Edinburgh, City of","West Dunbartonshire","Dundee City","Glasgow City"}))</f>
        <v>1122900</v>
      </c>
      <c r="D51" s="316">
        <f t="shared" si="10"/>
        <v>5.0405200819307154</v>
      </c>
      <c r="E51" s="14"/>
      <c r="F51" s="125">
        <f>SUM(SUMIFS(F$9:F$41,$A$9:$A$41,{"North Lanarkshire","Falkirk","East Dunbartonshire","Aberdeen City","Edinburgh, City of","West Dunbartonshire","Dundee City","Glasgow City"}))</f>
        <v>38900</v>
      </c>
      <c r="G51" s="125">
        <f>SUM(SUMIFS(G$9:G$41,$A$9:$A$41,{"North Lanarkshire","Falkirk","East Dunbartonshire","Aberdeen City","Edinburgh, City of","West Dunbartonshire","Dundee City","Glasgow City"}))</f>
        <v>1117600</v>
      </c>
      <c r="H51" s="316">
        <f t="shared" si="11"/>
        <v>3.4806728704366496</v>
      </c>
      <c r="I51" s="14"/>
      <c r="J51" s="125">
        <f>SUM(SUMIFS(J$9:J$41,$A$9:$A$41,{"North Lanarkshire","Falkirk","East Dunbartonshire","Aberdeen City","Edinburgh, City of","West Dunbartonshire","Dundee City","Glasgow City"}))</f>
        <v>37800</v>
      </c>
      <c r="K51" s="125">
        <f>SUM(SUMIFS(K$9:K$41,$A$9:$A$41,{"North Lanarkshire","Falkirk","East Dunbartonshire","Aberdeen City","Edinburgh, City of","West Dunbartonshire","Dundee City","Glasgow City"}))</f>
        <v>1129200</v>
      </c>
      <c r="L51" s="316">
        <f t="shared" si="12"/>
        <v>3.3475026567481398</v>
      </c>
      <c r="M51" s="14"/>
      <c r="N51" s="125">
        <f>SUM(SUMIFS(N$9:N$41,$A$9:$A$41,{"North Lanarkshire","Falkirk","East Dunbartonshire","Aberdeen City","Edinburgh, City of","West Dunbartonshire","Dundee City","Glasgow City"}))</f>
        <v>48600</v>
      </c>
      <c r="O51" s="125">
        <f>SUM(SUMIFS(O$9:O$41,$A$9:$A$41,{"North Lanarkshire","Falkirk","East Dunbartonshire","Aberdeen City","Edinburgh, City of","West Dunbartonshire","Dundee City","Glasgow City"}))</f>
        <v>1143900</v>
      </c>
      <c r="P51" s="316">
        <f t="shared" si="13"/>
        <v>4.2486231313926046</v>
      </c>
      <c r="Q51" s="14"/>
    </row>
    <row r="52" spans="1:17">
      <c r="A52" s="10" t="s">
        <v>48</v>
      </c>
      <c r="B52" s="239">
        <v>41600</v>
      </c>
      <c r="C52" s="239">
        <v>899600</v>
      </c>
      <c r="D52" s="240">
        <v>4.5999999999999996</v>
      </c>
      <c r="E52" s="240">
        <v>0.7</v>
      </c>
      <c r="F52" s="239">
        <v>33900</v>
      </c>
      <c r="G52" s="239">
        <v>884600</v>
      </c>
      <c r="H52" s="240">
        <v>3.8</v>
      </c>
      <c r="I52" s="240">
        <v>0.7</v>
      </c>
      <c r="J52" s="239">
        <v>28200</v>
      </c>
      <c r="K52" s="239">
        <v>897300</v>
      </c>
      <c r="L52" s="240">
        <v>3.1</v>
      </c>
      <c r="M52" s="240">
        <v>0.7</v>
      </c>
      <c r="N52" s="314">
        <v>28300</v>
      </c>
      <c r="O52" s="314">
        <v>894100</v>
      </c>
      <c r="P52" s="314">
        <v>3.2</v>
      </c>
      <c r="Q52" s="314">
        <v>0.8</v>
      </c>
    </row>
    <row r="54" spans="1:17">
      <c r="A54" s="2" t="s">
        <v>513</v>
      </c>
    </row>
    <row r="55" spans="1:17">
      <c r="A55" s="2" t="s">
        <v>13</v>
      </c>
    </row>
    <row r="56" spans="1:17">
      <c r="A56" s="2" t="s">
        <v>14</v>
      </c>
    </row>
  </sheetData>
  <mergeCells count="4">
    <mergeCell ref="B7:E7"/>
    <mergeCell ref="F7:I7"/>
    <mergeCell ref="J7:M7"/>
    <mergeCell ref="N7:Q7"/>
  </mergeCells>
  <conditionalFormatting sqref="A1:XFD1048576">
    <cfRule type="expression" dxfId="77" priority="1">
      <formula>_xlfn.ISFORMULA(A1)</formula>
    </cfRule>
    <cfRule type="expression" priority="2">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autoPageBreaks="0"/>
  </sheetPr>
  <dimension ref="A1:W114"/>
  <sheetViews>
    <sheetView zoomScale="62" workbookViewId="0">
      <selection activeCell="T38" sqref="T38"/>
    </sheetView>
  </sheetViews>
  <sheetFormatPr defaultColWidth="8.7109375" defaultRowHeight="15"/>
  <cols>
    <col min="1" max="1" width="25" customWidth="1" collapsed="1"/>
    <col min="2" max="22" width="14" customWidth="1" collapsed="1"/>
    <col min="23" max="23" width="14" customWidth="1"/>
  </cols>
  <sheetData>
    <row r="1" spans="1:23" ht="15.75">
      <c r="A1" s="1" t="s">
        <v>178</v>
      </c>
    </row>
    <row r="2" spans="1:23">
      <c r="A2" s="2" t="s">
        <v>177</v>
      </c>
    </row>
    <row r="4" spans="1:23">
      <c r="A4" s="10" t="s">
        <v>176</v>
      </c>
      <c r="B4" s="10"/>
    </row>
    <row r="5" spans="1:23">
      <c r="A5" s="10" t="s">
        <v>175</v>
      </c>
      <c r="B5" s="10" t="s">
        <v>179</v>
      </c>
    </row>
    <row r="6" spans="1:23">
      <c r="A6" s="10" t="s">
        <v>95</v>
      </c>
      <c r="B6" s="10" t="s">
        <v>174</v>
      </c>
    </row>
    <row r="8" spans="1:23" ht="14.45" customHeight="1">
      <c r="A8" s="17" t="s">
        <v>7</v>
      </c>
      <c r="B8" s="411"/>
      <c r="C8" s="411"/>
      <c r="D8" s="411">
        <v>2020</v>
      </c>
      <c r="E8" s="411"/>
      <c r="F8" s="411"/>
      <c r="G8" s="411"/>
      <c r="H8" s="411">
        <v>2021</v>
      </c>
      <c r="I8" s="411"/>
      <c r="J8" s="411"/>
      <c r="K8" s="411"/>
      <c r="L8" s="411">
        <v>2022</v>
      </c>
      <c r="M8" s="411"/>
      <c r="N8" s="411"/>
      <c r="O8" s="411"/>
      <c r="P8" s="411">
        <v>2023</v>
      </c>
      <c r="Q8" s="411"/>
      <c r="R8" s="411"/>
      <c r="S8" s="411"/>
      <c r="T8" s="411"/>
      <c r="U8" s="411"/>
      <c r="V8" s="411"/>
      <c r="W8" s="411"/>
    </row>
    <row r="9" spans="1:23">
      <c r="A9" s="10" t="s">
        <v>15</v>
      </c>
      <c r="B9" s="15">
        <v>41000</v>
      </c>
      <c r="C9" s="15">
        <v>160156.25</v>
      </c>
      <c r="D9" s="15">
        <v>25.6</v>
      </c>
      <c r="E9" s="15"/>
      <c r="F9" s="15">
        <v>42000</v>
      </c>
      <c r="G9" s="15">
        <v>157894.73684210525</v>
      </c>
      <c r="H9" s="15">
        <v>26.6</v>
      </c>
      <c r="I9" s="15"/>
      <c r="J9" s="15">
        <v>41000</v>
      </c>
      <c r="K9" s="15">
        <v>158301.15830115828</v>
      </c>
      <c r="L9" s="15">
        <v>25.9</v>
      </c>
      <c r="M9" s="15"/>
      <c r="N9" s="15">
        <v>41000</v>
      </c>
      <c r="O9" s="15">
        <v>158914.72868217053</v>
      </c>
      <c r="P9" s="15">
        <v>25.8</v>
      </c>
      <c r="Q9" s="15"/>
      <c r="R9" s="15"/>
      <c r="S9" s="15"/>
      <c r="T9" s="15"/>
      <c r="U9" s="15"/>
      <c r="V9" s="15"/>
      <c r="W9" s="15"/>
    </row>
    <row r="10" spans="1:23">
      <c r="A10" s="10" t="s">
        <v>16</v>
      </c>
      <c r="B10" s="15">
        <v>25000</v>
      </c>
      <c r="C10" s="15">
        <v>100806.45161290323</v>
      </c>
      <c r="D10" s="15">
        <v>24.8</v>
      </c>
      <c r="E10" s="15"/>
      <c r="F10" s="15">
        <v>27000</v>
      </c>
      <c r="G10" s="15">
        <v>103053.43511450381</v>
      </c>
      <c r="H10" s="15">
        <v>26.2</v>
      </c>
      <c r="I10" s="15"/>
      <c r="J10" s="15">
        <v>26000</v>
      </c>
      <c r="K10" s="15">
        <v>101960.78431372548</v>
      </c>
      <c r="L10" s="15">
        <v>25.5</v>
      </c>
      <c r="M10" s="15"/>
      <c r="N10" s="15">
        <v>27000</v>
      </c>
      <c r="O10" s="15">
        <v>103846.15384615384</v>
      </c>
      <c r="P10" s="15">
        <v>26</v>
      </c>
      <c r="Q10" s="15"/>
      <c r="R10" s="15"/>
      <c r="S10" s="15"/>
      <c r="T10" s="15"/>
      <c r="U10" s="15"/>
      <c r="V10" s="15"/>
      <c r="W10" s="15"/>
    </row>
    <row r="11" spans="1:23">
      <c r="A11" s="10" t="s">
        <v>17</v>
      </c>
      <c r="B11" s="15">
        <v>9000</v>
      </c>
      <c r="C11" s="15">
        <v>33962.264150943396</v>
      </c>
      <c r="D11" s="15">
        <v>26.5</v>
      </c>
      <c r="E11" s="15"/>
      <c r="F11" s="15">
        <v>9000</v>
      </c>
      <c r="G11" s="15">
        <v>36000</v>
      </c>
      <c r="H11" s="15">
        <v>25</v>
      </c>
      <c r="I11" s="15"/>
      <c r="J11" s="15">
        <v>10000</v>
      </c>
      <c r="K11" s="15">
        <v>37037.037037037036</v>
      </c>
      <c r="L11" s="15">
        <v>27</v>
      </c>
      <c r="M11" s="15"/>
      <c r="N11" s="15">
        <v>10000</v>
      </c>
      <c r="O11" s="15">
        <v>37037.037037037036</v>
      </c>
      <c r="P11" s="15">
        <v>27</v>
      </c>
      <c r="Q11" s="15"/>
      <c r="R11" s="15"/>
      <c r="S11" s="15"/>
      <c r="T11" s="15"/>
      <c r="U11" s="15"/>
      <c r="V11" s="15"/>
      <c r="W11" s="15"/>
    </row>
    <row r="12" spans="1:23">
      <c r="A12" s="10" t="s">
        <v>18</v>
      </c>
      <c r="B12" s="15">
        <v>11000</v>
      </c>
      <c r="C12" s="15">
        <v>33950.617283950618</v>
      </c>
      <c r="D12" s="15">
        <v>32.4</v>
      </c>
      <c r="E12" s="15"/>
      <c r="F12" s="15">
        <v>12000</v>
      </c>
      <c r="G12" s="15">
        <v>37037.037037037036</v>
      </c>
      <c r="H12" s="15">
        <v>32.4</v>
      </c>
      <c r="I12" s="15"/>
      <c r="J12" s="15">
        <v>13000</v>
      </c>
      <c r="K12" s="15">
        <v>37037.037037037036</v>
      </c>
      <c r="L12" s="15">
        <v>35.1</v>
      </c>
      <c r="M12" s="15"/>
      <c r="N12" s="15">
        <v>12000</v>
      </c>
      <c r="O12" s="15">
        <v>36036.036036036043</v>
      </c>
      <c r="P12" s="15">
        <v>33.299999999999997</v>
      </c>
      <c r="Q12" s="15"/>
      <c r="R12" s="15"/>
      <c r="S12" s="15"/>
      <c r="T12" s="15"/>
      <c r="U12" s="15"/>
      <c r="V12" s="15"/>
      <c r="W12" s="15"/>
    </row>
    <row r="13" spans="1:23">
      <c r="A13" s="10" t="s">
        <v>126</v>
      </c>
      <c r="B13" s="15">
        <v>101000</v>
      </c>
      <c r="C13" s="15">
        <v>347079.03780068725</v>
      </c>
      <c r="D13" s="15">
        <v>29.1</v>
      </c>
      <c r="E13" s="15"/>
      <c r="F13" s="15">
        <v>105000</v>
      </c>
      <c r="G13" s="15">
        <v>355932.20338983054</v>
      </c>
      <c r="H13" s="15">
        <v>29.5</v>
      </c>
      <c r="I13" s="15"/>
      <c r="J13" s="15">
        <v>92000</v>
      </c>
      <c r="K13" s="15">
        <v>355212.35521235521</v>
      </c>
      <c r="L13" s="15">
        <v>25.9</v>
      </c>
      <c r="M13" s="15"/>
      <c r="N13" s="15">
        <v>95000</v>
      </c>
      <c r="O13" s="15">
        <v>366795.3667953668</v>
      </c>
      <c r="P13" s="15">
        <v>25.9</v>
      </c>
      <c r="Q13" s="15"/>
      <c r="R13" s="15"/>
      <c r="S13" s="15"/>
      <c r="T13" s="15"/>
      <c r="U13" s="15"/>
      <c r="V13" s="15"/>
      <c r="W13" s="15"/>
    </row>
    <row r="14" spans="1:23">
      <c r="A14" s="10" t="s">
        <v>19</v>
      </c>
      <c r="B14" s="15">
        <v>3500</v>
      </c>
      <c r="C14" s="15">
        <v>14000</v>
      </c>
      <c r="D14" s="15">
        <v>25</v>
      </c>
      <c r="E14" s="15"/>
      <c r="F14" s="15">
        <v>4000</v>
      </c>
      <c r="G14" s="15">
        <v>14981.2734082397</v>
      </c>
      <c r="H14" s="15">
        <v>26.7</v>
      </c>
      <c r="I14" s="15"/>
      <c r="J14" s="15">
        <v>4000</v>
      </c>
      <c r="K14" s="15">
        <v>13986.013986013984</v>
      </c>
      <c r="L14" s="15">
        <v>28.6</v>
      </c>
      <c r="M14" s="15"/>
      <c r="N14" s="15">
        <v>4000</v>
      </c>
      <c r="O14" s="15">
        <v>13986.013986013984</v>
      </c>
      <c r="P14" s="15">
        <v>28.6</v>
      </c>
      <c r="Q14" s="15"/>
      <c r="R14" s="15"/>
      <c r="S14" s="15"/>
      <c r="T14" s="15"/>
      <c r="U14" s="15"/>
      <c r="V14" s="15"/>
      <c r="W14" s="15"/>
    </row>
    <row r="15" spans="1:23">
      <c r="A15" s="10" t="s">
        <v>20</v>
      </c>
      <c r="B15" s="15">
        <v>16000</v>
      </c>
      <c r="C15" s="15">
        <v>55944.055944055937</v>
      </c>
      <c r="D15" s="15">
        <v>28.6</v>
      </c>
      <c r="E15" s="15"/>
      <c r="F15" s="15">
        <v>16000</v>
      </c>
      <c r="G15" s="15">
        <v>57971.014492753617</v>
      </c>
      <c r="H15" s="15">
        <v>27.6</v>
      </c>
      <c r="I15" s="15"/>
      <c r="J15" s="15">
        <v>17000</v>
      </c>
      <c r="K15" s="15">
        <v>59027.777777777774</v>
      </c>
      <c r="L15" s="15">
        <v>28.8</v>
      </c>
      <c r="M15" s="15"/>
      <c r="N15" s="15">
        <v>18000</v>
      </c>
      <c r="O15" s="15">
        <v>60000</v>
      </c>
      <c r="P15" s="15">
        <v>30</v>
      </c>
      <c r="Q15" s="15"/>
      <c r="R15" s="15"/>
      <c r="S15" s="15"/>
      <c r="T15" s="15"/>
      <c r="U15" s="15"/>
      <c r="V15" s="15"/>
      <c r="W15" s="15"/>
    </row>
    <row r="16" spans="1:23">
      <c r="A16" s="10" t="s">
        <v>21</v>
      </c>
      <c r="B16" s="15">
        <v>22000</v>
      </c>
      <c r="C16" s="15">
        <v>74074.074074074073</v>
      </c>
      <c r="D16" s="15">
        <v>29.7</v>
      </c>
      <c r="E16" s="15"/>
      <c r="F16" s="15">
        <v>22000</v>
      </c>
      <c r="G16" s="15">
        <v>76124.567474048454</v>
      </c>
      <c r="H16" s="15">
        <v>28.9</v>
      </c>
      <c r="I16" s="15"/>
      <c r="J16" s="15">
        <v>22000</v>
      </c>
      <c r="K16" s="15">
        <v>76124.567474048454</v>
      </c>
      <c r="L16" s="15">
        <v>28.9</v>
      </c>
      <c r="M16" s="15"/>
      <c r="N16" s="15">
        <v>22000</v>
      </c>
      <c r="O16" s="15">
        <v>79136.690647482013</v>
      </c>
      <c r="P16" s="15">
        <v>27.8</v>
      </c>
      <c r="Q16" s="15"/>
      <c r="R16" s="15"/>
      <c r="S16" s="15"/>
      <c r="T16" s="15"/>
      <c r="U16" s="15"/>
      <c r="V16" s="15"/>
      <c r="W16" s="15"/>
    </row>
    <row r="17" spans="1:23">
      <c r="A17" s="10" t="s">
        <v>22</v>
      </c>
      <c r="B17" s="15">
        <v>11000</v>
      </c>
      <c r="C17" s="15">
        <v>39007.092198581566</v>
      </c>
      <c r="D17" s="15">
        <v>28.2</v>
      </c>
      <c r="E17" s="15"/>
      <c r="F17" s="15">
        <v>12000</v>
      </c>
      <c r="G17" s="15">
        <v>40955.631399317412</v>
      </c>
      <c r="H17" s="15">
        <v>29.3</v>
      </c>
      <c r="I17" s="15"/>
      <c r="J17" s="15">
        <v>12000</v>
      </c>
      <c r="K17" s="15">
        <v>40955.631399317412</v>
      </c>
      <c r="L17" s="15">
        <v>29.3</v>
      </c>
      <c r="M17" s="15"/>
      <c r="N17" s="15">
        <v>12000</v>
      </c>
      <c r="O17" s="15">
        <v>40955.631399317412</v>
      </c>
      <c r="P17" s="15">
        <v>29.3</v>
      </c>
      <c r="Q17" s="15"/>
      <c r="R17" s="15"/>
      <c r="S17" s="15"/>
      <c r="T17" s="15"/>
      <c r="U17" s="15"/>
      <c r="V17" s="15"/>
      <c r="W17" s="15"/>
    </row>
    <row r="18" spans="1:23">
      <c r="A18" s="10" t="s">
        <v>23</v>
      </c>
      <c r="B18" s="15">
        <v>7000</v>
      </c>
      <c r="C18" s="15">
        <v>23972.60273972603</v>
      </c>
      <c r="D18" s="15">
        <v>29.2</v>
      </c>
      <c r="E18" s="15"/>
      <c r="F18" s="15">
        <v>7000</v>
      </c>
      <c r="G18" s="15">
        <v>26022.304832713759</v>
      </c>
      <c r="H18" s="15">
        <v>26.9</v>
      </c>
      <c r="I18" s="15"/>
      <c r="J18" s="15">
        <v>7000</v>
      </c>
      <c r="K18" s="15">
        <v>26022.304832713759</v>
      </c>
      <c r="L18" s="15">
        <v>26.9</v>
      </c>
      <c r="M18" s="15"/>
      <c r="N18" s="15">
        <v>7000</v>
      </c>
      <c r="O18" s="15">
        <v>26022.304832713759</v>
      </c>
      <c r="P18" s="15">
        <v>26.9</v>
      </c>
      <c r="Q18" s="15"/>
      <c r="R18" s="15"/>
      <c r="S18" s="15"/>
      <c r="T18" s="15"/>
      <c r="U18" s="15"/>
      <c r="V18" s="15"/>
      <c r="W18" s="15"/>
    </row>
    <row r="19" spans="1:23">
      <c r="A19" s="10" t="s">
        <v>24</v>
      </c>
      <c r="B19" s="15">
        <v>9000</v>
      </c>
      <c r="C19" s="15">
        <v>31034.482758620692</v>
      </c>
      <c r="D19" s="15">
        <v>29</v>
      </c>
      <c r="E19" s="15"/>
      <c r="F19" s="15">
        <v>10000</v>
      </c>
      <c r="G19" s="15">
        <v>33003.300330033002</v>
      </c>
      <c r="H19" s="15">
        <v>30.3</v>
      </c>
      <c r="I19" s="15"/>
      <c r="J19" s="15">
        <v>10000</v>
      </c>
      <c r="K19" s="15">
        <v>34013.605442176871</v>
      </c>
      <c r="L19" s="15">
        <v>29.4</v>
      </c>
      <c r="M19" s="15"/>
      <c r="N19" s="15">
        <v>9000</v>
      </c>
      <c r="O19" s="15">
        <v>32967.032967032967</v>
      </c>
      <c r="P19" s="15">
        <v>27.3</v>
      </c>
      <c r="Q19" s="15"/>
      <c r="R19" s="15"/>
      <c r="S19" s="15"/>
      <c r="T19" s="15"/>
      <c r="U19" s="15"/>
      <c r="V19" s="15"/>
      <c r="W19" s="15"/>
    </row>
    <row r="20" spans="1:23">
      <c r="A20" s="10" t="s">
        <v>25</v>
      </c>
      <c r="B20" s="15">
        <v>6000</v>
      </c>
      <c r="C20" s="15">
        <v>20979.020979020977</v>
      </c>
      <c r="D20" s="15">
        <v>28.6</v>
      </c>
      <c r="E20" s="15"/>
      <c r="F20" s="15">
        <v>7000</v>
      </c>
      <c r="G20" s="15">
        <v>22012.578616352203</v>
      </c>
      <c r="H20" s="15">
        <v>31.8</v>
      </c>
      <c r="I20" s="15"/>
      <c r="J20" s="15">
        <v>7000</v>
      </c>
      <c r="K20" s="15">
        <v>21021.021021021024</v>
      </c>
      <c r="L20" s="15">
        <v>33.299999999999997</v>
      </c>
      <c r="M20" s="15"/>
      <c r="N20" s="15">
        <v>7000</v>
      </c>
      <c r="O20" s="15">
        <v>21021.021021021024</v>
      </c>
      <c r="P20" s="15">
        <v>33.299999999999997</v>
      </c>
      <c r="Q20" s="15"/>
      <c r="R20" s="15"/>
      <c r="S20" s="15"/>
      <c r="T20" s="15"/>
      <c r="U20" s="15"/>
      <c r="V20" s="15"/>
      <c r="W20" s="15"/>
    </row>
    <row r="21" spans="1:23">
      <c r="A21" s="10" t="s">
        <v>26</v>
      </c>
      <c r="B21" s="15">
        <v>16000</v>
      </c>
      <c r="C21" s="15">
        <v>62992.125984251965</v>
      </c>
      <c r="D21" s="15">
        <v>25.4</v>
      </c>
      <c r="E21" s="15"/>
      <c r="F21" s="15">
        <v>17000</v>
      </c>
      <c r="G21" s="15">
        <v>66929.133858267713</v>
      </c>
      <c r="H21" s="15">
        <v>25.4</v>
      </c>
      <c r="I21" s="15"/>
      <c r="J21" s="15">
        <v>16000</v>
      </c>
      <c r="K21" s="15">
        <v>66115.702479338841</v>
      </c>
      <c r="L21" s="15">
        <v>24.2</v>
      </c>
      <c r="M21" s="15"/>
      <c r="N21" s="15">
        <v>20000</v>
      </c>
      <c r="O21" s="15">
        <v>71942.446043165459</v>
      </c>
      <c r="P21" s="15">
        <v>27.8</v>
      </c>
      <c r="Q21" s="15"/>
      <c r="R21" s="15"/>
      <c r="S21" s="15"/>
      <c r="T21" s="15"/>
      <c r="U21" s="15"/>
      <c r="V21" s="15"/>
      <c r="W21" s="15"/>
    </row>
    <row r="22" spans="1:23">
      <c r="A22" s="10" t="s">
        <v>27</v>
      </c>
      <c r="B22" s="15">
        <v>34000</v>
      </c>
      <c r="C22" s="15">
        <v>127819.54887218044</v>
      </c>
      <c r="D22" s="15">
        <v>26.6</v>
      </c>
      <c r="E22" s="15"/>
      <c r="F22" s="15">
        <v>37000</v>
      </c>
      <c r="G22" s="15">
        <v>137037.03703703702</v>
      </c>
      <c r="H22" s="15">
        <v>27</v>
      </c>
      <c r="I22" s="15"/>
      <c r="J22" s="15">
        <v>37000</v>
      </c>
      <c r="K22" s="15">
        <v>135036.49635036499</v>
      </c>
      <c r="L22" s="15">
        <v>27.4</v>
      </c>
      <c r="M22" s="15"/>
      <c r="N22" s="15">
        <v>36000</v>
      </c>
      <c r="O22" s="15">
        <v>133828.99628252789</v>
      </c>
      <c r="P22" s="15">
        <v>26.9</v>
      </c>
      <c r="Q22" s="15"/>
      <c r="R22" s="15"/>
      <c r="S22" s="15"/>
      <c r="T22" s="15"/>
      <c r="U22" s="15"/>
      <c r="V22" s="15"/>
      <c r="W22" s="15"/>
    </row>
    <row r="23" spans="1:23">
      <c r="A23" s="10" t="s">
        <v>28</v>
      </c>
      <c r="B23" s="15">
        <v>126000</v>
      </c>
      <c r="C23" s="15">
        <v>406451.61290322582</v>
      </c>
      <c r="D23" s="15">
        <v>31</v>
      </c>
      <c r="E23" s="15"/>
      <c r="F23" s="15">
        <v>137000</v>
      </c>
      <c r="G23" s="15">
        <v>422839.50617283949</v>
      </c>
      <c r="H23" s="15">
        <v>32.4</v>
      </c>
      <c r="I23" s="15"/>
      <c r="J23" s="15">
        <v>135000</v>
      </c>
      <c r="K23" s="15">
        <v>435483.87096774194</v>
      </c>
      <c r="L23" s="15">
        <v>31</v>
      </c>
      <c r="M23" s="15"/>
      <c r="N23" s="15">
        <v>132000</v>
      </c>
      <c r="O23" s="15">
        <v>441471.57190635451</v>
      </c>
      <c r="P23" s="15">
        <v>29.9</v>
      </c>
      <c r="Q23" s="15"/>
      <c r="R23" s="15"/>
      <c r="S23" s="15"/>
      <c r="T23" s="15"/>
      <c r="U23" s="15"/>
      <c r="V23" s="15"/>
      <c r="W23" s="15"/>
    </row>
    <row r="24" spans="1:23">
      <c r="A24" s="10" t="s">
        <v>29</v>
      </c>
      <c r="B24" s="15">
        <v>33000</v>
      </c>
      <c r="C24" s="15">
        <v>107142.85714285714</v>
      </c>
      <c r="D24" s="15">
        <v>30.8</v>
      </c>
      <c r="E24" s="15"/>
      <c r="F24" s="15">
        <v>35000</v>
      </c>
      <c r="G24" s="15">
        <v>112179.48717948717</v>
      </c>
      <c r="H24" s="15">
        <v>31.2</v>
      </c>
      <c r="I24" s="15"/>
      <c r="J24" s="15">
        <v>37000</v>
      </c>
      <c r="K24" s="15">
        <v>113846.15384615384</v>
      </c>
      <c r="L24" s="15">
        <v>32.5</v>
      </c>
      <c r="M24" s="15"/>
      <c r="N24" s="15">
        <v>37000</v>
      </c>
      <c r="O24" s="15">
        <v>117088.60759493671</v>
      </c>
      <c r="P24" s="15">
        <v>31.6</v>
      </c>
      <c r="Q24" s="15"/>
      <c r="R24" s="15"/>
      <c r="S24" s="15"/>
      <c r="T24" s="15"/>
      <c r="U24" s="15"/>
      <c r="V24" s="15"/>
      <c r="W24" s="15"/>
    </row>
    <row r="25" spans="1:23">
      <c r="A25" s="10" t="s">
        <v>30</v>
      </c>
      <c r="B25" s="15">
        <v>7000</v>
      </c>
      <c r="C25" s="15">
        <v>26022.304832713759</v>
      </c>
      <c r="D25" s="15">
        <v>26.9</v>
      </c>
      <c r="E25" s="15"/>
      <c r="F25" s="15">
        <v>8000</v>
      </c>
      <c r="G25" s="15">
        <v>25974.025974025975</v>
      </c>
      <c r="H25" s="15">
        <v>30.8</v>
      </c>
      <c r="I25" s="15"/>
      <c r="J25" s="15">
        <v>7000</v>
      </c>
      <c r="K25" s="15">
        <v>24999.999999999996</v>
      </c>
      <c r="L25" s="15">
        <v>28</v>
      </c>
      <c r="M25" s="15"/>
      <c r="N25" s="15">
        <v>7000</v>
      </c>
      <c r="O25" s="15">
        <v>23972.60273972603</v>
      </c>
      <c r="P25" s="15">
        <v>29.2</v>
      </c>
      <c r="Q25" s="15"/>
      <c r="R25" s="15"/>
      <c r="S25" s="15"/>
      <c r="T25" s="15"/>
      <c r="U25" s="15"/>
      <c r="V25" s="15"/>
      <c r="W25" s="15"/>
    </row>
    <row r="26" spans="1:23">
      <c r="A26" s="10" t="s">
        <v>31</v>
      </c>
      <c r="B26" s="15">
        <v>9000</v>
      </c>
      <c r="C26" s="15">
        <v>31034.482758620692</v>
      </c>
      <c r="D26" s="15">
        <v>29</v>
      </c>
      <c r="E26" s="15"/>
      <c r="F26" s="15">
        <v>10000</v>
      </c>
      <c r="G26" s="15">
        <v>33003.300330033002</v>
      </c>
      <c r="H26" s="15">
        <v>30.3</v>
      </c>
      <c r="I26" s="15"/>
      <c r="J26" s="15">
        <v>10000</v>
      </c>
      <c r="K26" s="15">
        <v>33003.300330033002</v>
      </c>
      <c r="L26" s="15">
        <v>30.3</v>
      </c>
      <c r="M26" s="15"/>
      <c r="N26" s="15">
        <v>10000</v>
      </c>
      <c r="O26" s="15">
        <v>33003.300330033002</v>
      </c>
      <c r="P26" s="15">
        <v>30.3</v>
      </c>
      <c r="Q26" s="15"/>
      <c r="R26" s="15"/>
      <c r="S26" s="15"/>
      <c r="T26" s="15"/>
      <c r="U26" s="15"/>
      <c r="V26" s="15"/>
      <c r="W26" s="15"/>
    </row>
    <row r="27" spans="1:23">
      <c r="A27" s="10" t="s">
        <v>32</v>
      </c>
      <c r="B27" s="15">
        <v>9000</v>
      </c>
      <c r="C27" s="15">
        <v>35019.455252918284</v>
      </c>
      <c r="D27" s="15">
        <v>25.7</v>
      </c>
      <c r="E27" s="15"/>
      <c r="F27" s="15">
        <v>10000</v>
      </c>
      <c r="G27" s="15">
        <v>35971.223021582729</v>
      </c>
      <c r="H27" s="15">
        <v>27.8</v>
      </c>
      <c r="I27" s="15"/>
      <c r="J27" s="15">
        <v>10000</v>
      </c>
      <c r="K27" s="15">
        <v>37037.037037037036</v>
      </c>
      <c r="L27" s="15">
        <v>27</v>
      </c>
      <c r="M27" s="15"/>
      <c r="N27" s="15">
        <v>9000</v>
      </c>
      <c r="O27" s="15">
        <v>37037.037037037036</v>
      </c>
      <c r="P27" s="15">
        <v>24.3</v>
      </c>
      <c r="Q27" s="15"/>
      <c r="R27" s="15"/>
      <c r="S27" s="15"/>
      <c r="T27" s="15"/>
      <c r="U27" s="15"/>
      <c r="V27" s="15"/>
      <c r="W27" s="15"/>
    </row>
    <row r="28" spans="1:23">
      <c r="A28" s="10" t="s">
        <v>33</v>
      </c>
      <c r="B28" s="15">
        <v>2500</v>
      </c>
      <c r="C28" s="15">
        <v>11013.215859030837</v>
      </c>
      <c r="D28" s="15">
        <v>22.7</v>
      </c>
      <c r="E28" s="15"/>
      <c r="F28" s="15">
        <v>2500</v>
      </c>
      <c r="G28" s="15">
        <v>12019.230769230768</v>
      </c>
      <c r="H28" s="15">
        <v>20.8</v>
      </c>
      <c r="I28" s="15"/>
      <c r="J28" s="15">
        <v>3000</v>
      </c>
      <c r="K28" s="15">
        <v>12000</v>
      </c>
      <c r="L28" s="15">
        <v>25</v>
      </c>
      <c r="M28" s="15"/>
      <c r="N28" s="15">
        <v>3000</v>
      </c>
      <c r="O28" s="15">
        <v>12000</v>
      </c>
      <c r="P28" s="15">
        <v>25</v>
      </c>
      <c r="Q28" s="15"/>
      <c r="R28" s="15"/>
      <c r="S28" s="15"/>
      <c r="T28" s="15"/>
      <c r="U28" s="15"/>
      <c r="V28" s="15"/>
      <c r="W28" s="15"/>
    </row>
    <row r="29" spans="1:23">
      <c r="A29" s="10" t="s">
        <v>34</v>
      </c>
      <c r="B29" s="15">
        <v>12000</v>
      </c>
      <c r="C29" s="15">
        <v>38961.038961038961</v>
      </c>
      <c r="D29" s="15">
        <v>30.8</v>
      </c>
      <c r="E29" s="15"/>
      <c r="F29" s="15">
        <v>14000</v>
      </c>
      <c r="G29" s="15">
        <v>41055.718475073314</v>
      </c>
      <c r="H29" s="15">
        <v>34.1</v>
      </c>
      <c r="I29" s="15"/>
      <c r="J29" s="15">
        <v>14000</v>
      </c>
      <c r="K29" s="15">
        <v>42042.042042042049</v>
      </c>
      <c r="L29" s="15">
        <v>33.299999999999997</v>
      </c>
      <c r="M29" s="15"/>
      <c r="N29" s="15">
        <v>17000</v>
      </c>
      <c r="O29" s="15">
        <v>44041.450777202073</v>
      </c>
      <c r="P29" s="15">
        <v>38.6</v>
      </c>
      <c r="Q29" s="15"/>
      <c r="R29" s="15"/>
      <c r="S29" s="15"/>
      <c r="T29" s="15"/>
      <c r="U29" s="15"/>
      <c r="V29" s="15"/>
      <c r="W29" s="15"/>
    </row>
    <row r="30" spans="1:23">
      <c r="A30" s="10" t="s">
        <v>35</v>
      </c>
      <c r="B30" s="15">
        <v>34000</v>
      </c>
      <c r="C30" s="15">
        <v>133858.26771653543</v>
      </c>
      <c r="D30" s="15">
        <v>25.4</v>
      </c>
      <c r="E30" s="15"/>
      <c r="F30" s="15">
        <v>36000</v>
      </c>
      <c r="G30" s="15">
        <v>133828.99628252789</v>
      </c>
      <c r="H30" s="15">
        <v>26.9</v>
      </c>
      <c r="I30" s="15"/>
      <c r="J30" s="15">
        <v>36000</v>
      </c>
      <c r="K30" s="15">
        <v>129963.89891696752</v>
      </c>
      <c r="L30" s="15">
        <v>27.7</v>
      </c>
      <c r="M30" s="15"/>
      <c r="N30" s="15">
        <v>35000</v>
      </c>
      <c r="O30" s="15">
        <v>131086.14232209738</v>
      </c>
      <c r="P30" s="15">
        <v>26.7</v>
      </c>
      <c r="Q30" s="15"/>
      <c r="R30" s="15"/>
      <c r="S30" s="15"/>
      <c r="T30" s="15"/>
      <c r="U30" s="15"/>
      <c r="V30" s="15"/>
      <c r="W30" s="15"/>
    </row>
    <row r="31" spans="1:23">
      <c r="A31" s="10" t="s">
        <v>36</v>
      </c>
      <c r="B31" s="15">
        <v>2500</v>
      </c>
      <c r="C31" s="15">
        <v>11013.215859030837</v>
      </c>
      <c r="D31" s="15">
        <v>22.7</v>
      </c>
      <c r="E31" s="15"/>
      <c r="F31" s="15">
        <v>2500</v>
      </c>
      <c r="G31" s="15">
        <v>12019.230769230768</v>
      </c>
      <c r="H31" s="15">
        <v>20.8</v>
      </c>
      <c r="I31" s="15"/>
      <c r="J31" s="15">
        <v>2500</v>
      </c>
      <c r="K31" s="15">
        <v>11013.215859030837</v>
      </c>
      <c r="L31" s="15">
        <v>22.7</v>
      </c>
      <c r="M31" s="15"/>
      <c r="N31" s="15">
        <v>2500</v>
      </c>
      <c r="O31" s="15">
        <v>12019.230769230768</v>
      </c>
      <c r="P31" s="15">
        <v>20.8</v>
      </c>
      <c r="Q31" s="15"/>
      <c r="R31" s="15"/>
      <c r="S31" s="15"/>
      <c r="T31" s="15"/>
      <c r="U31" s="15"/>
      <c r="V31" s="15"/>
      <c r="W31" s="15"/>
    </row>
    <row r="32" spans="1:23">
      <c r="A32" s="10" t="s">
        <v>37</v>
      </c>
      <c r="B32" s="15">
        <v>19000</v>
      </c>
      <c r="C32" s="15">
        <v>61093.247588424434</v>
      </c>
      <c r="D32" s="15">
        <v>31.1</v>
      </c>
      <c r="E32" s="15"/>
      <c r="F32" s="15">
        <v>20000</v>
      </c>
      <c r="G32" s="15">
        <v>64102.564102564102</v>
      </c>
      <c r="H32" s="15">
        <v>31.2</v>
      </c>
      <c r="I32" s="15"/>
      <c r="J32" s="15">
        <v>20000</v>
      </c>
      <c r="K32" s="15">
        <v>64102.564102564102</v>
      </c>
      <c r="L32" s="15">
        <v>31.2</v>
      </c>
      <c r="M32" s="15"/>
      <c r="N32" s="15">
        <v>21000</v>
      </c>
      <c r="O32" s="15">
        <v>66037.735849056597</v>
      </c>
      <c r="P32" s="15">
        <v>31.8</v>
      </c>
      <c r="Q32" s="15"/>
      <c r="R32" s="15"/>
      <c r="S32" s="15"/>
      <c r="T32" s="15"/>
      <c r="U32" s="15"/>
      <c r="V32" s="15"/>
      <c r="W32" s="15"/>
    </row>
    <row r="33" spans="1:23">
      <c r="A33" s="10" t="s">
        <v>38</v>
      </c>
      <c r="B33" s="15">
        <v>30000</v>
      </c>
      <c r="C33" s="15">
        <v>84033.613445378141</v>
      </c>
      <c r="D33" s="15">
        <v>35.700000000000003</v>
      </c>
      <c r="E33" s="15"/>
      <c r="F33" s="15">
        <v>30000</v>
      </c>
      <c r="G33" s="15">
        <v>83102.493074792248</v>
      </c>
      <c r="H33" s="15">
        <v>36.1</v>
      </c>
      <c r="I33" s="15"/>
      <c r="J33" s="15">
        <v>30000</v>
      </c>
      <c r="K33" s="15">
        <v>84033.613445378141</v>
      </c>
      <c r="L33" s="15">
        <v>35.700000000000003</v>
      </c>
      <c r="M33" s="15"/>
      <c r="N33" s="15">
        <v>29000</v>
      </c>
      <c r="O33" s="15">
        <v>84057.971014492767</v>
      </c>
      <c r="P33" s="15">
        <v>34.5</v>
      </c>
      <c r="Q33" s="15"/>
      <c r="R33" s="15"/>
      <c r="S33" s="15"/>
      <c r="T33" s="15"/>
      <c r="U33" s="15"/>
      <c r="V33" s="15"/>
      <c r="W33" s="15"/>
    </row>
    <row r="34" spans="1:23">
      <c r="A34" s="10" t="s">
        <v>39</v>
      </c>
      <c r="B34" s="15">
        <v>11000</v>
      </c>
      <c r="C34" s="15">
        <v>41984.732824427476</v>
      </c>
      <c r="D34" s="15">
        <v>26.2</v>
      </c>
      <c r="E34" s="15"/>
      <c r="F34" s="15">
        <v>11000</v>
      </c>
      <c r="G34" s="15">
        <v>41984.732824427476</v>
      </c>
      <c r="H34" s="15">
        <v>26.2</v>
      </c>
      <c r="I34" s="15"/>
      <c r="J34" s="15">
        <v>12000</v>
      </c>
      <c r="K34" s="15">
        <v>43010.752688172048</v>
      </c>
      <c r="L34" s="15">
        <v>27.9</v>
      </c>
      <c r="M34" s="15"/>
      <c r="N34" s="15">
        <v>12000</v>
      </c>
      <c r="O34" s="15">
        <v>43956.043956043955</v>
      </c>
      <c r="P34" s="15">
        <v>27.3</v>
      </c>
      <c r="Q34" s="15"/>
      <c r="R34" s="15"/>
      <c r="S34" s="15"/>
      <c r="T34" s="15"/>
      <c r="U34" s="15"/>
      <c r="V34" s="15"/>
      <c r="W34" s="15"/>
    </row>
    <row r="35" spans="1:23">
      <c r="A35" s="10" t="s">
        <v>40</v>
      </c>
      <c r="B35" s="15">
        <v>3000</v>
      </c>
      <c r="C35" s="15">
        <v>14018.691588785046</v>
      </c>
      <c r="D35" s="15">
        <v>21.4</v>
      </c>
      <c r="E35" s="15"/>
      <c r="F35" s="15">
        <v>3000</v>
      </c>
      <c r="G35" s="15">
        <v>15000</v>
      </c>
      <c r="H35" s="15">
        <v>20</v>
      </c>
      <c r="I35" s="15"/>
      <c r="J35" s="15">
        <v>3000</v>
      </c>
      <c r="K35" s="15">
        <v>14018.691588785046</v>
      </c>
      <c r="L35" s="15">
        <v>21.4</v>
      </c>
      <c r="M35" s="15"/>
      <c r="N35" s="15">
        <v>3000</v>
      </c>
      <c r="O35" s="15">
        <v>14018.691588785046</v>
      </c>
      <c r="P35" s="15">
        <v>21.4</v>
      </c>
      <c r="Q35" s="15"/>
      <c r="R35" s="15"/>
      <c r="S35" s="15"/>
      <c r="T35" s="15"/>
      <c r="U35" s="15"/>
      <c r="V35" s="15"/>
      <c r="W35" s="15"/>
    </row>
    <row r="36" spans="1:23">
      <c r="A36" s="10" t="s">
        <v>41</v>
      </c>
      <c r="B36" s="15">
        <v>13000</v>
      </c>
      <c r="C36" s="15">
        <v>44067.796610169491</v>
      </c>
      <c r="D36" s="15">
        <v>29.5</v>
      </c>
      <c r="E36" s="15"/>
      <c r="F36" s="15">
        <v>15000</v>
      </c>
      <c r="G36" s="15">
        <v>46012.269938650308</v>
      </c>
      <c r="H36" s="15">
        <v>32.6</v>
      </c>
      <c r="I36" s="15"/>
      <c r="J36" s="15">
        <v>14000</v>
      </c>
      <c r="K36" s="15">
        <v>46052.631578947367</v>
      </c>
      <c r="L36" s="15">
        <v>30.4</v>
      </c>
      <c r="M36" s="15"/>
      <c r="N36" s="15">
        <v>14000</v>
      </c>
      <c r="O36" s="15">
        <v>46052.631578947367</v>
      </c>
      <c r="P36" s="15">
        <v>30.4</v>
      </c>
      <c r="Q36" s="15"/>
      <c r="R36" s="15"/>
      <c r="S36" s="15"/>
      <c r="T36" s="15"/>
      <c r="U36" s="15"/>
      <c r="V36" s="15"/>
      <c r="W36" s="15"/>
    </row>
    <row r="37" spans="1:23">
      <c r="A37" s="10" t="s">
        <v>42</v>
      </c>
      <c r="B37" s="15">
        <v>34000</v>
      </c>
      <c r="C37" s="15">
        <v>116838.48797250858</v>
      </c>
      <c r="D37" s="15">
        <v>29.1</v>
      </c>
      <c r="E37" s="15"/>
      <c r="F37" s="15">
        <v>36000</v>
      </c>
      <c r="G37" s="15">
        <v>118811.88118811882</v>
      </c>
      <c r="H37" s="15">
        <v>30.3</v>
      </c>
      <c r="I37" s="15"/>
      <c r="J37" s="15">
        <v>35000</v>
      </c>
      <c r="K37" s="15">
        <v>115894.03973509934</v>
      </c>
      <c r="L37" s="15">
        <v>30.2</v>
      </c>
      <c r="M37" s="15"/>
      <c r="N37" s="15">
        <v>36000</v>
      </c>
      <c r="O37" s="15">
        <v>118032.78688524591</v>
      </c>
      <c r="P37" s="15">
        <v>30.5</v>
      </c>
      <c r="Q37" s="15"/>
      <c r="R37" s="15"/>
      <c r="S37" s="15"/>
      <c r="T37" s="15"/>
      <c r="U37" s="15"/>
      <c r="V37" s="15"/>
      <c r="W37" s="15"/>
    </row>
    <row r="38" spans="1:23">
      <c r="A38" s="10" t="s">
        <v>235</v>
      </c>
      <c r="B38" s="15">
        <f>SUM(B37,B30)</f>
        <v>68000</v>
      </c>
      <c r="C38" s="15">
        <f>SUM(C37,C30)</f>
        <v>250696.75568904402</v>
      </c>
      <c r="D38" s="15">
        <f>(B38/C38)*100</f>
        <v>27.124403669724771</v>
      </c>
      <c r="E38" s="15"/>
      <c r="F38" s="15">
        <f>SUM(F37,F30)</f>
        <v>72000</v>
      </c>
      <c r="G38" s="15">
        <f>SUM(G37,G30)</f>
        <v>252640.87747064669</v>
      </c>
      <c r="H38" s="15">
        <f>(F38/G38)*100</f>
        <v>28.498951048951049</v>
      </c>
      <c r="I38" s="15"/>
      <c r="J38" s="15">
        <f>SUM(J37,J30)</f>
        <v>71000</v>
      </c>
      <c r="K38" s="15">
        <f>SUM(K37,K30)</f>
        <v>245857.93865206686</v>
      </c>
      <c r="L38" s="15">
        <f>(J38/K38)*100</f>
        <v>28.878465502990224</v>
      </c>
      <c r="M38" s="15"/>
      <c r="N38" s="15">
        <f>SUM(N37,N30)</f>
        <v>71000</v>
      </c>
      <c r="O38" s="15">
        <f>SUM(O37,O30)</f>
        <v>249118.92920734329</v>
      </c>
      <c r="P38" s="15">
        <f>(N38/O38)*100</f>
        <v>28.500443633854189</v>
      </c>
      <c r="Q38" s="15"/>
      <c r="R38" s="15"/>
      <c r="S38" s="15"/>
      <c r="T38" s="15"/>
      <c r="U38" s="15"/>
      <c r="V38" s="15"/>
      <c r="W38" s="15"/>
    </row>
    <row r="39" spans="1:23">
      <c r="A39" s="10" t="s">
        <v>43</v>
      </c>
      <c r="B39" s="15">
        <v>15000</v>
      </c>
      <c r="C39" s="15">
        <v>46012.269938650308</v>
      </c>
      <c r="D39" s="15">
        <v>32.6</v>
      </c>
      <c r="E39" s="15"/>
      <c r="F39" s="15">
        <v>16000</v>
      </c>
      <c r="G39" s="15">
        <v>45977.011494252874</v>
      </c>
      <c r="H39" s="15">
        <v>34.799999999999997</v>
      </c>
      <c r="I39" s="15"/>
      <c r="J39" s="15">
        <v>17000</v>
      </c>
      <c r="K39" s="15">
        <v>46961.325966850825</v>
      </c>
      <c r="L39" s="15">
        <v>36.200000000000003</v>
      </c>
      <c r="M39" s="15"/>
      <c r="N39" s="15">
        <v>16000</v>
      </c>
      <c r="O39" s="15">
        <v>47058.823529411762</v>
      </c>
      <c r="P39" s="15">
        <v>34</v>
      </c>
      <c r="Q39" s="15"/>
      <c r="R39" s="15"/>
      <c r="S39" s="15"/>
      <c r="T39" s="15"/>
      <c r="U39" s="15"/>
      <c r="V39" s="15"/>
      <c r="W39" s="15"/>
    </row>
    <row r="40" spans="1:23">
      <c r="A40" s="10" t="s">
        <v>44</v>
      </c>
      <c r="B40" s="15">
        <v>8000</v>
      </c>
      <c r="C40" s="15">
        <v>32000</v>
      </c>
      <c r="D40" s="15">
        <v>25</v>
      </c>
      <c r="E40" s="15"/>
      <c r="F40" s="15">
        <v>10000</v>
      </c>
      <c r="G40" s="15">
        <v>33003.300330033002</v>
      </c>
      <c r="H40" s="15">
        <v>30.3</v>
      </c>
      <c r="I40" s="15"/>
      <c r="J40" s="15">
        <v>9000</v>
      </c>
      <c r="K40" s="15">
        <v>32028.469750889675</v>
      </c>
      <c r="L40" s="15">
        <v>28.1</v>
      </c>
      <c r="M40" s="15"/>
      <c r="N40" s="15">
        <v>9000</v>
      </c>
      <c r="O40" s="15">
        <v>32967.032967032967</v>
      </c>
      <c r="P40" s="15">
        <v>27.3</v>
      </c>
      <c r="Q40" s="15"/>
      <c r="R40" s="15"/>
      <c r="S40" s="15"/>
      <c r="T40" s="15"/>
      <c r="U40" s="15"/>
      <c r="V40" s="15"/>
      <c r="W40" s="15"/>
    </row>
    <row r="41" spans="1:23">
      <c r="A41" s="10" t="s">
        <v>45</v>
      </c>
      <c r="B41" s="15">
        <v>22000</v>
      </c>
      <c r="C41" s="15">
        <v>75085.324232081912</v>
      </c>
      <c r="D41" s="15">
        <v>29.3</v>
      </c>
      <c r="E41" s="15"/>
      <c r="F41" s="15">
        <v>24000</v>
      </c>
      <c r="G41" s="15">
        <v>76923.076923076922</v>
      </c>
      <c r="H41" s="15">
        <v>31.2</v>
      </c>
      <c r="I41" s="15"/>
      <c r="J41" s="15">
        <v>23000</v>
      </c>
      <c r="K41" s="15">
        <v>75907.590759075916</v>
      </c>
      <c r="L41" s="15">
        <v>30.3</v>
      </c>
      <c r="M41" s="15"/>
      <c r="N41" s="15">
        <v>21000</v>
      </c>
      <c r="O41" s="15">
        <v>76086.956521739121</v>
      </c>
      <c r="P41" s="15">
        <v>27.6</v>
      </c>
      <c r="Q41" s="15"/>
      <c r="R41" s="15"/>
      <c r="S41" s="15"/>
      <c r="T41" s="15"/>
      <c r="U41" s="15"/>
      <c r="V41" s="15"/>
      <c r="W41" s="15"/>
    </row>
    <row r="42" spans="1:23">
      <c r="A42" s="10"/>
      <c r="B42" s="15"/>
      <c r="C42" s="15"/>
      <c r="D42" s="12"/>
      <c r="E42" s="15"/>
      <c r="F42" s="15"/>
      <c r="G42" s="15"/>
      <c r="H42" s="12"/>
      <c r="I42" s="15"/>
      <c r="J42" s="15"/>
      <c r="K42" s="15"/>
      <c r="L42" s="12"/>
      <c r="M42" s="15"/>
      <c r="N42" s="15"/>
      <c r="O42" s="15"/>
      <c r="P42" s="12"/>
      <c r="Q42" s="15"/>
      <c r="R42" s="15"/>
      <c r="S42" s="15"/>
      <c r="T42" s="15"/>
      <c r="U42" s="15"/>
      <c r="V42" s="15"/>
      <c r="W42" s="15"/>
    </row>
    <row r="43" spans="1:23">
      <c r="A43" s="10" t="s">
        <v>173</v>
      </c>
      <c r="B43" s="15">
        <v>9063000</v>
      </c>
      <c r="C43" s="15">
        <v>29521172.638436481</v>
      </c>
      <c r="D43" s="15">
        <v>30.7</v>
      </c>
      <c r="E43" s="15"/>
      <c r="F43" s="15">
        <v>9312000</v>
      </c>
      <c r="G43" s="15">
        <v>30332247.55700326</v>
      </c>
      <c r="H43" s="15">
        <v>30.7</v>
      </c>
      <c r="I43" s="15"/>
      <c r="J43" s="15">
        <v>9545000</v>
      </c>
      <c r="K43" s="15">
        <v>30889967.637540452</v>
      </c>
      <c r="L43" s="15">
        <v>30.9</v>
      </c>
      <c r="M43" s="15"/>
      <c r="N43" s="15">
        <v>9482000</v>
      </c>
      <c r="O43" s="15">
        <v>31397350.993377484</v>
      </c>
      <c r="P43" s="15">
        <v>30.2</v>
      </c>
      <c r="Q43" s="15"/>
      <c r="R43" s="15"/>
      <c r="S43" s="15"/>
      <c r="T43" s="15"/>
      <c r="U43" s="15"/>
      <c r="V43" s="15"/>
      <c r="W43" s="15"/>
    </row>
    <row r="44" spans="1:23">
      <c r="A44" s="10" t="s">
        <v>46</v>
      </c>
      <c r="B44" s="15">
        <v>701000</v>
      </c>
      <c r="C44" s="15">
        <v>2442508.7108013937</v>
      </c>
      <c r="D44" s="15">
        <v>28.7</v>
      </c>
      <c r="E44" s="15"/>
      <c r="F44" s="15">
        <v>746000</v>
      </c>
      <c r="G44" s="15">
        <v>2520270.2702702698</v>
      </c>
      <c r="H44" s="15">
        <v>29.6</v>
      </c>
      <c r="I44" s="15"/>
      <c r="J44" s="15">
        <v>731000</v>
      </c>
      <c r="K44" s="15">
        <v>2520689.6551724141</v>
      </c>
      <c r="L44" s="15">
        <v>29</v>
      </c>
      <c r="M44" s="15"/>
      <c r="N44" s="15">
        <v>737000</v>
      </c>
      <c r="O44" s="15">
        <v>2559027.7777777775</v>
      </c>
      <c r="P44" s="15">
        <v>28.8</v>
      </c>
      <c r="Q44" s="15"/>
      <c r="R44" s="15"/>
      <c r="S44" s="15"/>
      <c r="T44" s="15"/>
      <c r="U44" s="15"/>
      <c r="V44" s="15"/>
      <c r="W44" s="15"/>
    </row>
    <row r="45" spans="1:23">
      <c r="A45" s="10" t="s">
        <v>156</v>
      </c>
      <c r="B45" s="15" cm="1">
        <f t="array" ref="B45">SUM(SUMIFS(B$9:B$41,$A$9:$A$41,{"Aberdeen City","Aberdeenshire"}))</f>
        <v>66000</v>
      </c>
      <c r="C45" s="15" cm="1">
        <f t="array" ref="C45">SUM(SUMIFS(C$9:C$41,$A$9:$A$41,{"Aberdeen City","Aberdeenshire"}))</f>
        <v>260962.70161290321</v>
      </c>
      <c r="D45" s="14">
        <f t="shared" ref="D45:D52" si="0">SUM(B45/C45)*100</f>
        <v>25.290970545630131</v>
      </c>
      <c r="E45" s="15"/>
      <c r="F45" s="15" cm="1">
        <f t="array" ref="F45">SUM(SUMIFS(F$9:F$41,$A$9:$A$41,{"Aberdeen City","Aberdeenshire"}))</f>
        <v>69000</v>
      </c>
      <c r="G45" s="15" cm="1">
        <f t="array" ref="G45">SUM(SUMIFS(G$9:G$41,$A$9:$A$41,{"Aberdeen City","Aberdeenshire"}))</f>
        <v>260948.17195660906</v>
      </c>
      <c r="H45" s="14">
        <f t="shared" ref="H45:H52" si="1">SUM(F45/G45)*100</f>
        <v>26.442032332563514</v>
      </c>
      <c r="I45" s="15"/>
      <c r="J45" s="15" cm="1">
        <f t="array" ref="J45">SUM(SUMIFS(J$9:J$41,$A$9:$A$41,{"Aberdeen City","Aberdeenshire"}))</f>
        <v>67000</v>
      </c>
      <c r="K45" s="15" cm="1">
        <f t="array" ref="K45">SUM(SUMIFS(K$9:K$41,$A$9:$A$41,{"Aberdeen City","Aberdeenshire"}))</f>
        <v>260261.94261488377</v>
      </c>
      <c r="L45" s="14">
        <f t="shared" ref="L45:L52" si="2">SUM(J45/K45)*100</f>
        <v>25.743295130606786</v>
      </c>
      <c r="M45" s="15"/>
      <c r="N45" s="15" cm="1">
        <f t="array" ref="N45">SUM(SUMIFS(N$9:N$41,$A$9:$A$41,{"Aberdeen City","Aberdeenshire"}))</f>
        <v>68000</v>
      </c>
      <c r="O45" s="15" cm="1">
        <f t="array" ref="O45">SUM(SUMIFS(O$9:O$41,$A$9:$A$41,{"Aberdeen City","Aberdeenshire"}))</f>
        <v>262760.88252832438</v>
      </c>
      <c r="P45" s="14">
        <f t="shared" ref="P45:P52" si="3">SUM(N45/O45)*100</f>
        <v>25.879042323839784</v>
      </c>
      <c r="Q45" s="15"/>
    </row>
    <row r="46" spans="1:23">
      <c r="A46" s="10" t="s">
        <v>359</v>
      </c>
      <c r="B46" s="47" cm="1">
        <f t="array" ref="B46">SUM(SUMIFS(B$9:B$41,$A$9:$A$41,{"Falkirk","Stirling","Clackmannanshire"}))</f>
        <v>34500</v>
      </c>
      <c r="C46" s="47" cm="1">
        <f t="array" ref="C46">SUM(SUMIFS(C$9:C$41,$A$9:$A$41,{"Falkirk","Stirling","Clackmannanshire"}))</f>
        <v>123004.39592290227</v>
      </c>
      <c r="D46" s="13">
        <f t="shared" ref="D46" si="4">SUM(B46/C46)*100</f>
        <v>28.047778082357478</v>
      </c>
      <c r="E46" s="7"/>
      <c r="F46" s="47" cm="1">
        <f t="array" ref="F46">SUM(SUMIFS(F$9:F$41,$A$9:$A$41,{"Falkirk","Stirling","Clackmannanshire"}))</f>
        <v>37000</v>
      </c>
      <c r="G46" s="47" cm="1">
        <f t="array" ref="G46">SUM(SUMIFS(G$9:G$41,$A$9:$A$41,{"Falkirk","Stirling","Clackmannanshire"}))</f>
        <v>127887.41876076028</v>
      </c>
      <c r="H46" s="13">
        <f t="shared" ref="H46" si="5">SUM(F46/G46)*100</f>
        <v>28.931696611389203</v>
      </c>
      <c r="I46" s="7"/>
      <c r="J46" s="47" cm="1">
        <f t="array" ref="J46">SUM(SUMIFS(J$9:J$41,$A$9:$A$41,{"Falkirk","Stirling","Clackmannanshire"}))</f>
        <v>37000</v>
      </c>
      <c r="K46" s="47" cm="1">
        <f t="array" ref="K46">SUM(SUMIFS(K$9:K$41,$A$9:$A$41,{"Falkirk","Stirling","Clackmannanshire"}))</f>
        <v>127063.04243220366</v>
      </c>
      <c r="L46" s="13">
        <f t="shared" ref="L46" si="6">SUM(J46/K46)*100</f>
        <v>29.119403480159772</v>
      </c>
      <c r="M46" s="7"/>
      <c r="N46" s="47" cm="1">
        <f t="array" ref="N46">SUM(SUMIFS(N$9:N$41,$A$9:$A$41,{"Falkirk","Stirling","Clackmannanshire"}))</f>
        <v>40000</v>
      </c>
      <c r="O46" s="47" cm="1">
        <f t="array" ref="O46">SUM(SUMIFS(O$9:O$41,$A$9:$A$41,{"Falkirk","Stirling","Clackmannanshire"}))</f>
        <v>132987.28355859121</v>
      </c>
      <c r="P46" s="13">
        <f t="shared" ref="P46" si="7">SUM(N46/O46)*100</f>
        <v>30.078063804030482</v>
      </c>
      <c r="Q46" s="7"/>
    </row>
    <row r="47" spans="1:23">
      <c r="A47" s="10" t="s">
        <v>157</v>
      </c>
      <c r="B47" s="47" cm="1">
        <f t="array" ref="B47">SUM(SUMIFS(B$9:B$41,$A$9:$A$41,{"East Lothian","Edinburgh, City of","Fife","Midlothian","Scottish Borders","West Lothian"}))</f>
        <v>186000</v>
      </c>
      <c r="C47" s="47" cm="1">
        <f t="array" ref="C47">SUM(SUMIFS(C$9:C$41,$A$9:$A$41,{"East Lothian","Edinburgh, City of","Fife","Midlothian","Scottish Borders","West Lothian"}))</f>
        <v>654037.60924661835</v>
      </c>
      <c r="D47" s="14">
        <f t="shared" si="0"/>
        <v>28.438731560751101</v>
      </c>
      <c r="E47" s="15"/>
      <c r="F47" s="47" cm="1">
        <f t="array" ref="F47">SUM(SUMIFS(F$9:F$41,$A$9:$A$41,{"East Lothian","Edinburgh, City of","Fife","Midlothian","Scottish Borders","West Lothian"}))</f>
        <v>197000</v>
      </c>
      <c r="G47" s="47" cm="1">
        <f t="array" ref="G47">SUM(SUMIFS(G$9:G$41,$A$9:$A$41,{"East Lothian","Edinburgh, City of","Fife","Midlothian","Scottish Borders","West Lothian"}))</f>
        <v>677883.65083443793</v>
      </c>
      <c r="H47" s="14">
        <f t="shared" si="1"/>
        <v>29.061034258239403</v>
      </c>
      <c r="I47" s="15"/>
      <c r="J47" s="47" cm="1">
        <f t="array" ref="J47">SUM(SUMIFS(J$9:J$41,$A$9:$A$41,{"East Lothian","Edinburgh, City of","Fife","Midlothian","Scottish Borders","West Lothian"}))</f>
        <v>184000</v>
      </c>
      <c r="K47" s="47" cm="1">
        <f t="array" ref="K47">SUM(SUMIFS(K$9:K$41,$A$9:$A$41,{"East Lothian","Edinburgh, City of","Fife","Midlothian","Scottish Borders","West Lothian"}))</f>
        <v>676184.10078217811</v>
      </c>
      <c r="L47" s="14">
        <f t="shared" si="2"/>
        <v>27.211524167332151</v>
      </c>
      <c r="M47" s="15"/>
      <c r="N47" s="47" cm="1">
        <f t="array" ref="N47">SUM(SUMIFS(N$9:N$41,$A$9:$A$41,{"East Lothian","Edinburgh, City of","Fife","Midlothian","Scottish Borders","West Lothian"}))</f>
        <v>183000</v>
      </c>
      <c r="O47" s="47" cm="1">
        <f t="array" ref="O47">SUM(SUMIFS(O$9:O$41,$A$9:$A$41,{"East Lothian","Edinburgh, City of","Fife","Midlothian","Scottish Borders","West Lothian"}))</f>
        <v>686637.69685274374</v>
      </c>
      <c r="P47" s="14">
        <f t="shared" si="3"/>
        <v>26.651609842977521</v>
      </c>
      <c r="Q47" s="15"/>
    </row>
    <row r="48" spans="1:23">
      <c r="A48" s="10" t="s">
        <v>158</v>
      </c>
      <c r="B48" s="47" cm="1">
        <f t="array" ref="B48">SUM(SUMIFS(B$9:B$41,$A$9:$A$41,{"Angus","Dundee City","Fife","Perth and Kinross"}))</f>
        <v>84000</v>
      </c>
      <c r="C48" s="47" cm="1">
        <f t="array" ref="C48">SUM(SUMIFS(C$9:C$41,$A$9:$A$41,{"Angus","Dundee City","Fife","Perth and Kinross"}))</f>
        <v>296949.13468562235</v>
      </c>
      <c r="D48" s="14">
        <f t="shared" si="0"/>
        <v>28.287672933928608</v>
      </c>
      <c r="E48" s="15"/>
      <c r="F48" s="47" cm="1">
        <f t="array" ref="F48">SUM(SUMIFS(F$9:F$41,$A$9:$A$41,{"Angus","Dundee City","Fife","Perth and Kinross"}))</f>
        <v>88000</v>
      </c>
      <c r="G48" s="47" cm="1">
        <f t="array" ref="G48">SUM(SUMIFS(G$9:G$41,$A$9:$A$41,{"Angus","Dundee City","Fife","Perth and Kinross"}))</f>
        <v>313264.16861364961</v>
      </c>
      <c r="H48" s="14">
        <f t="shared" si="1"/>
        <v>28.091307215071531</v>
      </c>
      <c r="I48" s="15"/>
      <c r="J48" s="47" cm="1">
        <f t="array" ref="J48">SUM(SUMIFS(J$9:J$41,$A$9:$A$41,{"Angus","Dundee City","Fife","Perth and Kinross"}))</f>
        <v>89000</v>
      </c>
      <c r="K48" s="47" cm="1">
        <f t="array" ref="K48">SUM(SUMIFS(K$9:K$41,$A$9:$A$41,{"Angus","Dundee City","Fife","Perth and Kinross"}))</f>
        <v>312300.66496401461</v>
      </c>
      <c r="L48" s="14">
        <f t="shared" si="2"/>
        <v>28.498178193202111</v>
      </c>
      <c r="M48" s="15"/>
      <c r="N48" s="47" cm="1">
        <f t="array" ref="N48">SUM(SUMIFS(N$9:N$41,$A$9:$A$41,{"Angus","Dundee City","Fife","Perth and Kinross"}))</f>
        <v>89000</v>
      </c>
      <c r="O48" s="47" cm="1">
        <f t="array" ref="O48">SUM(SUMIFS(O$9:O$41,$A$9:$A$41,{"Angus","Dundee City","Fife","Perth and Kinross"}))</f>
        <v>316040.45981610357</v>
      </c>
      <c r="P48" s="14">
        <f t="shared" si="3"/>
        <v>28.16095130724306</v>
      </c>
      <c r="Q48" s="15"/>
    </row>
    <row r="49" spans="1:23">
      <c r="A49" s="10" t="s">
        <v>246</v>
      </c>
      <c r="B49" s="47" cm="1">
        <f t="array" ref="B49">SUM(SUMIFS(B$9:B$41,$A$9:$A$41,{"Na h-Eileanan Siar","Argyll and Bute","Shetland Islands","Highland","Orkney Islands","Scottish Borders","Dumfries and Galloway","Aberdeenshire"}))</f>
        <v>104000</v>
      </c>
      <c r="C49" s="47">
        <f>SUM(SUMIFS(C$9:C$41,$A$9:$A$41,{"Na h-Eileanan Siar","Argyll and Bute","Shetland Islands","Highland","Orkney Islands","Scottish Borders","Dumfries and Galloway","Aberdeenshire"}))</f>
        <v>375873.83811504114</v>
      </c>
      <c r="D49" s="13">
        <f t="shared" si="0"/>
        <v>27.668858391833439</v>
      </c>
      <c r="E49" s="7"/>
      <c r="F49" s="47">
        <f>SUM(SUMIFS(F$9:F$41,$A$9:$A$41,{"Na h-Eileanan Siar","Argyll and Bute","Shetland Islands","Highland","Orkney Islands","Scottish Borders","Dumfries and Galloway","Aberdeenshire"}))</f>
        <v>109000</v>
      </c>
      <c r="G49" s="47">
        <f>SUM(SUMIFS(G$9:G$41,$A$9:$A$41,{"Na h-Eileanan Siar","Argyll and Bute","Shetland Islands","Highland","Orkney Islands","Scottish Borders","Dumfries and Galloway","Aberdeenshire"}))</f>
        <v>391264.16818667063</v>
      </c>
      <c r="H49" s="13">
        <f t="shared" si="1"/>
        <v>27.858416093956379</v>
      </c>
      <c r="I49" s="7"/>
      <c r="J49" s="47">
        <f>SUM(SUMIFS(J$9:J$41,$A$9:$A$41,{"Na h-Eileanan Siar","Argyll and Bute","Shetland Islands","Highland","Orkney Islands","Scottish Borders","Dumfries and Galloway","Aberdeenshire"}))</f>
        <v>113500</v>
      </c>
      <c r="K49" s="47">
        <f>SUM(SUMIFS(K$9:K$41,$A$9:$A$41,{"Na h-Eileanan Siar","Argyll and Bute","Shetland Islands","Highland","Orkney Islands","Scottish Borders","Dumfries and Galloway","Aberdeenshire"}))</f>
        <v>391914.41311068204</v>
      </c>
      <c r="L49" s="13">
        <f t="shared" si="2"/>
        <v>28.96040467078868</v>
      </c>
      <c r="M49" s="7"/>
      <c r="N49" s="47">
        <f>SUM(SUMIFS(N$9:N$41,$A$9:$A$41,{"Na h-Eileanan Siar","Argyll and Bute","Shetland Islands","Highland","Orkney Islands","Scottish Borders","Dumfries and Galloway","Aberdeenshire"}))</f>
        <v>114500</v>
      </c>
      <c r="O49" s="47">
        <f>SUM(SUMIFS(O$9:O$41,$A$9:$A$41,{"Na h-Eileanan Siar","Argyll and Bute","Shetland Islands","Highland","Orkney Islands","Scottish Borders","Dumfries and Galloway","Aberdeenshire"}))</f>
        <v>398964.76379118639</v>
      </c>
      <c r="P49" s="13">
        <f t="shared" si="3"/>
        <v>28.699276325046085</v>
      </c>
      <c r="Q49" s="7"/>
    </row>
    <row r="50" spans="1:23">
      <c r="A50" s="10" t="s">
        <v>247</v>
      </c>
      <c r="B50" s="47">
        <f>SUM(SUMIFS(B$9:B$41,$A$9:$A$41,{"Perth and Kinross","Stirling","Moray","South Ayrshire","East Ayrshire","East Lothian","North Ayrshire","Fife"}))</f>
        <v>122000</v>
      </c>
      <c r="C50" s="47">
        <f>SUM(SUMIFS(C$9:C$41,$A$9:$A$41,{"Perth and Kinross","Stirling","Moray","South Ayrshire","East Ayrshire","East Lothian","North Ayrshire","Fife"}))</f>
        <v>423014.93218058423</v>
      </c>
      <c r="D50" s="13">
        <f t="shared" si="0"/>
        <v>28.840589473072892</v>
      </c>
      <c r="E50" s="7"/>
      <c r="F50" s="47">
        <f>SUM(SUMIFS(F$9:F$41,$A$9:$A$41,{"Perth and Kinross","Stirling","Moray","South Ayrshire","East Ayrshire","East Lothian","North Ayrshire","Fife"}))</f>
        <v>134000</v>
      </c>
      <c r="G50" s="47">
        <f>SUM(SUMIFS(G$9:G$41,$A$9:$A$41,{"Perth and Kinross","Stirling","Moray","South Ayrshire","East Ayrshire","East Lothian","North Ayrshire","Fife"}))</f>
        <v>444114.7557985108</v>
      </c>
      <c r="H50" s="13">
        <f t="shared" si="1"/>
        <v>30.172381856367341</v>
      </c>
      <c r="I50" s="7"/>
      <c r="J50" s="47">
        <f>SUM(SUMIFS(J$9:J$41,$A$9:$A$41,{"Perth and Kinross","Stirling","Moray","South Ayrshire","East Ayrshire","East Lothian","North Ayrshire","Fife"}))</f>
        <v>134000</v>
      </c>
      <c r="K50" s="47">
        <f>SUM(SUMIFS(K$9:K$41,$A$9:$A$41,{"Perth and Kinross","Stirling","Moray","South Ayrshire","East Ayrshire","East Lothian","North Ayrshire","Fife"}))</f>
        <v>446201.33391930064</v>
      </c>
      <c r="L50" s="13">
        <f t="shared" si="2"/>
        <v>30.031286285718512</v>
      </c>
      <c r="M50" s="7"/>
      <c r="N50" s="47">
        <f>SUM(SUMIFS(N$9:N$41,$A$9:$A$41,{"Perth and Kinross","Stirling","Moray","South Ayrshire","East Ayrshire","East Lothian","North Ayrshire","Fife"}))</f>
        <v>134000</v>
      </c>
      <c r="O50" s="47">
        <f>SUM(SUMIFS(O$9:O$41,$A$9:$A$41,{"Perth and Kinross","Stirling","Moray","South Ayrshire","East Ayrshire","East Lothian","North Ayrshire","Fife"}))</f>
        <v>447979.33942053316</v>
      </c>
      <c r="P50" s="13">
        <f t="shared" si="3"/>
        <v>29.912093752656244</v>
      </c>
      <c r="Q50" s="7"/>
    </row>
    <row r="51" spans="1:23">
      <c r="A51" s="10" t="s">
        <v>248</v>
      </c>
      <c r="B51" s="47">
        <f>SUM(SUMIFS(B$9:B$41,$A$9:$A$41,{"Angus","Clackmannanshire","Midlothian","South Lanarkshire","Inverclyde","Renfrewshire","West Lothian","East Renfrewshire"}))</f>
        <v>120500</v>
      </c>
      <c r="C51" s="47">
        <f>SUM(SUMIFS(C$9:C$41,$A$9:$A$41,{"Angus","Clackmannanshire","Midlothian","South Lanarkshire","Inverclyde","Renfrewshire","West Lothian","East Renfrewshire"}))</f>
        <v>401955.49837126746</v>
      </c>
      <c r="D51" s="13">
        <f t="shared" si="0"/>
        <v>29.978443008807854</v>
      </c>
      <c r="E51" s="7"/>
      <c r="F51" s="47">
        <f>SUM(SUMIFS(F$9:F$41,$A$9:$A$41,{"Angus","Clackmannanshire","Midlothian","South Lanarkshire","Inverclyde","Renfrewshire","West Lothian","East Renfrewshire"}))</f>
        <v>128000</v>
      </c>
      <c r="G51" s="47">
        <f>SUM(SUMIFS(G$9:G$41,$A$9:$A$41,{"Angus","Clackmannanshire","Midlothian","South Lanarkshire","Inverclyde","Renfrewshire","West Lothian","East Renfrewshire"}))</f>
        <v>410808.62951463892</v>
      </c>
      <c r="H51" s="13">
        <f t="shared" si="1"/>
        <v>31.158060177856804</v>
      </c>
      <c r="I51" s="7"/>
      <c r="J51" s="47">
        <f>SUM(SUMIFS(J$9:J$41,$A$9:$A$41,{"Angus","Clackmannanshire","Midlothian","South Lanarkshire","Inverclyde","Renfrewshire","West Lothian","East Renfrewshire"}))</f>
        <v>126000</v>
      </c>
      <c r="K51" s="47">
        <f>SUM(SUMIFS(K$9:K$41,$A$9:$A$41,{"Angus","Clackmannanshire","Midlothian","South Lanarkshire","Inverclyde","Renfrewshire","West Lothian","East Renfrewshire"}))</f>
        <v>405882.61631365848</v>
      </c>
      <c r="L51" s="13">
        <f t="shared" si="2"/>
        <v>31.043458117119645</v>
      </c>
      <c r="M51" s="7"/>
      <c r="N51" s="47">
        <f>SUM(SUMIFS(N$9:N$41,$A$9:$A$41,{"Angus","Clackmannanshire","Midlothian","South Lanarkshire","Inverclyde","Renfrewshire","West Lothian","East Renfrewshire"}))</f>
        <v>124000</v>
      </c>
      <c r="O51" s="47">
        <f>SUM(SUMIFS(O$9:O$41,$A$9:$A$41,{"Angus","Clackmannanshire","Midlothian","South Lanarkshire","Inverclyde","Renfrewshire","West Lothian","East Renfrewshire"}))</f>
        <v>407197.68953530886</v>
      </c>
      <c r="P51" s="13">
        <f t="shared" si="3"/>
        <v>30.45203919047476</v>
      </c>
      <c r="Q51" s="7"/>
    </row>
    <row r="52" spans="1:23">
      <c r="A52" s="10" t="s">
        <v>249</v>
      </c>
      <c r="B52" s="47">
        <f>SUM(SUMIFS(B$9:B$41,$A$9:$A$41,{"North Lanarkshire","Falkirk","East Dunbartonshire","Aberdeen City","Edinburgh, City of","West Dunbartonshire","Dundee City","Glasgow City"}))</f>
        <v>355000</v>
      </c>
      <c r="C52" s="47">
        <f>SUM(SUMIFS(C$9:C$41,$A$9:$A$41,{"North Lanarkshire","Falkirk","East Dunbartonshire","Aberdeen City","Edinburgh, City of","West Dunbartonshire","Dundee City","Glasgow City"}))</f>
        <v>1240583.9712185005</v>
      </c>
      <c r="D52" s="13">
        <f t="shared" si="0"/>
        <v>28.615555918501776</v>
      </c>
      <c r="E52" s="7"/>
      <c r="F52" s="47">
        <f>SUM(SUMIFS(F$9:F$41,$A$9:$A$41,{"North Lanarkshire","Falkirk","East Dunbartonshire","Aberdeen City","Edinburgh, City of","West Dunbartonshire","Dundee City","Glasgow City"}))</f>
        <v>376000</v>
      </c>
      <c r="G52" s="47">
        <f>SUM(SUMIFS(G$9:G$41,$A$9:$A$41,{"North Lanarkshire","Falkirk","East Dunbartonshire","Aberdeen City","Edinburgh, City of","West Dunbartonshire","Dundee City","Glasgow City"}))</f>
        <v>1272574.7491823661</v>
      </c>
      <c r="H52" s="13">
        <f t="shared" si="1"/>
        <v>29.546397981068019</v>
      </c>
      <c r="I52" s="7"/>
      <c r="J52" s="47">
        <f>SUM(SUMIFS(J$9:J$41,$A$9:$A$41,{"North Lanarkshire","Falkirk","East Dunbartonshire","Aberdeen City","Edinburgh, City of","West Dunbartonshire","Dundee City","Glasgow City"}))</f>
        <v>358000</v>
      </c>
      <c r="K52" s="47">
        <f>SUM(SUMIFS(K$9:K$41,$A$9:$A$41,{"North Lanarkshire","Falkirk","East Dunbartonshire","Aberdeen City","Edinburgh, City of","West Dunbartonshire","Dundee City","Glasgow City"}))</f>
        <v>1279252.3279352137</v>
      </c>
      <c r="L52" s="13">
        <f t="shared" si="2"/>
        <v>27.985096621073374</v>
      </c>
      <c r="M52" s="7"/>
      <c r="N52" s="47">
        <f>SUM(SUMIFS(N$9:N$41,$A$9:$A$41,{"North Lanarkshire","Falkirk","East Dunbartonshire","Aberdeen City","Edinburgh, City of","West Dunbartonshire","Dundee City","Glasgow City"}))</f>
        <v>361000</v>
      </c>
      <c r="O52" s="47">
        <f>SUM(SUMIFS(O$9:O$41,$A$9:$A$41,{"North Lanarkshire","Falkirk","East Dunbartonshire","Aberdeen City","Edinburgh, City of","West Dunbartonshire","Dundee City","Glasgow City"}))</f>
        <v>1308336.2841963836</v>
      </c>
      <c r="P52" s="13">
        <f t="shared" si="3"/>
        <v>27.592294455223815</v>
      </c>
      <c r="Q52" s="7"/>
    </row>
    <row r="53" spans="1:23">
      <c r="A53" s="10" t="s">
        <v>48</v>
      </c>
      <c r="B53" s="15">
        <v>252000</v>
      </c>
      <c r="C53" s="15">
        <v>845637.58389261749</v>
      </c>
      <c r="D53" s="15">
        <v>29.8</v>
      </c>
      <c r="E53" s="15"/>
      <c r="F53" s="15">
        <v>271000</v>
      </c>
      <c r="G53" s="15">
        <v>865814.69648562302</v>
      </c>
      <c r="H53" s="15">
        <v>31.3</v>
      </c>
      <c r="I53" s="15"/>
      <c r="J53" s="15">
        <v>266000</v>
      </c>
      <c r="K53" s="15">
        <v>872131.14754098363</v>
      </c>
      <c r="L53" s="15">
        <v>30.5</v>
      </c>
      <c r="M53" s="15"/>
      <c r="N53" s="15">
        <v>263000</v>
      </c>
      <c r="O53" s="15">
        <v>876666.66666666674</v>
      </c>
      <c r="P53" s="15">
        <v>30</v>
      </c>
      <c r="Q53" s="15"/>
      <c r="R53" s="15"/>
      <c r="S53" s="15"/>
      <c r="T53" s="15"/>
      <c r="U53" s="15"/>
      <c r="V53" s="15"/>
      <c r="W53" s="15"/>
    </row>
    <row r="54" spans="1:23">
      <c r="B54" s="15"/>
      <c r="C54" s="15"/>
      <c r="D54" s="12"/>
      <c r="E54" s="15"/>
      <c r="F54" s="15"/>
      <c r="G54" s="15"/>
      <c r="H54" s="12"/>
      <c r="I54" s="15"/>
      <c r="J54" s="15"/>
      <c r="K54" s="15"/>
      <c r="L54" s="12"/>
      <c r="M54" s="15"/>
      <c r="N54" s="15"/>
      <c r="O54" s="15"/>
      <c r="P54" s="12"/>
    </row>
    <row r="55" spans="1:23">
      <c r="B55" s="15"/>
      <c r="C55" s="15"/>
      <c r="D55" s="12"/>
      <c r="E55" s="15"/>
      <c r="F55" s="15"/>
      <c r="G55" s="15"/>
      <c r="H55" s="12"/>
      <c r="I55" s="15"/>
      <c r="J55" s="15"/>
      <c r="K55" s="15"/>
      <c r="L55" s="12"/>
      <c r="M55" s="15"/>
      <c r="N55" s="15"/>
      <c r="O55" s="15"/>
      <c r="P55" s="12"/>
    </row>
    <row r="56" spans="1:23">
      <c r="A56" s="2"/>
      <c r="B56" s="15"/>
      <c r="C56" s="15"/>
      <c r="D56" s="12"/>
      <c r="E56" s="15"/>
      <c r="F56" s="15"/>
      <c r="G56" s="15"/>
      <c r="H56" s="12"/>
      <c r="I56" s="15"/>
      <c r="J56" s="15"/>
      <c r="K56" s="15"/>
      <c r="L56" s="12"/>
      <c r="M56" s="15"/>
      <c r="N56" s="15"/>
      <c r="O56" s="15"/>
      <c r="P56" s="12"/>
    </row>
    <row r="57" spans="1:23">
      <c r="B57" s="15"/>
      <c r="C57" s="15"/>
      <c r="D57" s="12"/>
      <c r="E57" s="15"/>
      <c r="F57" s="15"/>
      <c r="G57" s="15"/>
      <c r="H57" s="12"/>
      <c r="I57" s="15"/>
      <c r="J57" s="15"/>
      <c r="K57" s="15"/>
      <c r="L57" s="12"/>
      <c r="M57" s="15"/>
      <c r="N57" s="15"/>
      <c r="O57" s="15"/>
      <c r="P57" s="12"/>
    </row>
    <row r="58" spans="1:23">
      <c r="B58" s="15"/>
      <c r="C58" s="15"/>
      <c r="D58" s="12"/>
      <c r="E58" s="15"/>
      <c r="F58" s="15"/>
      <c r="G58" s="15"/>
      <c r="H58" s="12"/>
      <c r="I58" s="15"/>
      <c r="J58" s="15"/>
      <c r="K58" s="15"/>
      <c r="L58" s="12"/>
      <c r="M58" s="15"/>
      <c r="N58" s="15"/>
      <c r="O58" s="15"/>
      <c r="P58" s="12"/>
    </row>
    <row r="59" spans="1:23" ht="15.75">
      <c r="A59" s="1"/>
      <c r="B59" s="15"/>
      <c r="C59" s="15"/>
      <c r="D59" s="12"/>
      <c r="E59" s="15"/>
      <c r="F59" s="15"/>
      <c r="G59" s="15"/>
      <c r="H59" s="12"/>
      <c r="I59" s="15"/>
      <c r="J59" s="15"/>
      <c r="K59" s="15"/>
      <c r="L59" s="12"/>
      <c r="M59" s="15"/>
      <c r="N59" s="15"/>
      <c r="O59" s="15"/>
      <c r="P59" s="12"/>
    </row>
    <row r="60" spans="1:23">
      <c r="A60" s="2"/>
      <c r="B60" s="15"/>
      <c r="C60" s="15"/>
      <c r="D60" s="12"/>
      <c r="E60" s="15"/>
      <c r="F60" s="15"/>
      <c r="G60" s="15"/>
      <c r="H60" s="12"/>
      <c r="I60" s="15"/>
      <c r="J60" s="15"/>
      <c r="K60" s="15"/>
      <c r="L60" s="12"/>
      <c r="M60" s="15"/>
      <c r="N60" s="15"/>
      <c r="O60" s="15"/>
      <c r="P60" s="12"/>
    </row>
    <row r="61" spans="1:23">
      <c r="B61" s="15"/>
      <c r="C61" s="15"/>
      <c r="D61" s="12"/>
      <c r="E61" s="15"/>
      <c r="F61" s="15"/>
      <c r="G61" s="15"/>
      <c r="H61" s="12"/>
      <c r="I61" s="15"/>
      <c r="J61" s="15"/>
      <c r="K61" s="15"/>
      <c r="L61" s="12"/>
      <c r="M61" s="15"/>
      <c r="N61" s="15"/>
      <c r="O61" s="15"/>
      <c r="P61" s="12"/>
    </row>
    <row r="62" spans="1:23">
      <c r="A62" s="10"/>
      <c r="B62" s="15"/>
      <c r="C62" s="15"/>
      <c r="D62" s="12"/>
      <c r="E62" s="15"/>
      <c r="F62" s="15"/>
      <c r="G62" s="15"/>
      <c r="H62" s="12"/>
      <c r="I62" s="15"/>
      <c r="J62" s="15"/>
      <c r="K62" s="15"/>
      <c r="L62" s="12"/>
      <c r="M62" s="15"/>
      <c r="N62" s="15"/>
      <c r="O62" s="15"/>
      <c r="P62" s="1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sheetData>
  <conditionalFormatting sqref="A1:XFD1048576">
    <cfRule type="expression" dxfId="76"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autoPageBreaks="0"/>
  </sheetPr>
  <dimension ref="A1:S165"/>
  <sheetViews>
    <sheetView zoomScale="70" zoomScaleNormal="70" workbookViewId="0">
      <selection activeCell="T38" sqref="T38"/>
    </sheetView>
  </sheetViews>
  <sheetFormatPr defaultColWidth="8.7109375" defaultRowHeight="15"/>
  <cols>
    <col min="1" max="1" width="25" style="241" customWidth="1" collapsed="1"/>
    <col min="2" max="17" width="14" style="241" customWidth="1" collapsed="1"/>
    <col min="18" max="16384" width="8.7109375" style="241"/>
  </cols>
  <sheetData>
    <row r="1" spans="1:18" ht="15.75">
      <c r="A1" s="357" t="s">
        <v>0</v>
      </c>
    </row>
    <row r="2" spans="1:18">
      <c r="A2" s="247" t="s">
        <v>107</v>
      </c>
    </row>
    <row r="4" spans="1:18">
      <c r="A4" s="242" t="s">
        <v>2</v>
      </c>
      <c r="B4" s="242" t="s">
        <v>3</v>
      </c>
    </row>
    <row r="5" spans="1:18">
      <c r="A5" s="242" t="s">
        <v>4</v>
      </c>
      <c r="B5" s="242" t="s">
        <v>109</v>
      </c>
    </row>
    <row r="7" spans="1:18" ht="21.95" customHeight="1">
      <c r="A7" s="358" t="s">
        <v>7</v>
      </c>
      <c r="B7" s="473" t="s">
        <v>230</v>
      </c>
      <c r="C7" s="475"/>
      <c r="D7" s="475"/>
      <c r="E7" s="475"/>
      <c r="F7" s="473" t="s">
        <v>356</v>
      </c>
      <c r="G7" s="475"/>
      <c r="H7" s="475"/>
      <c r="I7" s="475"/>
      <c r="J7" s="473" t="s">
        <v>398</v>
      </c>
      <c r="K7" s="475"/>
      <c r="L7" s="475"/>
      <c r="M7" s="475"/>
      <c r="N7" s="473" t="s">
        <v>423</v>
      </c>
      <c r="O7" s="475"/>
      <c r="P7" s="475"/>
      <c r="Q7" s="475"/>
      <c r="R7" s="359"/>
    </row>
    <row r="8" spans="1:18" ht="26.1" customHeight="1">
      <c r="B8" s="360" t="s">
        <v>8</v>
      </c>
      <c r="C8" s="360" t="s">
        <v>9</v>
      </c>
      <c r="D8" s="360" t="s">
        <v>10</v>
      </c>
      <c r="E8" s="360" t="s">
        <v>11</v>
      </c>
      <c r="F8" s="360" t="s">
        <v>8</v>
      </c>
      <c r="G8" s="360" t="s">
        <v>9</v>
      </c>
      <c r="H8" s="360" t="s">
        <v>10</v>
      </c>
      <c r="I8" s="360" t="s">
        <v>11</v>
      </c>
      <c r="J8" s="360" t="s">
        <v>8</v>
      </c>
      <c r="K8" s="360" t="s">
        <v>9</v>
      </c>
      <c r="L8" s="360" t="s">
        <v>10</v>
      </c>
      <c r="M8" s="360" t="s">
        <v>11</v>
      </c>
      <c r="N8" s="360" t="s">
        <v>8</v>
      </c>
      <c r="O8" s="360" t="s">
        <v>9</v>
      </c>
      <c r="P8" s="360" t="s">
        <v>10</v>
      </c>
      <c r="Q8" s="360" t="s">
        <v>11</v>
      </c>
    </row>
    <row r="9" spans="1:18">
      <c r="A9" s="242" t="s">
        <v>15</v>
      </c>
      <c r="B9" s="243"/>
      <c r="C9" s="243"/>
      <c r="D9" s="244">
        <f t="shared" ref="D9:D41" si="0">D65-D121</f>
        <v>-2.2000000000000028</v>
      </c>
      <c r="E9" s="244"/>
      <c r="F9" s="243"/>
      <c r="G9" s="243"/>
      <c r="H9" s="244">
        <f t="shared" ref="H9:H41" si="1">H65-H121</f>
        <v>1.6000000000000085</v>
      </c>
      <c r="I9" s="244"/>
      <c r="J9" s="243"/>
      <c r="K9" s="243"/>
      <c r="L9" s="244">
        <f t="shared" ref="L9:L41" si="2">L65-L121</f>
        <v>1.4000000000000057</v>
      </c>
      <c r="M9" s="244"/>
      <c r="N9" s="243"/>
      <c r="O9" s="243"/>
      <c r="P9" s="244">
        <f t="shared" ref="P9:P41" si="3">P65-P121</f>
        <v>4</v>
      </c>
      <c r="Q9" s="244"/>
    </row>
    <row r="10" spans="1:18">
      <c r="A10" s="242" t="s">
        <v>16</v>
      </c>
      <c r="B10" s="243"/>
      <c r="C10" s="243"/>
      <c r="D10" s="244">
        <f t="shared" si="0"/>
        <v>7.1000000000000085</v>
      </c>
      <c r="E10" s="244"/>
      <c r="F10" s="243"/>
      <c r="G10" s="243"/>
      <c r="H10" s="244">
        <f t="shared" si="1"/>
        <v>10.299999999999997</v>
      </c>
      <c r="I10" s="244"/>
      <c r="J10" s="243"/>
      <c r="K10" s="243"/>
      <c r="L10" s="244">
        <f t="shared" si="2"/>
        <v>7.6999999999999886</v>
      </c>
      <c r="M10" s="244"/>
      <c r="N10" s="243"/>
      <c r="O10" s="243"/>
      <c r="P10" s="244">
        <f t="shared" si="3"/>
        <v>0.79999999999999716</v>
      </c>
      <c r="Q10" s="244"/>
    </row>
    <row r="11" spans="1:18">
      <c r="A11" s="242" t="s">
        <v>17</v>
      </c>
      <c r="B11" s="243"/>
      <c r="C11" s="243"/>
      <c r="D11" s="244">
        <f t="shared" si="0"/>
        <v>8.1000000000000085</v>
      </c>
      <c r="E11" s="244"/>
      <c r="F11" s="243"/>
      <c r="G11" s="243"/>
      <c r="H11" s="244">
        <f t="shared" si="1"/>
        <v>8.0999999999999943</v>
      </c>
      <c r="I11" s="244"/>
      <c r="J11" s="243"/>
      <c r="K11" s="243"/>
      <c r="L11" s="244">
        <f t="shared" si="2"/>
        <v>5.6999999999999886</v>
      </c>
      <c r="M11" s="244"/>
      <c r="N11" s="243"/>
      <c r="O11" s="243"/>
      <c r="P11" s="244">
        <f t="shared" si="3"/>
        <v>1.5</v>
      </c>
      <c r="Q11" s="244"/>
    </row>
    <row r="12" spans="1:18">
      <c r="A12" s="242" t="s">
        <v>18</v>
      </c>
      <c r="B12" s="243"/>
      <c r="C12" s="243"/>
      <c r="D12" s="244">
        <f t="shared" si="0"/>
        <v>5.2000000000000028</v>
      </c>
      <c r="E12" s="244"/>
      <c r="F12" s="243"/>
      <c r="G12" s="243"/>
      <c r="H12" s="244">
        <f t="shared" si="1"/>
        <v>3.9000000000000057</v>
      </c>
      <c r="I12" s="244"/>
      <c r="J12" s="243"/>
      <c r="K12" s="243"/>
      <c r="L12" s="244">
        <f t="shared" si="2"/>
        <v>-4.9000000000000057</v>
      </c>
      <c r="M12" s="244"/>
      <c r="N12" s="243"/>
      <c r="O12" s="243"/>
      <c r="P12" s="244">
        <f t="shared" si="3"/>
        <v>-1.4000000000000057</v>
      </c>
      <c r="Q12" s="244"/>
    </row>
    <row r="13" spans="1:18">
      <c r="A13" s="242" t="s">
        <v>126</v>
      </c>
      <c r="B13" s="243"/>
      <c r="C13" s="243"/>
      <c r="D13" s="244">
        <f t="shared" si="0"/>
        <v>1.5</v>
      </c>
      <c r="E13" s="244"/>
      <c r="F13" s="243"/>
      <c r="G13" s="243"/>
      <c r="H13" s="244">
        <f t="shared" si="1"/>
        <v>4.9000000000000057</v>
      </c>
      <c r="I13" s="244"/>
      <c r="J13" s="243"/>
      <c r="K13" s="243"/>
      <c r="L13" s="244">
        <f t="shared" si="2"/>
        <v>-2.4000000000000057</v>
      </c>
      <c r="M13" s="244"/>
      <c r="N13" s="243"/>
      <c r="O13" s="243"/>
      <c r="P13" s="244">
        <f t="shared" si="3"/>
        <v>3.2000000000000028</v>
      </c>
      <c r="Q13" s="244"/>
    </row>
    <row r="14" spans="1:18">
      <c r="A14" s="242" t="s">
        <v>19</v>
      </c>
      <c r="B14" s="243"/>
      <c r="C14" s="243"/>
      <c r="D14" s="244">
        <f t="shared" si="0"/>
        <v>-0.79999999999999716</v>
      </c>
      <c r="E14" s="244"/>
      <c r="F14" s="243"/>
      <c r="G14" s="243"/>
      <c r="H14" s="244">
        <f t="shared" si="1"/>
        <v>-6.7000000000000028</v>
      </c>
      <c r="I14" s="244"/>
      <c r="J14" s="243"/>
      <c r="K14" s="243"/>
      <c r="L14" s="244">
        <f t="shared" si="2"/>
        <v>3.0999999999999943</v>
      </c>
      <c r="M14" s="244"/>
      <c r="N14" s="243"/>
      <c r="O14" s="243"/>
      <c r="P14" s="244">
        <f t="shared" si="3"/>
        <v>-3.7000000000000028</v>
      </c>
      <c r="Q14" s="244"/>
    </row>
    <row r="15" spans="1:18">
      <c r="A15" s="242" t="s">
        <v>20</v>
      </c>
      <c r="B15" s="243"/>
      <c r="C15" s="243"/>
      <c r="D15" s="244">
        <f t="shared" si="0"/>
        <v>8.2000000000000028</v>
      </c>
      <c r="E15" s="244"/>
      <c r="F15" s="243"/>
      <c r="G15" s="243"/>
      <c r="H15" s="244">
        <f t="shared" si="1"/>
        <v>3.0999999999999943</v>
      </c>
      <c r="I15" s="244"/>
      <c r="J15" s="243"/>
      <c r="K15" s="243"/>
      <c r="L15" s="244">
        <f t="shared" si="2"/>
        <v>5.1000000000000085</v>
      </c>
      <c r="M15" s="244"/>
      <c r="N15" s="243"/>
      <c r="O15" s="243"/>
      <c r="P15" s="244">
        <f t="shared" si="3"/>
        <v>-5.1000000000000085</v>
      </c>
      <c r="Q15" s="244"/>
    </row>
    <row r="16" spans="1:18">
      <c r="A16" s="242" t="s">
        <v>21</v>
      </c>
      <c r="B16" s="243"/>
      <c r="C16" s="243"/>
      <c r="D16" s="244">
        <f t="shared" si="0"/>
        <v>4.6000000000000085</v>
      </c>
      <c r="E16" s="244"/>
      <c r="F16" s="243"/>
      <c r="G16" s="243"/>
      <c r="H16" s="244">
        <f t="shared" si="1"/>
        <v>3.7000000000000028</v>
      </c>
      <c r="I16" s="244"/>
      <c r="J16" s="243"/>
      <c r="K16" s="243"/>
      <c r="L16" s="244">
        <f t="shared" si="2"/>
        <v>-2</v>
      </c>
      <c r="M16" s="244"/>
      <c r="N16" s="243"/>
      <c r="O16" s="243"/>
      <c r="P16" s="244">
        <f t="shared" si="3"/>
        <v>4.2000000000000028</v>
      </c>
      <c r="Q16" s="244"/>
    </row>
    <row r="17" spans="1:17">
      <c r="A17" s="242" t="s">
        <v>22</v>
      </c>
      <c r="B17" s="243"/>
      <c r="C17" s="243"/>
      <c r="D17" s="244">
        <f t="shared" si="0"/>
        <v>2.7000000000000028</v>
      </c>
      <c r="E17" s="244"/>
      <c r="F17" s="243"/>
      <c r="G17" s="243"/>
      <c r="H17" s="244">
        <f t="shared" si="1"/>
        <v>0.59999999999999432</v>
      </c>
      <c r="I17" s="244"/>
      <c r="J17" s="243"/>
      <c r="K17" s="243"/>
      <c r="L17" s="244">
        <f t="shared" si="2"/>
        <v>4.5</v>
      </c>
      <c r="M17" s="244"/>
      <c r="N17" s="243"/>
      <c r="O17" s="243"/>
      <c r="P17" s="244">
        <f t="shared" si="3"/>
        <v>6.4000000000000057</v>
      </c>
      <c r="Q17" s="244"/>
    </row>
    <row r="18" spans="1:17">
      <c r="A18" s="242" t="s">
        <v>23</v>
      </c>
      <c r="B18" s="243"/>
      <c r="C18" s="243"/>
      <c r="D18" s="244">
        <f t="shared" si="0"/>
        <v>2.7999999999999972</v>
      </c>
      <c r="E18" s="244"/>
      <c r="F18" s="243"/>
      <c r="G18" s="243"/>
      <c r="H18" s="244">
        <f t="shared" si="1"/>
        <v>6.4000000000000057</v>
      </c>
      <c r="I18" s="244"/>
      <c r="J18" s="243"/>
      <c r="K18" s="243"/>
      <c r="L18" s="244">
        <f t="shared" si="2"/>
        <v>6.9000000000000057</v>
      </c>
      <c r="M18" s="244"/>
      <c r="N18" s="243"/>
      <c r="O18" s="243"/>
      <c r="P18" s="244">
        <f t="shared" si="3"/>
        <v>1.2999999999999972</v>
      </c>
      <c r="Q18" s="244"/>
    </row>
    <row r="19" spans="1:17">
      <c r="A19" s="242" t="s">
        <v>24</v>
      </c>
      <c r="B19" s="243"/>
      <c r="C19" s="243"/>
      <c r="D19" s="244">
        <f t="shared" si="0"/>
        <v>11.5</v>
      </c>
      <c r="E19" s="244"/>
      <c r="F19" s="243"/>
      <c r="G19" s="243"/>
      <c r="H19" s="244">
        <f t="shared" si="1"/>
        <v>-0.5</v>
      </c>
      <c r="I19" s="244"/>
      <c r="J19" s="243"/>
      <c r="K19" s="243"/>
      <c r="L19" s="244">
        <f t="shared" si="2"/>
        <v>-3.1999999999999886</v>
      </c>
      <c r="M19" s="244"/>
      <c r="N19" s="243"/>
      <c r="O19" s="243"/>
      <c r="P19" s="244">
        <f t="shared" si="3"/>
        <v>-1.8000000000000114</v>
      </c>
      <c r="Q19" s="244"/>
    </row>
    <row r="20" spans="1:17">
      <c r="A20" s="242" t="s">
        <v>25</v>
      </c>
      <c r="B20" s="243"/>
      <c r="C20" s="243"/>
      <c r="D20" s="244">
        <f t="shared" si="0"/>
        <v>3</v>
      </c>
      <c r="E20" s="244"/>
      <c r="F20" s="243"/>
      <c r="G20" s="243"/>
      <c r="H20" s="244">
        <f t="shared" si="1"/>
        <v>6.2999999999999972</v>
      </c>
      <c r="I20" s="244"/>
      <c r="J20" s="243"/>
      <c r="K20" s="243"/>
      <c r="L20" s="244">
        <f t="shared" si="2"/>
        <v>-4.3000000000000114</v>
      </c>
      <c r="M20" s="244"/>
      <c r="N20" s="243"/>
      <c r="O20" s="243"/>
      <c r="P20" s="244">
        <f t="shared" si="3"/>
        <v>-5.5</v>
      </c>
      <c r="Q20" s="244"/>
    </row>
    <row r="21" spans="1:17">
      <c r="A21" s="242" t="s">
        <v>26</v>
      </c>
      <c r="B21" s="243"/>
      <c r="C21" s="243"/>
      <c r="D21" s="244">
        <f t="shared" si="0"/>
        <v>1.3999999999999915</v>
      </c>
      <c r="E21" s="244"/>
      <c r="F21" s="243"/>
      <c r="G21" s="243"/>
      <c r="H21" s="244">
        <f t="shared" si="1"/>
        <v>10.5</v>
      </c>
      <c r="I21" s="244"/>
      <c r="J21" s="243"/>
      <c r="K21" s="243"/>
      <c r="L21" s="244">
        <f t="shared" si="2"/>
        <v>12</v>
      </c>
      <c r="M21" s="244"/>
      <c r="N21" s="243"/>
      <c r="O21" s="243"/>
      <c r="P21" s="244">
        <f t="shared" si="3"/>
        <v>9.1000000000000085</v>
      </c>
      <c r="Q21" s="244"/>
    </row>
    <row r="22" spans="1:17">
      <c r="A22" s="242" t="s">
        <v>27</v>
      </c>
      <c r="B22" s="243"/>
      <c r="C22" s="243"/>
      <c r="D22" s="244">
        <f t="shared" si="0"/>
        <v>3.5999999999999943</v>
      </c>
      <c r="E22" s="244"/>
      <c r="F22" s="243"/>
      <c r="G22" s="243"/>
      <c r="H22" s="244">
        <f t="shared" si="1"/>
        <v>1.3999999999999915</v>
      </c>
      <c r="I22" s="244"/>
      <c r="J22" s="243"/>
      <c r="K22" s="243"/>
      <c r="L22" s="244">
        <f t="shared" si="2"/>
        <v>6</v>
      </c>
      <c r="M22" s="244"/>
      <c r="N22" s="243"/>
      <c r="O22" s="243"/>
      <c r="P22" s="244">
        <f t="shared" si="3"/>
        <v>4.7999999999999972</v>
      </c>
      <c r="Q22" s="244"/>
    </row>
    <row r="23" spans="1:17">
      <c r="A23" s="242" t="s">
        <v>28</v>
      </c>
      <c r="B23" s="243"/>
      <c r="C23" s="243"/>
      <c r="D23" s="244">
        <f t="shared" si="0"/>
        <v>9.0999999999999943</v>
      </c>
      <c r="E23" s="244"/>
      <c r="F23" s="243"/>
      <c r="G23" s="243"/>
      <c r="H23" s="244">
        <f t="shared" si="1"/>
        <v>14.499999999999993</v>
      </c>
      <c r="I23" s="244"/>
      <c r="J23" s="243"/>
      <c r="K23" s="243"/>
      <c r="L23" s="244">
        <f t="shared" si="2"/>
        <v>6.7999999999999972</v>
      </c>
      <c r="M23" s="244"/>
      <c r="N23" s="243"/>
      <c r="O23" s="243"/>
      <c r="P23" s="244">
        <f t="shared" si="3"/>
        <v>1.7999999999999972</v>
      </c>
      <c r="Q23" s="244"/>
    </row>
    <row r="24" spans="1:17">
      <c r="A24" s="242" t="s">
        <v>29</v>
      </c>
      <c r="B24" s="243"/>
      <c r="C24" s="243"/>
      <c r="D24" s="244">
        <f t="shared" si="0"/>
        <v>4.7000000000000028</v>
      </c>
      <c r="E24" s="244"/>
      <c r="F24" s="243"/>
      <c r="G24" s="243"/>
      <c r="H24" s="244">
        <f t="shared" si="1"/>
        <v>5.7999999999999972</v>
      </c>
      <c r="I24" s="244"/>
      <c r="J24" s="243"/>
      <c r="K24" s="243"/>
      <c r="L24" s="244">
        <f t="shared" si="2"/>
        <v>6.1999999999999886</v>
      </c>
      <c r="M24" s="244"/>
      <c r="N24" s="243"/>
      <c r="O24" s="243"/>
      <c r="P24" s="244">
        <f t="shared" si="3"/>
        <v>-0.19999999999998863</v>
      </c>
      <c r="Q24" s="244"/>
    </row>
    <row r="25" spans="1:17">
      <c r="A25" s="242" t="s">
        <v>30</v>
      </c>
      <c r="B25" s="243"/>
      <c r="C25" s="243"/>
      <c r="D25" s="244">
        <f t="shared" si="0"/>
        <v>1.5999999999999943</v>
      </c>
      <c r="E25" s="244"/>
      <c r="F25" s="243"/>
      <c r="G25" s="243"/>
      <c r="H25" s="244">
        <f t="shared" si="1"/>
        <v>-7.8999999999999915</v>
      </c>
      <c r="I25" s="244"/>
      <c r="J25" s="243"/>
      <c r="K25" s="243"/>
      <c r="L25" s="244">
        <f t="shared" si="2"/>
        <v>-3.1000000000000085</v>
      </c>
      <c r="M25" s="244"/>
      <c r="N25" s="243"/>
      <c r="O25" s="243"/>
      <c r="P25" s="244">
        <f t="shared" si="3"/>
        <v>-2.8999999999999915</v>
      </c>
      <c r="Q25" s="244"/>
    </row>
    <row r="26" spans="1:17">
      <c r="A26" s="242" t="s">
        <v>31</v>
      </c>
      <c r="B26" s="243"/>
      <c r="C26" s="243"/>
      <c r="D26" s="244">
        <f t="shared" si="0"/>
        <v>3.6999999999999886</v>
      </c>
      <c r="E26" s="244"/>
      <c r="F26" s="243"/>
      <c r="G26" s="243"/>
      <c r="H26" s="244">
        <f t="shared" si="1"/>
        <v>4.1000000000000085</v>
      </c>
      <c r="I26" s="244"/>
      <c r="J26" s="243"/>
      <c r="K26" s="243"/>
      <c r="L26" s="244">
        <f t="shared" si="2"/>
        <v>0.5</v>
      </c>
      <c r="M26" s="244"/>
      <c r="N26" s="243"/>
      <c r="O26" s="243"/>
      <c r="P26" s="244">
        <f t="shared" si="3"/>
        <v>14.900000000000006</v>
      </c>
      <c r="Q26" s="244"/>
    </row>
    <row r="27" spans="1:17">
      <c r="A27" s="242" t="s">
        <v>32</v>
      </c>
      <c r="B27" s="243"/>
      <c r="C27" s="243"/>
      <c r="D27" s="244">
        <f t="shared" si="0"/>
        <v>8.6000000000000085</v>
      </c>
      <c r="E27" s="244"/>
      <c r="F27" s="243"/>
      <c r="G27" s="243"/>
      <c r="H27" s="244">
        <f t="shared" si="1"/>
        <v>7.9000000000000057</v>
      </c>
      <c r="I27" s="244"/>
      <c r="J27" s="243"/>
      <c r="K27" s="243"/>
      <c r="L27" s="244">
        <f t="shared" si="2"/>
        <v>13.700000000000003</v>
      </c>
      <c r="M27" s="244"/>
      <c r="N27" s="243"/>
      <c r="O27" s="243"/>
      <c r="P27" s="244">
        <f t="shared" si="3"/>
        <v>13</v>
      </c>
      <c r="Q27" s="244"/>
    </row>
    <row r="28" spans="1:17">
      <c r="A28" s="242" t="s">
        <v>33</v>
      </c>
      <c r="B28" s="243"/>
      <c r="C28" s="243"/>
      <c r="D28" s="244">
        <f t="shared" si="0"/>
        <v>-1.5999999999999943</v>
      </c>
      <c r="E28" s="244"/>
      <c r="F28" s="243"/>
      <c r="G28" s="243"/>
      <c r="H28" s="244">
        <f t="shared" si="1"/>
        <v>-2.6000000000000085</v>
      </c>
      <c r="I28" s="244"/>
      <c r="J28" s="243"/>
      <c r="K28" s="243"/>
      <c r="L28" s="244">
        <f t="shared" si="2"/>
        <v>2</v>
      </c>
      <c r="M28" s="244"/>
      <c r="N28" s="243"/>
      <c r="O28" s="243"/>
      <c r="P28" s="244">
        <f t="shared" si="3"/>
        <v>-3.2999999999999972</v>
      </c>
      <c r="Q28" s="244"/>
    </row>
    <row r="29" spans="1:17">
      <c r="A29" s="242" t="s">
        <v>34</v>
      </c>
      <c r="B29" s="243"/>
      <c r="C29" s="243"/>
      <c r="D29" s="244">
        <f t="shared" si="0"/>
        <v>9.1999999999999957</v>
      </c>
      <c r="E29" s="244"/>
      <c r="F29" s="243"/>
      <c r="G29" s="243"/>
      <c r="H29" s="244">
        <f t="shared" si="1"/>
        <v>0.69999999999998863</v>
      </c>
      <c r="I29" s="244"/>
      <c r="J29" s="243"/>
      <c r="K29" s="243"/>
      <c r="L29" s="244">
        <f t="shared" si="2"/>
        <v>3.5</v>
      </c>
      <c r="M29" s="244"/>
      <c r="N29" s="243"/>
      <c r="O29" s="243"/>
      <c r="P29" s="244">
        <f t="shared" si="3"/>
        <v>3.5</v>
      </c>
      <c r="Q29" s="244"/>
    </row>
    <row r="30" spans="1:17">
      <c r="A30" s="242" t="s">
        <v>35</v>
      </c>
      <c r="B30" s="243"/>
      <c r="C30" s="243"/>
      <c r="D30" s="244">
        <f t="shared" si="0"/>
        <v>5.3000000000000114</v>
      </c>
      <c r="E30" s="244"/>
      <c r="F30" s="243"/>
      <c r="G30" s="243"/>
      <c r="H30" s="244">
        <f t="shared" si="1"/>
        <v>0.80000000000001137</v>
      </c>
      <c r="I30" s="244"/>
      <c r="J30" s="243"/>
      <c r="K30" s="243"/>
      <c r="L30" s="244">
        <f t="shared" si="2"/>
        <v>8.1000000000000014</v>
      </c>
      <c r="M30" s="244"/>
      <c r="N30" s="243"/>
      <c r="O30" s="243"/>
      <c r="P30" s="244">
        <f t="shared" si="3"/>
        <v>16.5</v>
      </c>
      <c r="Q30" s="244"/>
    </row>
    <row r="31" spans="1:17">
      <c r="A31" s="242" t="s">
        <v>36</v>
      </c>
      <c r="B31" s="243"/>
      <c r="C31" s="243"/>
      <c r="D31" s="244">
        <f t="shared" si="0"/>
        <v>-2.0999999999999943</v>
      </c>
      <c r="E31" s="244"/>
      <c r="F31" s="243"/>
      <c r="G31" s="243"/>
      <c r="H31" s="244">
        <f t="shared" si="1"/>
        <v>-31.4</v>
      </c>
      <c r="I31" s="244"/>
      <c r="J31" s="243"/>
      <c r="K31" s="243"/>
      <c r="L31" s="244">
        <f t="shared" si="2"/>
        <v>-2.1999999999999886</v>
      </c>
      <c r="M31" s="244"/>
      <c r="N31" s="243"/>
      <c r="O31" s="243"/>
      <c r="P31" s="244">
        <f t="shared" si="3"/>
        <v>-5.7000000000000028</v>
      </c>
      <c r="Q31" s="244"/>
    </row>
    <row r="32" spans="1:17">
      <c r="A32" s="242" t="s">
        <v>37</v>
      </c>
      <c r="B32" s="243"/>
      <c r="C32" s="243"/>
      <c r="D32" s="244">
        <f t="shared" si="0"/>
        <v>13.5</v>
      </c>
      <c r="E32" s="244"/>
      <c r="F32" s="243"/>
      <c r="G32" s="243"/>
      <c r="H32" s="244">
        <f t="shared" si="1"/>
        <v>8.2000000000000028</v>
      </c>
      <c r="I32" s="244"/>
      <c r="J32" s="243"/>
      <c r="K32" s="243"/>
      <c r="L32" s="244">
        <f t="shared" si="2"/>
        <v>6</v>
      </c>
      <c r="M32" s="244"/>
      <c r="N32" s="243"/>
      <c r="O32" s="243"/>
      <c r="P32" s="244">
        <f t="shared" si="3"/>
        <v>9.1999999999999886</v>
      </c>
      <c r="Q32" s="244"/>
    </row>
    <row r="33" spans="1:17">
      <c r="A33" s="242" t="s">
        <v>38</v>
      </c>
      <c r="B33" s="243"/>
      <c r="C33" s="243"/>
      <c r="D33" s="244">
        <f t="shared" si="0"/>
        <v>3.2000000000000028</v>
      </c>
      <c r="E33" s="244"/>
      <c r="F33" s="243"/>
      <c r="G33" s="243"/>
      <c r="H33" s="244">
        <f t="shared" si="1"/>
        <v>-5.7000000000000028</v>
      </c>
      <c r="I33" s="244"/>
      <c r="J33" s="243"/>
      <c r="K33" s="243"/>
      <c r="L33" s="244">
        <f t="shared" si="2"/>
        <v>-7.7000000000000028</v>
      </c>
      <c r="M33" s="244"/>
      <c r="N33" s="243"/>
      <c r="O33" s="243"/>
      <c r="P33" s="244">
        <f t="shared" si="3"/>
        <v>7.5999999999999943</v>
      </c>
      <c r="Q33" s="244"/>
    </row>
    <row r="34" spans="1:17">
      <c r="A34" s="242" t="s">
        <v>39</v>
      </c>
      <c r="B34" s="243"/>
      <c r="C34" s="243"/>
      <c r="D34" s="244">
        <f t="shared" si="0"/>
        <v>6.7000000000000028</v>
      </c>
      <c r="E34" s="244"/>
      <c r="F34" s="243"/>
      <c r="G34" s="243"/>
      <c r="H34" s="244">
        <f t="shared" si="1"/>
        <v>-1.4000000000000057</v>
      </c>
      <c r="I34" s="244"/>
      <c r="J34" s="243"/>
      <c r="K34" s="243"/>
      <c r="L34" s="244">
        <f t="shared" si="2"/>
        <v>-1.2999999999999972</v>
      </c>
      <c r="M34" s="244"/>
      <c r="N34" s="243"/>
      <c r="O34" s="243"/>
      <c r="P34" s="244">
        <f t="shared" si="3"/>
        <v>3.5</v>
      </c>
      <c r="Q34" s="244"/>
    </row>
    <row r="35" spans="1:17">
      <c r="A35" s="242" t="s">
        <v>40</v>
      </c>
      <c r="B35" s="243"/>
      <c r="C35" s="243"/>
      <c r="D35" s="244">
        <f t="shared" si="0"/>
        <v>8.7000000000000028</v>
      </c>
      <c r="E35" s="244"/>
      <c r="F35" s="243"/>
      <c r="G35" s="243"/>
      <c r="H35" s="244">
        <f t="shared" si="1"/>
        <v>-3.2000000000000028</v>
      </c>
      <c r="I35" s="244"/>
      <c r="J35" s="243"/>
      <c r="K35" s="243"/>
      <c r="L35" s="244">
        <f t="shared" si="2"/>
        <v>-2.8999999999999915</v>
      </c>
      <c r="M35" s="244"/>
      <c r="N35" s="243"/>
      <c r="O35" s="243"/>
      <c r="P35" s="244">
        <f t="shared" si="3"/>
        <v>5.7000000000000028</v>
      </c>
      <c r="Q35" s="244"/>
    </row>
    <row r="36" spans="1:17">
      <c r="A36" s="242" t="s">
        <v>41</v>
      </c>
      <c r="B36" s="243"/>
      <c r="C36" s="243"/>
      <c r="D36" s="244">
        <f t="shared" si="0"/>
        <v>-3.1000000000000085</v>
      </c>
      <c r="E36" s="244"/>
      <c r="F36" s="243"/>
      <c r="G36" s="243"/>
      <c r="H36" s="244">
        <f t="shared" si="1"/>
        <v>-3.1000000000000085</v>
      </c>
      <c r="I36" s="244"/>
      <c r="J36" s="243"/>
      <c r="K36" s="243"/>
      <c r="L36" s="244">
        <f t="shared" si="2"/>
        <v>-4.5999999999999943</v>
      </c>
      <c r="M36" s="244"/>
      <c r="N36" s="243"/>
      <c r="O36" s="243"/>
      <c r="P36" s="244">
        <f t="shared" si="3"/>
        <v>-7.7999999999999972</v>
      </c>
      <c r="Q36" s="244"/>
    </row>
    <row r="37" spans="1:17">
      <c r="A37" s="242" t="s">
        <v>42</v>
      </c>
      <c r="B37" s="243"/>
      <c r="C37" s="243"/>
      <c r="D37" s="244">
        <f t="shared" si="0"/>
        <v>5.5999999999999943</v>
      </c>
      <c r="E37" s="244"/>
      <c r="F37" s="243"/>
      <c r="G37" s="243"/>
      <c r="H37" s="244">
        <f t="shared" si="1"/>
        <v>9.6000000000000085</v>
      </c>
      <c r="I37" s="244"/>
      <c r="J37" s="243"/>
      <c r="K37" s="243"/>
      <c r="L37" s="244">
        <f t="shared" si="2"/>
        <v>7.2999999999999972</v>
      </c>
      <c r="M37" s="244"/>
      <c r="N37" s="243"/>
      <c r="O37" s="243"/>
      <c r="P37" s="244">
        <f t="shared" si="3"/>
        <v>10.599999999999994</v>
      </c>
      <c r="Q37" s="244"/>
    </row>
    <row r="38" spans="1:17">
      <c r="A38" s="242" t="s">
        <v>235</v>
      </c>
      <c r="B38" s="243"/>
      <c r="C38" s="243"/>
      <c r="D38" s="244">
        <f t="shared" si="0"/>
        <v>5.2693438769388194</v>
      </c>
      <c r="E38" s="244"/>
      <c r="F38" s="243"/>
      <c r="G38" s="243"/>
      <c r="H38" s="244">
        <f t="shared" si="1"/>
        <v>5.0109122653862954</v>
      </c>
      <c r="I38" s="244"/>
      <c r="J38" s="243"/>
      <c r="K38" s="243"/>
      <c r="L38" s="244">
        <f t="shared" si="2"/>
        <v>7.4587979639372861</v>
      </c>
      <c r="M38" s="244"/>
      <c r="N38" s="243"/>
      <c r="O38" s="243"/>
      <c r="P38" s="244">
        <f t="shared" si="3"/>
        <v>13.524832367314474</v>
      </c>
      <c r="Q38" s="244"/>
    </row>
    <row r="39" spans="1:17">
      <c r="A39" s="242" t="s">
        <v>43</v>
      </c>
      <c r="B39" s="243"/>
      <c r="C39" s="243"/>
      <c r="D39" s="244">
        <f t="shared" si="0"/>
        <v>-1.3999999999999915</v>
      </c>
      <c r="E39" s="244"/>
      <c r="F39" s="243"/>
      <c r="G39" s="243"/>
      <c r="H39" s="244">
        <f t="shared" si="1"/>
        <v>3.2000000000000028</v>
      </c>
      <c r="I39" s="244"/>
      <c r="J39" s="243"/>
      <c r="K39" s="243"/>
      <c r="L39" s="244">
        <f t="shared" si="2"/>
        <v>2.4000000000000057</v>
      </c>
      <c r="M39" s="244"/>
      <c r="N39" s="243"/>
      <c r="O39" s="243"/>
      <c r="P39" s="244">
        <f t="shared" si="3"/>
        <v>-2.2999999999999972</v>
      </c>
      <c r="Q39" s="244"/>
    </row>
    <row r="40" spans="1:17">
      <c r="A40" s="242" t="s">
        <v>44</v>
      </c>
      <c r="B40" s="243"/>
      <c r="C40" s="243"/>
      <c r="D40" s="244">
        <f t="shared" si="0"/>
        <v>3.3000000000000114</v>
      </c>
      <c r="E40" s="244"/>
      <c r="F40" s="243"/>
      <c r="G40" s="243"/>
      <c r="H40" s="244">
        <f t="shared" si="1"/>
        <v>7.0999999999999943</v>
      </c>
      <c r="I40" s="244"/>
      <c r="J40" s="243"/>
      <c r="K40" s="243"/>
      <c r="L40" s="244">
        <f t="shared" si="2"/>
        <v>2</v>
      </c>
      <c r="M40" s="244"/>
      <c r="N40" s="243"/>
      <c r="O40" s="243"/>
      <c r="P40" s="244">
        <f t="shared" si="3"/>
        <v>-1.2000000000000028</v>
      </c>
      <c r="Q40" s="244"/>
    </row>
    <row r="41" spans="1:17">
      <c r="A41" s="242" t="s">
        <v>45</v>
      </c>
      <c r="B41" s="243"/>
      <c r="C41" s="243"/>
      <c r="D41" s="244">
        <f t="shared" si="0"/>
        <v>2.1999999999999886</v>
      </c>
      <c r="E41" s="244"/>
      <c r="F41" s="243"/>
      <c r="G41" s="243"/>
      <c r="H41" s="244">
        <f t="shared" si="1"/>
        <v>7.1999999999999886</v>
      </c>
      <c r="I41" s="244"/>
      <c r="J41" s="243"/>
      <c r="K41" s="243"/>
      <c r="L41" s="244">
        <f t="shared" si="2"/>
        <v>3.2000000000000028</v>
      </c>
      <c r="M41" s="244"/>
      <c r="N41" s="243"/>
      <c r="O41" s="243"/>
      <c r="P41" s="244">
        <f t="shared" si="3"/>
        <v>12.300000000000011</v>
      </c>
      <c r="Q41" s="244"/>
    </row>
    <row r="42" spans="1:17">
      <c r="A42" s="242"/>
      <c r="B42" s="243"/>
      <c r="C42" s="243"/>
      <c r="D42" s="244"/>
      <c r="E42" s="244"/>
      <c r="F42" s="243"/>
      <c r="G42" s="243"/>
      <c r="H42" s="244"/>
      <c r="I42" s="244"/>
      <c r="J42" s="243"/>
      <c r="K42" s="243"/>
      <c r="L42" s="244"/>
      <c r="M42" s="244"/>
      <c r="N42" s="243"/>
      <c r="O42" s="243"/>
      <c r="P42" s="244"/>
      <c r="Q42" s="244"/>
    </row>
    <row r="43" spans="1:17">
      <c r="A43" s="242" t="s">
        <v>46</v>
      </c>
      <c r="B43" s="243"/>
      <c r="C43" s="243"/>
      <c r="D43" s="244">
        <f t="shared" ref="D43:D53" si="4">D99-D155</f>
        <v>4.7000000000000028</v>
      </c>
      <c r="E43" s="244"/>
      <c r="F43" s="243"/>
      <c r="G43" s="243"/>
      <c r="H43" s="244">
        <f t="shared" ref="H43:H53" si="5">H99-H155</f>
        <v>5.0999999999999943</v>
      </c>
      <c r="I43" s="244"/>
      <c r="J43" s="243"/>
      <c r="K43" s="243"/>
      <c r="L43" s="244">
        <f t="shared" ref="L43:L53" si="6">L99-L155</f>
        <v>3.5</v>
      </c>
      <c r="M43" s="244"/>
      <c r="N43" s="243"/>
      <c r="O43" s="243"/>
      <c r="P43" s="244">
        <f t="shared" ref="P43:P53" si="7">P99-P155</f>
        <v>4.2000000000000028</v>
      </c>
      <c r="Q43" s="244"/>
    </row>
    <row r="44" spans="1:17">
      <c r="A44" s="242" t="s">
        <v>47</v>
      </c>
      <c r="B44" s="243"/>
      <c r="C44" s="243"/>
      <c r="D44" s="244">
        <f t="shared" si="4"/>
        <v>6.7999999999999972</v>
      </c>
      <c r="E44" s="244"/>
      <c r="F44" s="243"/>
      <c r="G44" s="243"/>
      <c r="H44" s="244">
        <f t="shared" si="5"/>
        <v>6.5</v>
      </c>
      <c r="I44" s="244"/>
      <c r="J44" s="243"/>
      <c r="K44" s="243"/>
      <c r="L44" s="244">
        <f t="shared" si="6"/>
        <v>6.5999999999999943</v>
      </c>
      <c r="M44" s="244"/>
      <c r="N44" s="243"/>
      <c r="O44" s="243"/>
      <c r="P44" s="244">
        <f t="shared" si="7"/>
        <v>7.0999999999999943</v>
      </c>
      <c r="Q44" s="244"/>
    </row>
    <row r="45" spans="1:17">
      <c r="A45" s="242" t="s">
        <v>246</v>
      </c>
      <c r="B45" s="243"/>
      <c r="C45" s="243"/>
      <c r="D45" s="244">
        <f t="shared" si="4"/>
        <v>6.3821280848937221</v>
      </c>
      <c r="E45" s="244"/>
      <c r="F45" s="243"/>
      <c r="G45" s="243"/>
      <c r="H45" s="244">
        <f t="shared" si="5"/>
        <v>4.5433531534089724</v>
      </c>
      <c r="I45" s="244"/>
      <c r="J45" s="243"/>
      <c r="K45" s="243"/>
      <c r="L45" s="244">
        <f t="shared" si="6"/>
        <v>4.0508382995461716</v>
      </c>
      <c r="M45" s="244"/>
      <c r="N45" s="243"/>
      <c r="O45" s="243"/>
      <c r="P45" s="244">
        <f t="shared" si="7"/>
        <v>-0.12615304343896128</v>
      </c>
      <c r="Q45" s="244"/>
    </row>
    <row r="46" spans="1:17">
      <c r="A46" s="242" t="s">
        <v>247</v>
      </c>
      <c r="B46" s="243"/>
      <c r="C46" s="243"/>
      <c r="D46" s="244">
        <f t="shared" si="4"/>
        <v>5.4157284165831783</v>
      </c>
      <c r="E46" s="244"/>
      <c r="F46" s="243"/>
      <c r="G46" s="243"/>
      <c r="H46" s="244">
        <f t="shared" si="5"/>
        <v>1.9381527363964324</v>
      </c>
      <c r="I46" s="244"/>
      <c r="J46" s="243"/>
      <c r="K46" s="243"/>
      <c r="L46" s="244">
        <f t="shared" si="6"/>
        <v>4.2169266387596167</v>
      </c>
      <c r="M46" s="244"/>
      <c r="N46" s="243"/>
      <c r="O46" s="243"/>
      <c r="P46" s="244">
        <f t="shared" si="7"/>
        <v>3.7318318257988921</v>
      </c>
      <c r="Q46" s="244"/>
    </row>
    <row r="47" spans="1:17">
      <c r="A47" s="242" t="s">
        <v>248</v>
      </c>
      <c r="B47" s="243"/>
      <c r="C47" s="243"/>
      <c r="D47" s="244">
        <f t="shared" si="4"/>
        <v>3.8920475109066359</v>
      </c>
      <c r="E47" s="244"/>
      <c r="F47" s="243"/>
      <c r="G47" s="243"/>
      <c r="H47" s="244">
        <f t="shared" si="5"/>
        <v>3.8537557426507902</v>
      </c>
      <c r="I47" s="244"/>
      <c r="J47" s="243"/>
      <c r="K47" s="243"/>
      <c r="L47" s="244">
        <f t="shared" si="6"/>
        <v>1.5827137016951838</v>
      </c>
      <c r="M47" s="244"/>
      <c r="N47" s="243"/>
      <c r="O47" s="243"/>
      <c r="P47" s="244">
        <f t="shared" si="7"/>
        <v>6.9383331368345722</v>
      </c>
      <c r="Q47" s="244"/>
    </row>
    <row r="48" spans="1:17">
      <c r="A48" s="242" t="s">
        <v>249</v>
      </c>
      <c r="B48" s="243"/>
      <c r="C48" s="243"/>
      <c r="D48" s="244">
        <f t="shared" si="4"/>
        <v>4.2414295310819483</v>
      </c>
      <c r="E48" s="244"/>
      <c r="F48" s="243"/>
      <c r="G48" s="243"/>
      <c r="H48" s="244">
        <f t="shared" si="5"/>
        <v>7.5994151083672961</v>
      </c>
      <c r="I48" s="244"/>
      <c r="J48" s="243"/>
      <c r="K48" s="243"/>
      <c r="L48" s="244">
        <f t="shared" si="6"/>
        <v>3.7571025563756848</v>
      </c>
      <c r="M48" s="244"/>
      <c r="N48" s="243"/>
      <c r="O48" s="243"/>
      <c r="P48" s="244">
        <f t="shared" si="7"/>
        <v>4.9117021445472773</v>
      </c>
      <c r="Q48" s="244"/>
    </row>
    <row r="49" spans="1:17">
      <c r="A49" s="242" t="s">
        <v>48</v>
      </c>
      <c r="B49" s="243"/>
      <c r="C49" s="243"/>
      <c r="D49" s="244">
        <f t="shared" si="4"/>
        <v>6</v>
      </c>
      <c r="E49" s="244"/>
      <c r="F49" s="243"/>
      <c r="G49" s="243"/>
      <c r="H49" s="244">
        <f t="shared" si="5"/>
        <v>7.2000000000000028</v>
      </c>
      <c r="I49" s="244"/>
      <c r="J49" s="243"/>
      <c r="K49" s="243"/>
      <c r="L49" s="244">
        <f t="shared" si="6"/>
        <v>4.5</v>
      </c>
      <c r="M49" s="244"/>
      <c r="N49" s="243"/>
      <c r="O49" s="243"/>
      <c r="P49" s="244">
        <f t="shared" si="7"/>
        <v>5.8000000000000114</v>
      </c>
      <c r="Q49" s="244"/>
    </row>
    <row r="50" spans="1:17" customFormat="1">
      <c r="A50" s="10" t="s">
        <v>156</v>
      </c>
      <c r="B50" s="15"/>
      <c r="C50" s="15"/>
      <c r="D50" s="244">
        <f t="shared" si="4"/>
        <v>2.2431590786252826</v>
      </c>
      <c r="E50" s="244"/>
      <c r="F50" s="243"/>
      <c r="G50" s="243"/>
      <c r="H50" s="244">
        <f t="shared" si="5"/>
        <v>6.208902476211307</v>
      </c>
      <c r="I50" s="244"/>
      <c r="J50" s="243"/>
      <c r="K50" s="243"/>
      <c r="L50" s="244">
        <f t="shared" si="6"/>
        <v>4.3395917349124744</v>
      </c>
      <c r="M50" s="244"/>
      <c r="N50" s="243"/>
      <c r="O50" s="243"/>
      <c r="P50" s="244">
        <f t="shared" si="7"/>
        <v>2.4890314621702316</v>
      </c>
      <c r="Q50" s="15"/>
    </row>
    <row r="51" spans="1:17" customFormat="1">
      <c r="A51" s="10" t="s">
        <v>359</v>
      </c>
      <c r="B51" s="125"/>
      <c r="C51" s="125"/>
      <c r="D51" s="244">
        <f t="shared" si="4"/>
        <v>0.27771873893021848</v>
      </c>
      <c r="E51" s="244"/>
      <c r="F51" s="243"/>
      <c r="G51" s="243"/>
      <c r="H51" s="244">
        <f t="shared" si="5"/>
        <v>5.6659803611023278</v>
      </c>
      <c r="I51" s="244"/>
      <c r="J51" s="243"/>
      <c r="K51" s="243"/>
      <c r="L51" s="244">
        <f t="shared" si="6"/>
        <v>7.6050799030951026</v>
      </c>
      <c r="M51" s="244"/>
      <c r="N51" s="243"/>
      <c r="O51" s="243"/>
      <c r="P51" s="244">
        <f t="shared" si="7"/>
        <v>3.665206571944907</v>
      </c>
      <c r="Q51" s="14"/>
    </row>
    <row r="52" spans="1:17" customFormat="1">
      <c r="A52" s="10" t="s">
        <v>157</v>
      </c>
      <c r="B52" s="125"/>
      <c r="C52" s="125"/>
      <c r="D52" s="244">
        <f t="shared" si="4"/>
        <v>3.3920142875366821</v>
      </c>
      <c r="E52" s="244"/>
      <c r="F52" s="243"/>
      <c r="G52" s="243"/>
      <c r="H52" s="244">
        <f t="shared" si="5"/>
        <v>3.4938647875552107</v>
      </c>
      <c r="I52" s="244"/>
      <c r="J52" s="243"/>
      <c r="K52" s="243"/>
      <c r="L52" s="244">
        <f t="shared" si="6"/>
        <v>0.70367947661391383</v>
      </c>
      <c r="M52" s="244"/>
      <c r="N52" s="243"/>
      <c r="O52" s="243"/>
      <c r="P52" s="244">
        <f t="shared" si="7"/>
        <v>5.2097057682909451</v>
      </c>
      <c r="Q52" s="15"/>
    </row>
    <row r="53" spans="1:17" customFormat="1">
      <c r="A53" s="10" t="s">
        <v>158</v>
      </c>
      <c r="B53" s="125"/>
      <c r="C53" s="125"/>
      <c r="D53" s="244">
        <f t="shared" si="4"/>
        <v>6.0834035325148648</v>
      </c>
      <c r="E53" s="244"/>
      <c r="F53" s="243"/>
      <c r="G53" s="243"/>
      <c r="H53" s="244">
        <f t="shared" si="5"/>
        <v>3.8825215151286301</v>
      </c>
      <c r="I53" s="244"/>
      <c r="J53" s="243"/>
      <c r="K53" s="243"/>
      <c r="L53" s="244">
        <f t="shared" si="6"/>
        <v>4.4148720258450567</v>
      </c>
      <c r="M53" s="244"/>
      <c r="N53" s="243"/>
      <c r="O53" s="243"/>
      <c r="P53" s="244">
        <f t="shared" si="7"/>
        <v>4.7457074749302421</v>
      </c>
      <c r="Q53" s="15"/>
    </row>
    <row r="57" spans="1:17" ht="15.75">
      <c r="A57" s="1" t="s">
        <v>0</v>
      </c>
      <c r="B57"/>
      <c r="C57"/>
      <c r="D57"/>
      <c r="E57"/>
      <c r="F57"/>
      <c r="G57"/>
      <c r="H57"/>
      <c r="I57"/>
      <c r="J57"/>
      <c r="K57"/>
      <c r="L57"/>
      <c r="M57"/>
      <c r="N57"/>
      <c r="O57"/>
      <c r="P57"/>
      <c r="Q57"/>
    </row>
    <row r="58" spans="1:17">
      <c r="A58" s="2" t="s">
        <v>358</v>
      </c>
      <c r="B58"/>
      <c r="C58"/>
      <c r="D58"/>
      <c r="E58"/>
      <c r="F58"/>
      <c r="G58"/>
      <c r="H58"/>
      <c r="I58"/>
      <c r="J58"/>
      <c r="K58"/>
      <c r="L58"/>
      <c r="M58"/>
      <c r="N58"/>
      <c r="O58"/>
      <c r="P58"/>
      <c r="Q58"/>
    </row>
    <row r="59" spans="1:17">
      <c r="A59"/>
      <c r="B59"/>
      <c r="C59"/>
      <c r="D59"/>
      <c r="E59"/>
      <c r="F59"/>
      <c r="G59"/>
      <c r="H59"/>
      <c r="I59"/>
      <c r="J59"/>
      <c r="K59"/>
      <c r="L59"/>
      <c r="M59"/>
      <c r="N59"/>
      <c r="O59"/>
      <c r="P59"/>
      <c r="Q59"/>
    </row>
    <row r="60" spans="1:17">
      <c r="A60" s="246" t="s">
        <v>2</v>
      </c>
      <c r="B60" s="246" t="s">
        <v>3</v>
      </c>
      <c r="C60"/>
      <c r="D60"/>
      <c r="E60"/>
      <c r="F60"/>
      <c r="G60"/>
      <c r="H60"/>
      <c r="I60"/>
      <c r="J60"/>
      <c r="K60"/>
      <c r="L60"/>
      <c r="M60"/>
      <c r="N60"/>
      <c r="O60"/>
      <c r="P60"/>
      <c r="Q60"/>
    </row>
    <row r="61" spans="1:17">
      <c r="A61" s="246" t="s">
        <v>4</v>
      </c>
      <c r="B61" s="246" t="s">
        <v>108</v>
      </c>
      <c r="C61"/>
      <c r="D61"/>
      <c r="E61"/>
      <c r="F61"/>
      <c r="G61"/>
      <c r="H61"/>
      <c r="I61"/>
      <c r="J61"/>
      <c r="K61"/>
      <c r="L61"/>
      <c r="M61"/>
      <c r="N61"/>
      <c r="O61"/>
      <c r="P61"/>
      <c r="Q61"/>
    </row>
    <row r="62" spans="1:17">
      <c r="A62"/>
      <c r="B62"/>
      <c r="C62"/>
      <c r="D62"/>
      <c r="E62"/>
      <c r="F62"/>
      <c r="G62"/>
      <c r="H62"/>
      <c r="I62"/>
      <c r="J62"/>
      <c r="K62"/>
      <c r="L62"/>
      <c r="M62"/>
      <c r="N62"/>
      <c r="O62"/>
      <c r="P62"/>
      <c r="Q62"/>
    </row>
    <row r="63" spans="1:17" ht="21.95" customHeight="1">
      <c r="A63" s="17" t="s">
        <v>7</v>
      </c>
      <c r="B63" s="473" t="s">
        <v>230</v>
      </c>
      <c r="C63" s="475"/>
      <c r="D63" s="475"/>
      <c r="E63" s="475"/>
      <c r="F63" s="473" t="s">
        <v>356</v>
      </c>
      <c r="G63" s="475"/>
      <c r="H63" s="475"/>
      <c r="I63" s="475"/>
      <c r="J63" s="473" t="s">
        <v>398</v>
      </c>
      <c r="K63" s="475"/>
      <c r="L63" s="475"/>
      <c r="M63" s="475"/>
      <c r="N63" s="473" t="s">
        <v>423</v>
      </c>
      <c r="O63" s="475"/>
      <c r="P63" s="475"/>
      <c r="Q63" s="475"/>
    </row>
    <row r="64" spans="1:17" ht="26.1" customHeight="1">
      <c r="A64"/>
      <c r="B64" s="16" t="s">
        <v>8</v>
      </c>
      <c r="C64" s="16" t="s">
        <v>9</v>
      </c>
      <c r="D64" s="16" t="s">
        <v>10</v>
      </c>
      <c r="E64" s="16" t="s">
        <v>11</v>
      </c>
      <c r="F64" s="16" t="s">
        <v>8</v>
      </c>
      <c r="G64" s="16" t="s">
        <v>9</v>
      </c>
      <c r="H64" s="16" t="s">
        <v>10</v>
      </c>
      <c r="I64" s="16" t="s">
        <v>11</v>
      </c>
      <c r="J64" s="16" t="s">
        <v>8</v>
      </c>
      <c r="K64" s="16" t="s">
        <v>9</v>
      </c>
      <c r="L64" s="16" t="s">
        <v>10</v>
      </c>
      <c r="M64" s="16" t="s">
        <v>11</v>
      </c>
      <c r="N64" s="16" t="s">
        <v>8</v>
      </c>
      <c r="O64" s="16" t="s">
        <v>9</v>
      </c>
      <c r="P64" s="16" t="s">
        <v>10</v>
      </c>
      <c r="Q64" s="16" t="s">
        <v>11</v>
      </c>
    </row>
    <row r="65" spans="1:19">
      <c r="A65" s="246" t="s">
        <v>15</v>
      </c>
      <c r="B65" s="239">
        <v>58600</v>
      </c>
      <c r="C65" s="239">
        <v>83000</v>
      </c>
      <c r="D65" s="240">
        <v>70.599999999999994</v>
      </c>
      <c r="E65" s="240">
        <v>6.1</v>
      </c>
      <c r="F65" s="239">
        <v>65700</v>
      </c>
      <c r="G65" s="239">
        <v>84600</v>
      </c>
      <c r="H65" s="240">
        <v>77.7</v>
      </c>
      <c r="I65" s="240">
        <v>5.4</v>
      </c>
      <c r="J65" s="239">
        <v>59600</v>
      </c>
      <c r="K65" s="239">
        <v>82900</v>
      </c>
      <c r="L65" s="240">
        <v>71.900000000000006</v>
      </c>
      <c r="M65" s="240">
        <v>6.4</v>
      </c>
      <c r="N65" s="239">
        <v>59900</v>
      </c>
      <c r="O65" s="239">
        <v>78100</v>
      </c>
      <c r="P65" s="240">
        <v>76.8</v>
      </c>
      <c r="Q65" s="240">
        <v>6.9</v>
      </c>
      <c r="S65" s="246"/>
    </row>
    <row r="66" spans="1:19">
      <c r="A66" s="246" t="s">
        <v>16</v>
      </c>
      <c r="B66" s="239">
        <v>67300</v>
      </c>
      <c r="C66" s="239">
        <v>80900</v>
      </c>
      <c r="D66" s="240">
        <v>83.2</v>
      </c>
      <c r="E66" s="240">
        <v>4.9000000000000004</v>
      </c>
      <c r="F66" s="239">
        <v>67100</v>
      </c>
      <c r="G66" s="239">
        <v>84800</v>
      </c>
      <c r="H66" s="240">
        <v>79.099999999999994</v>
      </c>
      <c r="I66" s="240">
        <v>5.4</v>
      </c>
      <c r="J66" s="239">
        <v>66600</v>
      </c>
      <c r="K66" s="239">
        <v>81200</v>
      </c>
      <c r="L66" s="240">
        <v>82.1</v>
      </c>
      <c r="M66" s="240">
        <v>5.6</v>
      </c>
      <c r="N66" s="239">
        <v>73600</v>
      </c>
      <c r="O66" s="239">
        <v>87100</v>
      </c>
      <c r="P66" s="240">
        <v>84.5</v>
      </c>
      <c r="Q66" s="240">
        <v>6.2</v>
      </c>
      <c r="S66" s="246"/>
    </row>
    <row r="67" spans="1:19">
      <c r="A67" s="246" t="s">
        <v>17</v>
      </c>
      <c r="B67" s="239">
        <v>26100</v>
      </c>
      <c r="C67" s="239">
        <v>34200</v>
      </c>
      <c r="D67" s="240">
        <v>76.400000000000006</v>
      </c>
      <c r="E67" s="240">
        <v>5</v>
      </c>
      <c r="F67" s="239">
        <v>26300</v>
      </c>
      <c r="G67" s="239">
        <v>33500</v>
      </c>
      <c r="H67" s="240">
        <v>78.5</v>
      </c>
      <c r="I67" s="240">
        <v>5.8</v>
      </c>
      <c r="J67" s="239">
        <v>25100</v>
      </c>
      <c r="K67" s="239">
        <v>32300</v>
      </c>
      <c r="L67" s="240">
        <v>77.599999999999994</v>
      </c>
      <c r="M67" s="240">
        <v>6.1</v>
      </c>
      <c r="N67" s="239">
        <v>23500</v>
      </c>
      <c r="O67" s="239">
        <v>32400</v>
      </c>
      <c r="P67" s="240">
        <v>72.400000000000006</v>
      </c>
      <c r="Q67" s="240">
        <v>8.6999999999999993</v>
      </c>
      <c r="S67" s="246"/>
    </row>
    <row r="68" spans="1:19">
      <c r="A68" s="246" t="s">
        <v>18</v>
      </c>
      <c r="B68" s="239">
        <v>18200</v>
      </c>
      <c r="C68" s="239">
        <v>23200</v>
      </c>
      <c r="D68" s="240">
        <v>78.3</v>
      </c>
      <c r="E68" s="240">
        <v>5.3</v>
      </c>
      <c r="F68" s="239">
        <v>17900</v>
      </c>
      <c r="G68" s="239">
        <v>23400</v>
      </c>
      <c r="H68" s="240">
        <v>76.5</v>
      </c>
      <c r="I68" s="240">
        <v>6.4</v>
      </c>
      <c r="J68" s="239">
        <v>17700</v>
      </c>
      <c r="K68" s="239">
        <v>24500</v>
      </c>
      <c r="L68" s="240">
        <v>72.3</v>
      </c>
      <c r="M68" s="240">
        <v>7.6</v>
      </c>
      <c r="N68" s="239">
        <v>16800</v>
      </c>
      <c r="O68" s="239">
        <v>25100</v>
      </c>
      <c r="P68" s="240">
        <v>67.099999999999994</v>
      </c>
      <c r="Q68" s="240">
        <v>10.199999999999999</v>
      </c>
      <c r="S68" s="246"/>
    </row>
    <row r="69" spans="1:19">
      <c r="A69" s="242" t="s">
        <v>126</v>
      </c>
      <c r="B69" s="239">
        <v>132700</v>
      </c>
      <c r="C69" s="239">
        <v>177100</v>
      </c>
      <c r="D69" s="240">
        <v>74.900000000000006</v>
      </c>
      <c r="E69" s="240">
        <v>4.9000000000000004</v>
      </c>
      <c r="F69" s="239">
        <v>145100</v>
      </c>
      <c r="G69" s="239">
        <v>179300</v>
      </c>
      <c r="H69" s="240">
        <v>80.900000000000006</v>
      </c>
      <c r="I69" s="240">
        <v>4.5999999999999996</v>
      </c>
      <c r="J69" s="239">
        <v>137300</v>
      </c>
      <c r="K69" s="239">
        <v>175900</v>
      </c>
      <c r="L69" s="240">
        <v>78</v>
      </c>
      <c r="M69" s="240">
        <v>5.3</v>
      </c>
      <c r="N69" s="239">
        <v>146300</v>
      </c>
      <c r="O69" s="239">
        <v>174600</v>
      </c>
      <c r="P69" s="240">
        <v>83.8</v>
      </c>
      <c r="Q69" s="240">
        <v>5.2</v>
      </c>
      <c r="S69" s="246"/>
    </row>
    <row r="70" spans="1:19">
      <c r="A70" s="246" t="s">
        <v>19</v>
      </c>
      <c r="B70" s="239">
        <v>11200</v>
      </c>
      <c r="C70" s="239">
        <v>15400</v>
      </c>
      <c r="D70" s="240">
        <v>72.400000000000006</v>
      </c>
      <c r="E70" s="240">
        <v>8.4</v>
      </c>
      <c r="F70" s="239">
        <v>10300</v>
      </c>
      <c r="G70" s="239">
        <v>14900</v>
      </c>
      <c r="H70" s="240">
        <v>68.7</v>
      </c>
      <c r="I70" s="240">
        <v>10.5</v>
      </c>
      <c r="J70" s="239">
        <v>10200</v>
      </c>
      <c r="K70" s="239">
        <v>14900</v>
      </c>
      <c r="L70" s="240">
        <v>68.8</v>
      </c>
      <c r="M70" s="240">
        <v>8.6999999999999993</v>
      </c>
      <c r="N70" s="239">
        <v>8800</v>
      </c>
      <c r="O70" s="239">
        <v>13600</v>
      </c>
      <c r="P70" s="240">
        <v>65.2</v>
      </c>
      <c r="Q70" s="240">
        <v>10.1</v>
      </c>
      <c r="S70" s="246"/>
    </row>
    <row r="71" spans="1:19">
      <c r="A71" s="246" t="s">
        <v>20</v>
      </c>
      <c r="B71" s="239">
        <v>26900</v>
      </c>
      <c r="C71" s="239">
        <v>37000</v>
      </c>
      <c r="D71" s="240">
        <v>72.7</v>
      </c>
      <c r="E71" s="240">
        <v>6.6</v>
      </c>
      <c r="F71" s="239">
        <v>29400</v>
      </c>
      <c r="G71" s="239">
        <v>40500</v>
      </c>
      <c r="H71" s="240">
        <v>72.5</v>
      </c>
      <c r="I71" s="240">
        <v>6.2</v>
      </c>
      <c r="J71" s="239">
        <v>28600</v>
      </c>
      <c r="K71" s="239">
        <v>40900</v>
      </c>
      <c r="L71" s="240">
        <v>69.900000000000006</v>
      </c>
      <c r="M71" s="240">
        <v>6.7</v>
      </c>
      <c r="N71" s="239">
        <v>26400</v>
      </c>
      <c r="O71" s="239">
        <v>40500</v>
      </c>
      <c r="P71" s="240">
        <v>65.099999999999994</v>
      </c>
      <c r="Q71" s="240">
        <v>10.1</v>
      </c>
      <c r="S71" s="246"/>
    </row>
    <row r="72" spans="1:19">
      <c r="A72" s="246" t="s">
        <v>21</v>
      </c>
      <c r="B72" s="239">
        <v>33400</v>
      </c>
      <c r="C72" s="239">
        <v>45000</v>
      </c>
      <c r="D72" s="240">
        <v>74.2</v>
      </c>
      <c r="E72" s="240">
        <v>5.4</v>
      </c>
      <c r="F72" s="239">
        <v>34800</v>
      </c>
      <c r="G72" s="239">
        <v>47700</v>
      </c>
      <c r="H72" s="240">
        <v>72.8</v>
      </c>
      <c r="I72" s="240">
        <v>6.2</v>
      </c>
      <c r="J72" s="239">
        <v>32200</v>
      </c>
      <c r="K72" s="239">
        <v>47500</v>
      </c>
      <c r="L72" s="240">
        <v>67.8</v>
      </c>
      <c r="M72" s="240">
        <v>6.6</v>
      </c>
      <c r="N72" s="239">
        <v>33500</v>
      </c>
      <c r="O72" s="239">
        <v>51000</v>
      </c>
      <c r="P72" s="240">
        <v>65.7</v>
      </c>
      <c r="Q72" s="240">
        <v>7.4</v>
      </c>
      <c r="S72" s="246"/>
    </row>
    <row r="73" spans="1:19">
      <c r="A73" s="246" t="s">
        <v>22</v>
      </c>
      <c r="B73" s="239">
        <v>26300</v>
      </c>
      <c r="C73" s="239">
        <v>35300</v>
      </c>
      <c r="D73" s="240">
        <v>74.400000000000006</v>
      </c>
      <c r="E73" s="240">
        <v>5.9</v>
      </c>
      <c r="F73" s="239">
        <v>26400</v>
      </c>
      <c r="G73" s="239">
        <v>35000</v>
      </c>
      <c r="H73" s="240">
        <v>75.599999999999994</v>
      </c>
      <c r="I73" s="240">
        <v>6.2</v>
      </c>
      <c r="J73" s="239">
        <v>25900</v>
      </c>
      <c r="K73" s="239">
        <v>35100</v>
      </c>
      <c r="L73" s="240">
        <v>73.7</v>
      </c>
      <c r="M73" s="240">
        <v>6.5</v>
      </c>
      <c r="N73" s="239">
        <v>27000</v>
      </c>
      <c r="O73" s="239">
        <v>36200</v>
      </c>
      <c r="P73" s="240">
        <v>74.400000000000006</v>
      </c>
      <c r="Q73" s="240">
        <v>8</v>
      </c>
      <c r="S73" s="246"/>
    </row>
    <row r="74" spans="1:19">
      <c r="A74" s="246" t="s">
        <v>23</v>
      </c>
      <c r="B74" s="239">
        <v>24100</v>
      </c>
      <c r="C74" s="239">
        <v>31100</v>
      </c>
      <c r="D74" s="240">
        <v>77.3</v>
      </c>
      <c r="E74" s="240">
        <v>4.7</v>
      </c>
      <c r="F74" s="239">
        <v>24000</v>
      </c>
      <c r="G74" s="239">
        <v>31700</v>
      </c>
      <c r="H74" s="240">
        <v>75.7</v>
      </c>
      <c r="I74" s="240">
        <v>5.4</v>
      </c>
      <c r="J74" s="239">
        <v>25500</v>
      </c>
      <c r="K74" s="239">
        <v>31900</v>
      </c>
      <c r="L74" s="240">
        <v>79.7</v>
      </c>
      <c r="M74" s="240">
        <v>5.0999999999999996</v>
      </c>
      <c r="N74" s="239">
        <v>22800</v>
      </c>
      <c r="O74" s="239">
        <v>30700</v>
      </c>
      <c r="P74" s="240">
        <v>74.2</v>
      </c>
      <c r="Q74" s="240">
        <v>6.7</v>
      </c>
      <c r="S74" s="246"/>
    </row>
    <row r="75" spans="1:19">
      <c r="A75" s="246" t="s">
        <v>24</v>
      </c>
      <c r="B75" s="239">
        <v>25100</v>
      </c>
      <c r="C75" s="239">
        <v>30900</v>
      </c>
      <c r="D75" s="240">
        <v>81.2</v>
      </c>
      <c r="E75" s="240">
        <v>5.5</v>
      </c>
      <c r="F75" s="239">
        <v>24200</v>
      </c>
      <c r="G75" s="239">
        <v>30600</v>
      </c>
      <c r="H75" s="240">
        <v>79.2</v>
      </c>
      <c r="I75" s="240">
        <v>6.7</v>
      </c>
      <c r="J75" s="239">
        <v>20300</v>
      </c>
      <c r="K75" s="239">
        <v>27200</v>
      </c>
      <c r="L75" s="240">
        <v>74.400000000000006</v>
      </c>
      <c r="M75" s="240">
        <v>7.6</v>
      </c>
      <c r="N75" s="239">
        <v>21000</v>
      </c>
      <c r="O75" s="239">
        <v>27100</v>
      </c>
      <c r="P75" s="240">
        <v>77.599999999999994</v>
      </c>
      <c r="Q75" s="240">
        <v>8.8000000000000007</v>
      </c>
      <c r="S75" s="246"/>
    </row>
    <row r="76" spans="1:19">
      <c r="A76" s="246" t="s">
        <v>25</v>
      </c>
      <c r="B76" s="239">
        <v>22100</v>
      </c>
      <c r="C76" s="239">
        <v>29400</v>
      </c>
      <c r="D76" s="240">
        <v>75.099999999999994</v>
      </c>
      <c r="E76" s="240">
        <v>5.8</v>
      </c>
      <c r="F76" s="239">
        <v>21600</v>
      </c>
      <c r="G76" s="239">
        <v>29700</v>
      </c>
      <c r="H76" s="240">
        <v>72.8</v>
      </c>
      <c r="I76" s="240">
        <v>6.3</v>
      </c>
      <c r="J76" s="239">
        <v>20500</v>
      </c>
      <c r="K76" s="239">
        <v>27500</v>
      </c>
      <c r="L76" s="240">
        <v>74.599999999999994</v>
      </c>
      <c r="M76" s="240">
        <v>7.2</v>
      </c>
      <c r="N76" s="239">
        <v>20400</v>
      </c>
      <c r="O76" s="239">
        <v>27300</v>
      </c>
      <c r="P76" s="240">
        <v>74.7</v>
      </c>
      <c r="Q76" s="240">
        <v>8.6</v>
      </c>
      <c r="S76" s="246"/>
    </row>
    <row r="77" spans="1:19">
      <c r="A77" s="246" t="s">
        <v>26</v>
      </c>
      <c r="B77" s="239">
        <v>38900</v>
      </c>
      <c r="C77" s="239">
        <v>51400</v>
      </c>
      <c r="D77" s="240">
        <v>75.8</v>
      </c>
      <c r="E77" s="240">
        <v>5.9</v>
      </c>
      <c r="F77" s="239">
        <v>39800</v>
      </c>
      <c r="G77" s="239">
        <v>48400</v>
      </c>
      <c r="H77" s="240">
        <v>82.2</v>
      </c>
      <c r="I77" s="240">
        <v>5.7</v>
      </c>
      <c r="J77" s="239">
        <v>39700</v>
      </c>
      <c r="K77" s="239">
        <v>48300</v>
      </c>
      <c r="L77" s="240">
        <v>82.3</v>
      </c>
      <c r="M77" s="240">
        <v>5.6</v>
      </c>
      <c r="N77" s="239">
        <v>38300</v>
      </c>
      <c r="O77" s="239">
        <v>49500</v>
      </c>
      <c r="P77" s="240">
        <v>77.400000000000006</v>
      </c>
      <c r="Q77" s="240">
        <v>6.8</v>
      </c>
      <c r="S77" s="246"/>
    </row>
    <row r="78" spans="1:19">
      <c r="A78" s="246" t="s">
        <v>27</v>
      </c>
      <c r="B78" s="239">
        <v>81400</v>
      </c>
      <c r="C78" s="239">
        <v>112600</v>
      </c>
      <c r="D78" s="240">
        <v>72.3</v>
      </c>
      <c r="E78" s="240">
        <v>5.2</v>
      </c>
      <c r="F78" s="239">
        <v>79000</v>
      </c>
      <c r="G78" s="239">
        <v>114200</v>
      </c>
      <c r="H78" s="240">
        <v>69.099999999999994</v>
      </c>
      <c r="I78" s="240">
        <v>5.6</v>
      </c>
      <c r="J78" s="239">
        <v>91500</v>
      </c>
      <c r="K78" s="239">
        <v>117900</v>
      </c>
      <c r="L78" s="240">
        <v>77.599999999999994</v>
      </c>
      <c r="M78" s="240">
        <v>5.0999999999999996</v>
      </c>
      <c r="N78" s="239">
        <v>84300</v>
      </c>
      <c r="O78" s="239">
        <v>108100</v>
      </c>
      <c r="P78" s="240">
        <v>78</v>
      </c>
      <c r="Q78" s="240">
        <v>5.3</v>
      </c>
      <c r="S78" s="246"/>
    </row>
    <row r="79" spans="1:19">
      <c r="A79" s="246" t="s">
        <v>28</v>
      </c>
      <c r="B79" s="239">
        <v>156400</v>
      </c>
      <c r="C79" s="239">
        <v>210000</v>
      </c>
      <c r="D79" s="240">
        <v>74.5</v>
      </c>
      <c r="E79" s="240">
        <v>5</v>
      </c>
      <c r="F79" s="239">
        <v>154500</v>
      </c>
      <c r="G79" s="239">
        <v>199100</v>
      </c>
      <c r="H79" s="240">
        <v>77.599999999999994</v>
      </c>
      <c r="I79" s="240">
        <v>4.8</v>
      </c>
      <c r="J79" s="239">
        <v>155000</v>
      </c>
      <c r="K79" s="239">
        <v>204800</v>
      </c>
      <c r="L79" s="240">
        <v>75.7</v>
      </c>
      <c r="M79" s="240">
        <v>5.0999999999999996</v>
      </c>
      <c r="N79" s="239">
        <v>152800</v>
      </c>
      <c r="O79" s="239">
        <v>211900</v>
      </c>
      <c r="P79" s="240">
        <v>72.099999999999994</v>
      </c>
      <c r="Q79" s="240">
        <v>6.5</v>
      </c>
      <c r="S79" s="246"/>
    </row>
    <row r="80" spans="1:19">
      <c r="A80" s="246" t="s">
        <v>29</v>
      </c>
      <c r="B80" s="239">
        <v>56400</v>
      </c>
      <c r="C80" s="239">
        <v>70300</v>
      </c>
      <c r="D80" s="240">
        <v>80.2</v>
      </c>
      <c r="E80" s="240">
        <v>6.3</v>
      </c>
      <c r="F80" s="239">
        <v>52000</v>
      </c>
      <c r="G80" s="239">
        <v>69600</v>
      </c>
      <c r="H80" s="240">
        <v>74.7</v>
      </c>
      <c r="I80" s="240">
        <v>8.1999999999999993</v>
      </c>
      <c r="J80" s="239">
        <v>52300</v>
      </c>
      <c r="K80" s="239">
        <v>70100</v>
      </c>
      <c r="L80" s="240">
        <v>74.599999999999994</v>
      </c>
      <c r="M80" s="240">
        <v>8.3000000000000007</v>
      </c>
      <c r="N80" s="239">
        <v>56400</v>
      </c>
      <c r="O80" s="239">
        <v>74400</v>
      </c>
      <c r="P80" s="240">
        <v>75.900000000000006</v>
      </c>
      <c r="Q80" s="240">
        <v>9.3000000000000007</v>
      </c>
      <c r="S80" s="246"/>
    </row>
    <row r="81" spans="1:19">
      <c r="A81" s="246" t="s">
        <v>30</v>
      </c>
      <c r="B81" s="239">
        <v>16100</v>
      </c>
      <c r="C81" s="239">
        <v>23400</v>
      </c>
      <c r="D81" s="240">
        <v>69</v>
      </c>
      <c r="E81" s="240">
        <v>6.3</v>
      </c>
      <c r="F81" s="239">
        <v>15700</v>
      </c>
      <c r="G81" s="239">
        <v>22100</v>
      </c>
      <c r="H81" s="240">
        <v>70.900000000000006</v>
      </c>
      <c r="I81" s="240">
        <v>7</v>
      </c>
      <c r="J81" s="239">
        <v>16000</v>
      </c>
      <c r="K81" s="239">
        <v>21400</v>
      </c>
      <c r="L81" s="240">
        <v>74.599999999999994</v>
      </c>
      <c r="M81" s="240">
        <v>7.4</v>
      </c>
      <c r="N81" s="239">
        <v>15500</v>
      </c>
      <c r="O81" s="239">
        <v>23200</v>
      </c>
      <c r="P81" s="240">
        <v>66.900000000000006</v>
      </c>
      <c r="Q81" s="240">
        <v>9.9</v>
      </c>
      <c r="S81" s="246"/>
    </row>
    <row r="82" spans="1:19">
      <c r="A82" s="246" t="s">
        <v>31</v>
      </c>
      <c r="B82" s="239">
        <v>20300</v>
      </c>
      <c r="C82" s="239">
        <v>25600</v>
      </c>
      <c r="D82" s="240">
        <v>79.099999999999994</v>
      </c>
      <c r="E82" s="240">
        <v>6.4</v>
      </c>
      <c r="F82" s="239">
        <v>24300</v>
      </c>
      <c r="G82" s="239">
        <v>29400</v>
      </c>
      <c r="H82" s="240">
        <v>82.9</v>
      </c>
      <c r="I82" s="240">
        <v>6.1</v>
      </c>
      <c r="J82" s="239">
        <v>21400</v>
      </c>
      <c r="K82" s="239">
        <v>26900</v>
      </c>
      <c r="L82" s="240">
        <v>79.7</v>
      </c>
      <c r="M82" s="240">
        <v>7.5</v>
      </c>
      <c r="N82" s="239">
        <v>24500</v>
      </c>
      <c r="O82" s="239">
        <v>26200</v>
      </c>
      <c r="P82" s="240">
        <v>93.4</v>
      </c>
      <c r="Q82" s="240">
        <v>5.7</v>
      </c>
      <c r="S82" s="246"/>
    </row>
    <row r="83" spans="1:19">
      <c r="A83" s="246" t="s">
        <v>32</v>
      </c>
      <c r="B83" s="239">
        <v>23700</v>
      </c>
      <c r="C83" s="239">
        <v>29900</v>
      </c>
      <c r="D83" s="240">
        <v>79.400000000000006</v>
      </c>
      <c r="E83" s="240">
        <v>5.6</v>
      </c>
      <c r="F83" s="239">
        <v>21500</v>
      </c>
      <c r="G83" s="239">
        <v>27900</v>
      </c>
      <c r="H83" s="240">
        <v>77</v>
      </c>
      <c r="I83" s="240">
        <v>6.4</v>
      </c>
      <c r="J83" s="239">
        <v>24900</v>
      </c>
      <c r="K83" s="239">
        <v>29900</v>
      </c>
      <c r="L83" s="240">
        <v>83.5</v>
      </c>
      <c r="M83" s="240">
        <v>5.7</v>
      </c>
      <c r="N83" s="239">
        <v>22300</v>
      </c>
      <c r="O83" s="239">
        <v>28300</v>
      </c>
      <c r="P83" s="240">
        <v>78.8</v>
      </c>
      <c r="Q83" s="240">
        <v>7.7</v>
      </c>
      <c r="S83" s="246"/>
    </row>
    <row r="84" spans="1:19">
      <c r="A84" s="246" t="s">
        <v>33</v>
      </c>
      <c r="B84" s="239">
        <v>6300</v>
      </c>
      <c r="C84" s="239">
        <v>7800</v>
      </c>
      <c r="D84" s="240">
        <v>80.2</v>
      </c>
      <c r="E84" s="240">
        <v>6.9</v>
      </c>
      <c r="F84" s="239">
        <v>6200</v>
      </c>
      <c r="G84" s="239">
        <v>7800</v>
      </c>
      <c r="H84" s="240">
        <v>79.3</v>
      </c>
      <c r="I84" s="240">
        <v>8.8000000000000007</v>
      </c>
      <c r="J84" s="239">
        <v>6800</v>
      </c>
      <c r="K84" s="239">
        <v>8000</v>
      </c>
      <c r="L84" s="240">
        <v>85</v>
      </c>
      <c r="M84" s="240">
        <v>8.8000000000000007</v>
      </c>
      <c r="N84" s="239">
        <v>6900</v>
      </c>
      <c r="O84" s="239">
        <v>9000</v>
      </c>
      <c r="P84" s="240">
        <v>76.400000000000006</v>
      </c>
      <c r="Q84" s="240">
        <v>12.8</v>
      </c>
      <c r="S84" s="246"/>
    </row>
    <row r="85" spans="1:19">
      <c r="A85" s="246" t="s">
        <v>34</v>
      </c>
      <c r="B85" s="239">
        <v>26700</v>
      </c>
      <c r="C85" s="239">
        <v>36800</v>
      </c>
      <c r="D85" s="240">
        <v>72.599999999999994</v>
      </c>
      <c r="E85" s="240">
        <v>6.6</v>
      </c>
      <c r="F85" s="239">
        <v>24800</v>
      </c>
      <c r="G85" s="239">
        <v>38200</v>
      </c>
      <c r="H85" s="240">
        <v>65.099999999999994</v>
      </c>
      <c r="I85" s="240">
        <v>6.8</v>
      </c>
      <c r="J85" s="239">
        <v>28300</v>
      </c>
      <c r="K85" s="239">
        <v>37500</v>
      </c>
      <c r="L85" s="240">
        <v>75.400000000000006</v>
      </c>
      <c r="M85" s="240">
        <v>6.3</v>
      </c>
      <c r="N85" s="239">
        <v>28100</v>
      </c>
      <c r="O85" s="239">
        <v>38900</v>
      </c>
      <c r="P85" s="240">
        <v>72.2</v>
      </c>
      <c r="Q85" s="240">
        <v>8.1999999999999993</v>
      </c>
      <c r="S85" s="246"/>
    </row>
    <row r="86" spans="1:19">
      <c r="A86" s="246" t="s">
        <v>35</v>
      </c>
      <c r="B86" s="239">
        <v>77600</v>
      </c>
      <c r="C86" s="239">
        <v>107100</v>
      </c>
      <c r="D86" s="240">
        <v>72.400000000000006</v>
      </c>
      <c r="E86" s="240">
        <v>5.9</v>
      </c>
      <c r="F86" s="239">
        <v>71200</v>
      </c>
      <c r="G86" s="239">
        <v>103300</v>
      </c>
      <c r="H86" s="240">
        <v>68.900000000000006</v>
      </c>
      <c r="I86" s="240">
        <v>6.5</v>
      </c>
      <c r="J86" s="239">
        <v>79700</v>
      </c>
      <c r="K86" s="239">
        <v>110700</v>
      </c>
      <c r="L86" s="240">
        <v>72</v>
      </c>
      <c r="M86" s="240">
        <v>6.6</v>
      </c>
      <c r="N86" s="239">
        <v>88500</v>
      </c>
      <c r="O86" s="239">
        <v>112700</v>
      </c>
      <c r="P86" s="240">
        <v>78.5</v>
      </c>
      <c r="Q86" s="240">
        <v>6.9</v>
      </c>
      <c r="S86" s="246"/>
    </row>
    <row r="87" spans="1:19">
      <c r="A87" s="246" t="s">
        <v>36</v>
      </c>
      <c r="B87" s="239">
        <v>6000</v>
      </c>
      <c r="C87" s="239">
        <v>7300</v>
      </c>
      <c r="D87" s="240">
        <v>82.4</v>
      </c>
      <c r="E87" s="240">
        <v>12.4</v>
      </c>
      <c r="F87" s="239">
        <v>4000</v>
      </c>
      <c r="G87" s="239">
        <v>6900</v>
      </c>
      <c r="H87" s="240">
        <v>58.4</v>
      </c>
      <c r="I87" s="240">
        <v>22.2</v>
      </c>
      <c r="J87" s="239">
        <v>5400</v>
      </c>
      <c r="K87" s="239">
        <v>6300</v>
      </c>
      <c r="L87" s="240">
        <v>86.4</v>
      </c>
      <c r="M87" s="240">
        <v>17.3</v>
      </c>
      <c r="N87" s="239">
        <v>6000</v>
      </c>
      <c r="O87" s="239">
        <v>7000</v>
      </c>
      <c r="P87" s="240">
        <v>85.7</v>
      </c>
      <c r="Q87" s="240">
        <v>19.8</v>
      </c>
      <c r="S87" s="246"/>
    </row>
    <row r="88" spans="1:19">
      <c r="A88" s="246" t="s">
        <v>37</v>
      </c>
      <c r="B88" s="239">
        <v>33300</v>
      </c>
      <c r="C88" s="239">
        <v>40200</v>
      </c>
      <c r="D88" s="240">
        <v>83</v>
      </c>
      <c r="E88" s="240">
        <v>4.9000000000000004</v>
      </c>
      <c r="F88" s="239">
        <v>33700</v>
      </c>
      <c r="G88" s="239">
        <v>40900</v>
      </c>
      <c r="H88" s="240">
        <v>82.5</v>
      </c>
      <c r="I88" s="240">
        <v>5.0999999999999996</v>
      </c>
      <c r="J88" s="239">
        <v>34800</v>
      </c>
      <c r="K88" s="239">
        <v>43900</v>
      </c>
      <c r="L88" s="240">
        <v>79.099999999999994</v>
      </c>
      <c r="M88" s="240">
        <v>5.8</v>
      </c>
      <c r="N88" s="239">
        <v>36300</v>
      </c>
      <c r="O88" s="239">
        <v>44400</v>
      </c>
      <c r="P88" s="240">
        <v>81.599999999999994</v>
      </c>
      <c r="Q88" s="240">
        <v>6.6</v>
      </c>
      <c r="S88" s="246"/>
    </row>
    <row r="89" spans="1:19">
      <c r="A89" s="246" t="s">
        <v>38</v>
      </c>
      <c r="B89" s="239">
        <v>42200</v>
      </c>
      <c r="C89" s="239">
        <v>53500</v>
      </c>
      <c r="D89" s="240">
        <v>78.7</v>
      </c>
      <c r="E89" s="240">
        <v>5.7</v>
      </c>
      <c r="F89" s="239">
        <v>38700</v>
      </c>
      <c r="G89" s="239">
        <v>53700</v>
      </c>
      <c r="H89" s="240">
        <v>72.099999999999994</v>
      </c>
      <c r="I89" s="240">
        <v>6.4</v>
      </c>
      <c r="J89" s="239">
        <v>37000</v>
      </c>
      <c r="K89" s="239">
        <v>54900</v>
      </c>
      <c r="L89" s="240">
        <v>67.3</v>
      </c>
      <c r="M89" s="240">
        <v>7.4</v>
      </c>
      <c r="N89" s="239">
        <v>39600</v>
      </c>
      <c r="O89" s="239">
        <v>48800</v>
      </c>
      <c r="P89" s="240">
        <v>81.099999999999994</v>
      </c>
      <c r="Q89" s="240">
        <v>7.1</v>
      </c>
      <c r="S89" s="246"/>
    </row>
    <row r="90" spans="1:19">
      <c r="A90" s="246" t="s">
        <v>39</v>
      </c>
      <c r="B90" s="239">
        <v>27400</v>
      </c>
      <c r="C90" s="239">
        <v>33200</v>
      </c>
      <c r="D90" s="240">
        <v>82.7</v>
      </c>
      <c r="E90" s="240">
        <v>5.4</v>
      </c>
      <c r="F90" s="239">
        <v>21400</v>
      </c>
      <c r="G90" s="239">
        <v>31600</v>
      </c>
      <c r="H90" s="240">
        <v>67.599999999999994</v>
      </c>
      <c r="I90" s="240">
        <v>7.1</v>
      </c>
      <c r="J90" s="239">
        <v>25400</v>
      </c>
      <c r="K90" s="239">
        <v>32300</v>
      </c>
      <c r="L90" s="240">
        <v>78.7</v>
      </c>
      <c r="M90" s="240">
        <v>6.2</v>
      </c>
      <c r="N90" s="239">
        <v>24200</v>
      </c>
      <c r="O90" s="239">
        <v>31600</v>
      </c>
      <c r="P90" s="240">
        <v>76.599999999999994</v>
      </c>
      <c r="Q90" s="240">
        <v>8.1</v>
      </c>
      <c r="S90" s="246"/>
    </row>
    <row r="91" spans="1:19">
      <c r="A91" s="246" t="s">
        <v>40</v>
      </c>
      <c r="B91" s="239">
        <v>5600</v>
      </c>
      <c r="C91" s="239">
        <v>7100</v>
      </c>
      <c r="D91" s="240">
        <v>79</v>
      </c>
      <c r="E91" s="240">
        <v>16.3</v>
      </c>
      <c r="F91" s="239">
        <v>4300</v>
      </c>
      <c r="G91" s="239">
        <v>5900</v>
      </c>
      <c r="H91" s="240">
        <v>71.8</v>
      </c>
      <c r="I91" s="240">
        <v>23.6</v>
      </c>
      <c r="J91" s="239">
        <v>5300</v>
      </c>
      <c r="K91" s="239">
        <v>7100</v>
      </c>
      <c r="L91" s="240">
        <v>74.7</v>
      </c>
      <c r="M91" s="240">
        <v>21.3</v>
      </c>
      <c r="N91" s="239">
        <v>6200</v>
      </c>
      <c r="O91" s="239">
        <v>7100</v>
      </c>
      <c r="P91" s="240">
        <v>87.2</v>
      </c>
      <c r="Q91" s="240">
        <v>18.2</v>
      </c>
      <c r="S91" s="246"/>
    </row>
    <row r="92" spans="1:19">
      <c r="A92" s="246" t="s">
        <v>41</v>
      </c>
      <c r="B92" s="239">
        <v>22300</v>
      </c>
      <c r="C92" s="239">
        <v>31900</v>
      </c>
      <c r="D92" s="240">
        <v>70.099999999999994</v>
      </c>
      <c r="E92" s="240">
        <v>6.4</v>
      </c>
      <c r="F92" s="239">
        <v>22800</v>
      </c>
      <c r="G92" s="239">
        <v>34100</v>
      </c>
      <c r="H92" s="240">
        <v>66.8</v>
      </c>
      <c r="I92" s="240">
        <v>7</v>
      </c>
      <c r="J92" s="239">
        <v>19900</v>
      </c>
      <c r="K92" s="239">
        <v>30700</v>
      </c>
      <c r="L92" s="240">
        <v>65</v>
      </c>
      <c r="M92" s="240">
        <v>7.7</v>
      </c>
      <c r="N92" s="239">
        <v>19200</v>
      </c>
      <c r="O92" s="239">
        <v>31400</v>
      </c>
      <c r="P92" s="240">
        <v>61.2</v>
      </c>
      <c r="Q92" s="240">
        <v>9.5</v>
      </c>
      <c r="S92" s="246"/>
    </row>
    <row r="93" spans="1:19">
      <c r="A93" s="246" t="s">
        <v>42</v>
      </c>
      <c r="B93" s="239">
        <v>74300</v>
      </c>
      <c r="C93" s="239">
        <v>93100</v>
      </c>
      <c r="D93" s="240">
        <v>79.8</v>
      </c>
      <c r="E93" s="240">
        <v>5.0999999999999996</v>
      </c>
      <c r="F93" s="239">
        <v>77900</v>
      </c>
      <c r="G93" s="239">
        <v>94200</v>
      </c>
      <c r="H93" s="240">
        <v>82.7</v>
      </c>
      <c r="I93" s="240">
        <v>5.0999999999999996</v>
      </c>
      <c r="J93" s="239">
        <v>78500</v>
      </c>
      <c r="K93" s="239">
        <v>93800</v>
      </c>
      <c r="L93" s="240">
        <v>83.6</v>
      </c>
      <c r="M93" s="240">
        <v>5</v>
      </c>
      <c r="N93" s="239">
        <v>80000</v>
      </c>
      <c r="O93" s="239">
        <v>96800</v>
      </c>
      <c r="P93" s="240">
        <v>82.6</v>
      </c>
      <c r="Q93" s="240">
        <v>6.2</v>
      </c>
      <c r="S93" s="246"/>
    </row>
    <row r="94" spans="1:19">
      <c r="A94" s="242" t="s">
        <v>235</v>
      </c>
      <c r="B94" s="314">
        <f>SUM(B93,B86)</f>
        <v>151900</v>
      </c>
      <c r="C94" s="314">
        <f>SUM(C93,C86)</f>
        <v>200200</v>
      </c>
      <c r="D94" s="315">
        <f>100*(B94/C94)</f>
        <v>75.87412587412588</v>
      </c>
      <c r="E94" s="315"/>
      <c r="F94" s="314">
        <f>SUM(F93,F86)</f>
        <v>149100</v>
      </c>
      <c r="G94" s="314">
        <f>SUM(G93,G86)</f>
        <v>197500</v>
      </c>
      <c r="H94" s="315">
        <f>100*(F94/G94)</f>
        <v>75.493670886075947</v>
      </c>
      <c r="I94" s="315"/>
      <c r="J94" s="314">
        <f>SUM(J93,J86)</f>
        <v>158200</v>
      </c>
      <c r="K94" s="314">
        <f>SUM(K93,K86)</f>
        <v>204500</v>
      </c>
      <c r="L94" s="315">
        <f>100*(J94/K94)</f>
        <v>77.359413202933979</v>
      </c>
      <c r="M94" s="315"/>
      <c r="N94" s="314">
        <f>SUM(N93,N86)</f>
        <v>168500</v>
      </c>
      <c r="O94" s="314">
        <f>SUM(O93,O86)</f>
        <v>209500</v>
      </c>
      <c r="P94" s="315">
        <f>100*(N94/O94)</f>
        <v>80.429594272076372</v>
      </c>
      <c r="Q94" s="240">
        <v>6.2</v>
      </c>
      <c r="S94" s="246"/>
    </row>
    <row r="95" spans="1:19">
      <c r="A95" s="246" t="s">
        <v>43</v>
      </c>
      <c r="B95" s="239">
        <v>22700</v>
      </c>
      <c r="C95" s="239">
        <v>30700</v>
      </c>
      <c r="D95" s="240">
        <v>73.900000000000006</v>
      </c>
      <c r="E95" s="240">
        <v>5.8</v>
      </c>
      <c r="F95" s="239">
        <v>21900</v>
      </c>
      <c r="G95" s="239">
        <v>29100</v>
      </c>
      <c r="H95" s="240">
        <v>75</v>
      </c>
      <c r="I95" s="240">
        <v>6.6</v>
      </c>
      <c r="J95" s="239">
        <v>22000</v>
      </c>
      <c r="K95" s="239">
        <v>28300</v>
      </c>
      <c r="L95" s="240">
        <v>77.7</v>
      </c>
      <c r="M95" s="240">
        <v>5.7</v>
      </c>
      <c r="N95" s="239">
        <v>23700</v>
      </c>
      <c r="O95" s="239">
        <v>30300</v>
      </c>
      <c r="P95" s="240">
        <v>78.3</v>
      </c>
      <c r="Q95" s="240">
        <v>6.2</v>
      </c>
      <c r="S95" s="246"/>
    </row>
    <row r="96" spans="1:19">
      <c r="A96" s="246" t="s">
        <v>44</v>
      </c>
      <c r="B96" s="239">
        <v>20700</v>
      </c>
      <c r="C96" s="239">
        <v>27900</v>
      </c>
      <c r="D96" s="240">
        <v>74.400000000000006</v>
      </c>
      <c r="E96" s="240">
        <v>5.4</v>
      </c>
      <c r="F96" s="239">
        <v>19500</v>
      </c>
      <c r="G96" s="239">
        <v>26300</v>
      </c>
      <c r="H96" s="240">
        <v>74.099999999999994</v>
      </c>
      <c r="I96" s="240">
        <v>6.1</v>
      </c>
      <c r="J96" s="239">
        <v>21500</v>
      </c>
      <c r="K96" s="239">
        <v>28000</v>
      </c>
      <c r="L96" s="240">
        <v>76.8</v>
      </c>
      <c r="M96" s="240">
        <v>6</v>
      </c>
      <c r="N96" s="239">
        <v>19700</v>
      </c>
      <c r="O96" s="239">
        <v>27600</v>
      </c>
      <c r="P96" s="240">
        <v>71.3</v>
      </c>
      <c r="Q96" s="240">
        <v>7.1</v>
      </c>
      <c r="S96" s="246"/>
    </row>
    <row r="97" spans="1:17">
      <c r="A97" s="246" t="s">
        <v>45</v>
      </c>
      <c r="B97" s="239">
        <v>42400</v>
      </c>
      <c r="C97" s="239">
        <v>56100</v>
      </c>
      <c r="D97" s="240">
        <v>75.599999999999994</v>
      </c>
      <c r="E97" s="240">
        <v>5.9</v>
      </c>
      <c r="F97" s="239">
        <v>43400</v>
      </c>
      <c r="G97" s="239">
        <v>55900</v>
      </c>
      <c r="H97" s="240">
        <v>77.599999999999994</v>
      </c>
      <c r="I97" s="240">
        <v>6.4</v>
      </c>
      <c r="J97" s="239">
        <v>45300</v>
      </c>
      <c r="K97" s="239">
        <v>57600</v>
      </c>
      <c r="L97" s="240">
        <v>78.5</v>
      </c>
      <c r="M97" s="240">
        <v>5.8</v>
      </c>
      <c r="N97" s="239">
        <v>44800</v>
      </c>
      <c r="O97" s="239">
        <v>55400</v>
      </c>
      <c r="P97" s="240">
        <v>80.900000000000006</v>
      </c>
      <c r="Q97" s="240">
        <v>6.7</v>
      </c>
    </row>
    <row r="98" spans="1:17">
      <c r="A98" s="242"/>
      <c r="B98" s="243"/>
      <c r="C98" s="243"/>
      <c r="D98" s="244"/>
      <c r="E98" s="244"/>
      <c r="F98" s="243"/>
      <c r="G98" s="243"/>
      <c r="H98" s="244"/>
      <c r="I98" s="244"/>
      <c r="J98" s="243"/>
      <c r="K98" s="243"/>
      <c r="L98" s="244"/>
      <c r="M98" s="244"/>
      <c r="N98" s="243"/>
      <c r="O98" s="243"/>
      <c r="P98" s="244"/>
      <c r="Q98" s="244"/>
    </row>
    <row r="99" spans="1:17">
      <c r="A99" s="246" t="s">
        <v>46</v>
      </c>
      <c r="B99" s="239">
        <v>1272800</v>
      </c>
      <c r="C99" s="239">
        <v>1678500</v>
      </c>
      <c r="D99" s="240">
        <v>75.8</v>
      </c>
      <c r="E99" s="240">
        <v>1</v>
      </c>
      <c r="F99" s="239">
        <v>1269300</v>
      </c>
      <c r="G99" s="239">
        <v>1674400</v>
      </c>
      <c r="H99" s="240">
        <v>75.8</v>
      </c>
      <c r="I99" s="240">
        <v>1.1000000000000001</v>
      </c>
      <c r="J99" s="239">
        <v>1280100</v>
      </c>
      <c r="K99" s="239">
        <v>1680200</v>
      </c>
      <c r="L99" s="240">
        <v>76.2</v>
      </c>
      <c r="M99" s="240">
        <v>1.2</v>
      </c>
      <c r="N99" s="239">
        <v>1297200</v>
      </c>
      <c r="O99" s="239">
        <v>1686500</v>
      </c>
      <c r="P99" s="240">
        <v>76.900000000000006</v>
      </c>
      <c r="Q99" s="240">
        <v>1.3</v>
      </c>
    </row>
    <row r="100" spans="1:17">
      <c r="A100" s="246" t="s">
        <v>47</v>
      </c>
      <c r="B100" s="239">
        <v>16168500</v>
      </c>
      <c r="C100" s="239">
        <v>20589500</v>
      </c>
      <c r="D100" s="240">
        <v>78.5</v>
      </c>
      <c r="E100" s="240">
        <v>0.3</v>
      </c>
      <c r="F100" s="239">
        <v>16072800</v>
      </c>
      <c r="G100" s="239">
        <v>20597600</v>
      </c>
      <c r="H100" s="240">
        <v>78</v>
      </c>
      <c r="I100" s="240">
        <v>0.3</v>
      </c>
      <c r="J100" s="239">
        <v>16293200</v>
      </c>
      <c r="K100" s="239">
        <v>20669400</v>
      </c>
      <c r="L100" s="240">
        <v>78.8</v>
      </c>
      <c r="M100" s="240">
        <v>0.4</v>
      </c>
      <c r="N100" s="239">
        <v>16451700</v>
      </c>
      <c r="O100" s="239">
        <v>20750900</v>
      </c>
      <c r="P100" s="240">
        <v>79.3</v>
      </c>
      <c r="Q100" s="240">
        <v>0.4</v>
      </c>
    </row>
    <row r="101" spans="1:17">
      <c r="A101" s="242" t="s">
        <v>246</v>
      </c>
      <c r="B101" s="125">
        <f>SUM(SUMIFS(B$65:B$97,$A$65:$A$97,{"Na h-Eileanan Siar","Argyll and Bute","Shetland Islands","Highland","Orkney Islands","Scottish Borders","Dumfries and Galloway","Aberdeenshire"}))</f>
        <v>214100</v>
      </c>
      <c r="C101" s="125">
        <f>SUM(SUMIFS(C$65:C$97,$A$65:$A$97,{"Na h-Eileanan Siar","Argyll and Bute","Shetland Islands","Highland","Orkney Islands","Scottish Borders","Dumfries and Galloway","Aberdeenshire"}))</f>
        <v>266800</v>
      </c>
      <c r="D101" s="361">
        <f>SUM(B101/C101)*100</f>
        <v>80.247376311844079</v>
      </c>
      <c r="E101" s="244"/>
      <c r="F101" s="125">
        <f>SUM(SUMIFS(F$65:F$97,$A$65:$A$97,{"Na h-Eileanan Siar","Argyll and Bute","Shetland Islands","Highland","Orkney Islands","Scottish Borders","Dumfries and Galloway","Aberdeenshire"}))</f>
        <v>202300</v>
      </c>
      <c r="G101" s="125">
        <f>SUM(SUMIFS(G$65:G$97,$A$65:$A$97,{"Na h-Eileanan Siar","Argyll and Bute","Shetland Islands","Highland","Orkney Islands","Scottish Borders","Dumfries and Galloway","Aberdeenshire"}))</f>
        <v>270500</v>
      </c>
      <c r="H101" s="361">
        <f t="shared" ref="H101:H104" si="8">SUM(F101/G101)*100</f>
        <v>74.787430683918672</v>
      </c>
      <c r="I101" s="244"/>
      <c r="J101" s="125">
        <f>SUM(SUMIFS(J$65:J$97,$A$65:$A$97,{"Na h-Eileanan Siar","Argyll and Bute","Shetland Islands","Highland","Orkney Islands","Scottish Borders","Dumfries and Galloway","Aberdeenshire"}))</f>
        <v>208100</v>
      </c>
      <c r="K101" s="125">
        <f>SUM(SUMIFS(K$65:K$97,$A$65:$A$97,{"Na h-Eileanan Siar","Argyll and Bute","Shetland Islands","Highland","Orkney Islands","Scottish Borders","Dumfries and Galloway","Aberdeenshire"}))</f>
        <v>270400</v>
      </c>
      <c r="L101" s="361">
        <f t="shared" ref="L101:L104" si="9">SUM(J101/K101)*100</f>
        <v>76.960059171597635</v>
      </c>
      <c r="M101" s="244"/>
      <c r="N101" s="125">
        <f>SUM(SUMIFS(N$65:N$97,$A$65:$A$97,{"Na h-Eileanan Siar","Argyll and Bute","Shetland Islands","Highland","Orkney Islands","Scottish Borders","Dumfries and Galloway","Aberdeenshire"}))</f>
        <v>216500</v>
      </c>
      <c r="O101" s="125">
        <f>SUM(SUMIFS(O$65:O$97,$A$65:$A$97,{"Na h-Eileanan Siar","Argyll and Bute","Shetland Islands","Highland","Orkney Islands","Scottish Borders","Dumfries and Galloway","Aberdeenshire"}))</f>
        <v>281800</v>
      </c>
      <c r="P101" s="361">
        <f t="shared" ref="P101:P104" si="10">SUM(N101/O101)*100</f>
        <v>76.827537260468418</v>
      </c>
      <c r="Q101" s="244"/>
    </row>
    <row r="102" spans="1:17">
      <c r="A102" s="242" t="s">
        <v>247</v>
      </c>
      <c r="B102" s="125">
        <f>SUM(SUMIFS(B$65:B$97,$A$65:$A$97,{"Perth and Kinross","Stirling","Moray","South Ayrshire","East Ayrshire","East Lothian","North Ayrshire","Fife"}))</f>
        <v>261500</v>
      </c>
      <c r="C102" s="125">
        <f>SUM(SUMIFS(C$65:C$97,$A$65:$A$97,{"Perth and Kinross","Stirling","Moray","South Ayrshire","East Ayrshire","East Lothian","North Ayrshire","Fife"}))</f>
        <v>348300</v>
      </c>
      <c r="D102" s="361">
        <f t="shared" ref="D102:D104" si="11">SUM(B102/C102)*100</f>
        <v>75.078954923916157</v>
      </c>
      <c r="E102" s="244"/>
      <c r="F102" s="125">
        <f>SUM(SUMIFS(F$65:F$97,$A$65:$A$97,{"Perth and Kinross","Stirling","Moray","South Ayrshire","East Ayrshire","East Lothian","North Ayrshire","Fife"}))</f>
        <v>254300</v>
      </c>
      <c r="G102" s="125">
        <f>SUM(SUMIFS(G$65:G$97,$A$65:$A$97,{"Perth and Kinross","Stirling","Moray","South Ayrshire","East Ayrshire","East Lothian","North Ayrshire","Fife"}))</f>
        <v>350000</v>
      </c>
      <c r="H102" s="361">
        <f t="shared" si="8"/>
        <v>72.657142857142858</v>
      </c>
      <c r="I102" s="244"/>
      <c r="J102" s="125">
        <f>SUM(SUMIFS(J$65:J$97,$A$65:$A$97,{"Perth and Kinross","Stirling","Moray","South Ayrshire","East Ayrshire","East Lothian","North Ayrshire","Fife"}))</f>
        <v>267600</v>
      </c>
      <c r="K102" s="125">
        <f>SUM(SUMIFS(K$65:K$97,$A$65:$A$97,{"Perth and Kinross","Stirling","Moray","South Ayrshire","East Ayrshire","East Lothian","North Ayrshire","Fife"}))</f>
        <v>350500</v>
      </c>
      <c r="L102" s="361">
        <f t="shared" si="9"/>
        <v>76.348074179743222</v>
      </c>
      <c r="M102" s="244"/>
      <c r="N102" s="125">
        <f>SUM(SUMIFS(N$65:N$97,$A$65:$A$97,{"Perth and Kinross","Stirling","Moray","South Ayrshire","East Ayrshire","East Lothian","North Ayrshire","Fife"}))</f>
        <v>261900</v>
      </c>
      <c r="O102" s="125">
        <f>SUM(SUMIFS(O$65:O$97,$A$65:$A$97,{"Perth and Kinross","Stirling","Moray","South Ayrshire","East Ayrshire","East Lothian","North Ayrshire","Fife"}))</f>
        <v>344700</v>
      </c>
      <c r="P102" s="361">
        <f t="shared" si="10"/>
        <v>75.979112271540473</v>
      </c>
      <c r="Q102" s="244"/>
    </row>
    <row r="103" spans="1:17">
      <c r="A103" s="242" t="s">
        <v>248</v>
      </c>
      <c r="B103" s="125" cm="1">
        <f t="array" ref="B103">SUM(SUMIFS(B$65:B$97,$A$65:$A$97,{"Angus","Clackmannanshire","Midlothian","South Lanarkshire","Inverclyde","Renfrewshire","West Lothian","East Renfrewshire"}))</f>
        <v>254700</v>
      </c>
      <c r="C103" s="125">
        <f>SUM(SUMIFS(C$65:C$97,$A$65:$A$97,{"Angus","Clackmannanshire","Midlothian","South Lanarkshire","Inverclyde","Renfrewshire","West Lothian","East Renfrewshire"}))</f>
        <v>330700</v>
      </c>
      <c r="D103" s="361">
        <f t="shared" si="11"/>
        <v>77.018445721197466</v>
      </c>
      <c r="E103" s="244"/>
      <c r="F103" s="125">
        <f>SUM(SUMIFS(F$65:F$97,$A$65:$A$97,{"Angus","Clackmannanshire","Midlothian","South Lanarkshire","Inverclyde","Renfrewshire","West Lothian","East Renfrewshire"}))</f>
        <v>258200</v>
      </c>
      <c r="G103" s="125">
        <f>SUM(SUMIFS(G$65:G$97,$A$65:$A$97,{"Angus","Clackmannanshire","Midlothian","South Lanarkshire","Inverclyde","Renfrewshire","West Lothian","East Renfrewshire"}))</f>
        <v>333400</v>
      </c>
      <c r="H103" s="361">
        <f t="shared" si="8"/>
        <v>77.444511097780449</v>
      </c>
      <c r="I103" s="244"/>
      <c r="J103" s="125">
        <f>SUM(SUMIFS(J$65:J$97,$A$65:$A$97,{"Angus","Clackmannanshire","Midlothian","South Lanarkshire","Inverclyde","Renfrewshire","West Lothian","East Renfrewshire"}))</f>
        <v>254000</v>
      </c>
      <c r="K103" s="125">
        <f>SUM(SUMIFS(K$65:K$97,$A$65:$A$97,{"Angus","Clackmannanshire","Midlothian","South Lanarkshire","Inverclyde","Renfrewshire","West Lothian","East Renfrewshire"}))</f>
        <v>329300</v>
      </c>
      <c r="L103" s="361">
        <f t="shared" si="9"/>
        <v>77.133313088369277</v>
      </c>
      <c r="M103" s="244"/>
      <c r="N103" s="125">
        <f>SUM(SUMIFS(N$65:N$97,$A$65:$A$97,{"Angus","Clackmannanshire","Midlothian","South Lanarkshire","Inverclyde","Renfrewshire","West Lothian","East Renfrewshire"}))</f>
        <v>257100</v>
      </c>
      <c r="O103" s="125">
        <f>SUM(SUMIFS(O$65:O$97,$A$65:$A$97,{"Angus","Clackmannanshire","Midlothian","South Lanarkshire","Inverclyde","Renfrewshire","West Lothian","East Renfrewshire"}))</f>
        <v>323700</v>
      </c>
      <c r="P103" s="361">
        <f t="shared" si="10"/>
        <v>79.425393883225198</v>
      </c>
      <c r="Q103" s="244"/>
    </row>
    <row r="104" spans="1:17">
      <c r="A104" s="242" t="s">
        <v>249</v>
      </c>
      <c r="B104" s="125">
        <f>SUM(SUMIFS(B$65:B$97,$A$65:$A$97,{"North Lanarkshire","Falkirk","East Dunbartonshire","Aberdeen City","Edinburgh, City of","West Dunbartonshire","Dundee City","Glasgow City"}))</f>
        <v>542400</v>
      </c>
      <c r="C104" s="125">
        <f>SUM(SUMIFS(C$65:C$97,$A$65:$A$97,{"North Lanarkshire","Falkirk","East Dunbartonshire","Aberdeen City","Edinburgh, City of","West Dunbartonshire","Dundee City","Glasgow City"}))</f>
        <v>732600</v>
      </c>
      <c r="D104" s="361">
        <f t="shared" si="11"/>
        <v>74.037674037674037</v>
      </c>
      <c r="E104" s="244"/>
      <c r="F104" s="125">
        <f>SUM(SUMIFS(F$65:F$97,$A$65:$A$97,{"North Lanarkshire","Falkirk","East Dunbartonshire","Aberdeen City","Edinburgh, City of","West Dunbartonshire","Dundee City","Glasgow City"}))</f>
        <v>554600</v>
      </c>
      <c r="G104" s="125">
        <f>SUM(SUMIFS(G$65:G$97,$A$65:$A$97,{"North Lanarkshire","Falkirk","East Dunbartonshire","Aberdeen City","Edinburgh, City of","West Dunbartonshire","Dundee City","Glasgow City"}))</f>
        <v>720400</v>
      </c>
      <c r="H104" s="361">
        <f t="shared" si="8"/>
        <v>76.985008328706272</v>
      </c>
      <c r="I104" s="244"/>
      <c r="J104" s="125">
        <f>SUM(SUMIFS(J$65:J$97,$A$65:$A$97,{"North Lanarkshire","Falkirk","East Dunbartonshire","Aberdeen City","Edinburgh, City of","West Dunbartonshire","Dundee City","Glasgow City"}))</f>
        <v>550500</v>
      </c>
      <c r="K104" s="125">
        <f>SUM(SUMIFS(K$65:K$97,$A$65:$A$97,{"North Lanarkshire","Falkirk","East Dunbartonshire","Aberdeen City","Edinburgh, City of","West Dunbartonshire","Dundee City","Glasgow City"}))</f>
        <v>730000</v>
      </c>
      <c r="L104" s="361">
        <f t="shared" si="9"/>
        <v>75.410958904109592</v>
      </c>
      <c r="M104" s="244"/>
      <c r="N104" s="125">
        <f>SUM(SUMIFS(N$65:N$97,$A$65:$A$97,{"North Lanarkshire","Falkirk","East Dunbartonshire","Aberdeen City","Edinburgh, City of","West Dunbartonshire","Dundee City","Glasgow City"}))</f>
        <v>561800</v>
      </c>
      <c r="O104" s="125">
        <f>SUM(SUMIFS(O$65:O$97,$A$65:$A$97,{"North Lanarkshire","Falkirk","East Dunbartonshire","Aberdeen City","Edinburgh, City of","West Dunbartonshire","Dundee City","Glasgow City"}))</f>
        <v>736100</v>
      </c>
      <c r="P104" s="361">
        <f t="shared" si="10"/>
        <v>76.32115201738894</v>
      </c>
      <c r="Q104" s="244"/>
    </row>
    <row r="105" spans="1:17">
      <c r="A105" s="246" t="s">
        <v>48</v>
      </c>
      <c r="B105" s="239">
        <v>433500</v>
      </c>
      <c r="C105" s="239">
        <v>575600</v>
      </c>
      <c r="D105" s="240">
        <v>75.3</v>
      </c>
      <c r="E105" s="240">
        <v>1.9</v>
      </c>
      <c r="F105" s="239">
        <v>423200</v>
      </c>
      <c r="G105" s="239">
        <v>560100</v>
      </c>
      <c r="H105" s="240">
        <v>75.5</v>
      </c>
      <c r="I105" s="240">
        <v>2</v>
      </c>
      <c r="J105" s="239">
        <v>433600</v>
      </c>
      <c r="K105" s="239">
        <v>573100</v>
      </c>
      <c r="L105" s="240">
        <v>75.7</v>
      </c>
      <c r="M105" s="240">
        <v>2.2000000000000002</v>
      </c>
      <c r="N105" s="239">
        <v>439200</v>
      </c>
      <c r="O105" s="239">
        <v>579000</v>
      </c>
      <c r="P105" s="240">
        <v>75.900000000000006</v>
      </c>
      <c r="Q105" s="240">
        <v>2.5</v>
      </c>
    </row>
    <row r="106" spans="1:17" customFormat="1">
      <c r="A106" s="10" t="s">
        <v>156</v>
      </c>
      <c r="B106" s="15" cm="1">
        <f t="array" ref="B106">SUM(SUMIFS(B$65:B$97,$A$65:$A$97,{"Aberdeen City","Aberdeenshire"}))</f>
        <v>125900</v>
      </c>
      <c r="C106" s="15" cm="1">
        <f t="array" ref="C106">SUM(SUMIFS(C$65:C$97,$A$65:$A$97,{"Aberdeen City","Aberdeenshire"}))</f>
        <v>163900</v>
      </c>
      <c r="D106" s="14">
        <f>SUM(B106/C106)*100</f>
        <v>76.815131177547286</v>
      </c>
      <c r="E106" s="15"/>
      <c r="F106" s="15" cm="1">
        <f t="array" ref="F106">SUM(SUMIFS(F$65:F$97,$A$65:$A$97,{"Aberdeen City","Aberdeenshire"}))</f>
        <v>132800</v>
      </c>
      <c r="G106" s="15" cm="1">
        <f t="array" ref="G106">SUM(SUMIFS(G$65:G$97,$A$65:$A$97,{"Aberdeen City","Aberdeenshire"}))</f>
        <v>169400</v>
      </c>
      <c r="H106" s="14">
        <f t="shared" ref="H106:H109" si="12">SUM(F106/G106)*100</f>
        <v>78.394332939787475</v>
      </c>
      <c r="I106" s="15"/>
      <c r="J106" s="15" cm="1">
        <f t="array" ref="J106">SUM(SUMIFS(J$65:J$97,$A$65:$A$97,{"Aberdeen City","Aberdeenshire"}))</f>
        <v>126200</v>
      </c>
      <c r="K106" s="15" cm="1">
        <f t="array" ref="K106">SUM(SUMIFS(K$65:K$97,$A$65:$A$97,{"Aberdeen City","Aberdeenshire"}))</f>
        <v>164100</v>
      </c>
      <c r="L106" s="14">
        <f t="shared" ref="L106:L109" si="13">SUM(J106/K106)*100</f>
        <v>76.904326630103597</v>
      </c>
      <c r="M106" s="15"/>
      <c r="N106" s="15" cm="1">
        <f t="array" ref="N106">SUM(SUMIFS(N$65:N$97,$A$65:$A$97,{"Aberdeen City","Aberdeenshire"}))</f>
        <v>133500</v>
      </c>
      <c r="O106" s="15" cm="1">
        <f t="array" ref="O106">SUM(SUMIFS(O$65:O$97,$A$65:$A$97,{"Aberdeen City","Aberdeenshire"}))</f>
        <v>165200</v>
      </c>
      <c r="P106" s="14">
        <f t="shared" ref="P106:P109" si="14">SUM(N106/O106)*100</f>
        <v>80.811138014527856</v>
      </c>
      <c r="Q106" s="15"/>
    </row>
    <row r="107" spans="1:17" customFormat="1">
      <c r="A107" s="10" t="s">
        <v>359</v>
      </c>
      <c r="B107" s="15" cm="1">
        <f t="array" ref="B107">SUM(SUMIFS(B$65:B$97,$A$65:$A$97,{"Falkirk","Clackmannanshire","Stirling"}))</f>
        <v>72800</v>
      </c>
      <c r="C107" s="15" cm="1">
        <f t="array" ref="C107">SUM(SUMIFS(C$65:C$97,$A$65:$A$97,{"Falkirk","Clackmannanshire","Stirling"}))</f>
        <v>97500</v>
      </c>
      <c r="D107" s="316">
        <f t="shared" ref="D107" si="15">SUM(B107/C107)*100</f>
        <v>74.666666666666671</v>
      </c>
      <c r="E107" s="14"/>
      <c r="F107" s="15" cm="1">
        <f t="array" ref="F107">SUM(SUMIFS(F$65:F$97,$A$65:$A$97,{"Falkirk","Clackmannanshire","Stirling"}))</f>
        <v>72000</v>
      </c>
      <c r="G107" s="15" cm="1">
        <f t="array" ref="G107">SUM(SUMIFS(G$65:G$97,$A$65:$A$97,{"Falkirk","Clackmannanshire","Stirling"}))</f>
        <v>92400</v>
      </c>
      <c r="H107" s="316">
        <f t="shared" si="12"/>
        <v>77.922077922077932</v>
      </c>
      <c r="I107" s="14"/>
      <c r="J107" s="15" cm="1">
        <f t="array" ref="J107">SUM(SUMIFS(J$65:J$97,$A$65:$A$97,{"Falkirk","Clackmannanshire","Stirling"}))</f>
        <v>71900</v>
      </c>
      <c r="K107" s="15" cm="1">
        <f t="array" ref="K107">SUM(SUMIFS(K$65:K$97,$A$65:$A$97,{"Falkirk","Clackmannanshire","Stirling"}))</f>
        <v>91500</v>
      </c>
      <c r="L107" s="316">
        <f t="shared" si="13"/>
        <v>78.579234972677597</v>
      </c>
      <c r="M107" s="14"/>
      <c r="N107" s="15" cm="1">
        <f t="array" ref="N107">SUM(SUMIFS(N$65:N$97,$A$65:$A$97,{"Falkirk","Clackmannanshire","Stirling"}))</f>
        <v>70800</v>
      </c>
      <c r="O107" s="15" cm="1">
        <f t="array" ref="O107">SUM(SUMIFS(O$65:O$97,$A$65:$A$97,{"Falkirk","Clackmannanshire","Stirling"}))</f>
        <v>93400</v>
      </c>
      <c r="P107" s="316">
        <f t="shared" si="14"/>
        <v>75.80299785867237</v>
      </c>
      <c r="Q107" s="14"/>
    </row>
    <row r="108" spans="1:17" customFormat="1">
      <c r="A108" s="10" t="s">
        <v>157</v>
      </c>
      <c r="B108" s="125" cm="1">
        <f t="array" ref="B108">SUM(SUMIFS(B$65:B$97,$A$65:$A$97,{"East Lothian","Edinburgh, City of","Fife","Midlothian","Scottish Borders","West Lothian"}))</f>
        <v>329300</v>
      </c>
      <c r="C108" s="125" cm="1">
        <f t="array" ref="C108">SUM(SUMIFS(C$65:C$97,$A$65:$A$97,{"East Lothian","Edinburgh, City of","Fife","Midlothian","Scottish Borders","West Lothian"}))</f>
        <v>435500</v>
      </c>
      <c r="D108" s="14">
        <f>SUM(B108/C108)*100</f>
        <v>75.614236509758896</v>
      </c>
      <c r="E108" s="15"/>
      <c r="F108" s="125" cm="1">
        <f t="array" ref="F108">SUM(SUMIFS(F$65:F$97,$A$65:$A$97,{"East Lothian","Edinburgh, City of","Fife","Midlothian","Scottish Borders","West Lothian"}))</f>
        <v>337400</v>
      </c>
      <c r="G108" s="125" cm="1">
        <f t="array" ref="G108">SUM(SUMIFS(G$65:G$97,$A$65:$A$97,{"East Lothian","Edinburgh, City of","Fife","Midlothian","Scottish Borders","West Lothian"}))</f>
        <v>441000</v>
      </c>
      <c r="H108" s="14">
        <f t="shared" si="12"/>
        <v>76.507936507936506</v>
      </c>
      <c r="I108" s="15"/>
      <c r="J108" s="125" cm="1">
        <f t="array" ref="J108">SUM(SUMIFS(J$65:J$97,$A$65:$A$97,{"East Lothian","Edinburgh, City of","Fife","Midlothian","Scottish Borders","West Lothian"}))</f>
        <v>341200</v>
      </c>
      <c r="K108" s="125" cm="1">
        <f t="array" ref="K108">SUM(SUMIFS(K$65:K$97,$A$65:$A$97,{"East Lothian","Edinburgh, City of","Fife","Midlothian","Scottish Borders","West Lothian"}))</f>
        <v>437800</v>
      </c>
      <c r="L108" s="14">
        <f t="shared" si="13"/>
        <v>77.935130196436731</v>
      </c>
      <c r="M108" s="15"/>
      <c r="N108" s="125" cm="1">
        <f t="array" ref="N108">SUM(SUMIFS(N$65:N$97,$A$65:$A$97,{"East Lothian","Edinburgh, City of","Fife","Midlothian","Scottish Borders","West Lothian"}))</f>
        <v>345100</v>
      </c>
      <c r="O108" s="125" cm="1">
        <f t="array" ref="O108">SUM(SUMIFS(O$65:O$97,$A$65:$A$97,{"East Lothian","Edinburgh, City of","Fife","Midlothian","Scottish Borders","West Lothian"}))</f>
        <v>423000</v>
      </c>
      <c r="P108" s="14">
        <f t="shared" si="14"/>
        <v>81.583924349881798</v>
      </c>
      <c r="Q108" s="15"/>
    </row>
    <row r="109" spans="1:17" customFormat="1">
      <c r="A109" s="10" t="s">
        <v>158</v>
      </c>
      <c r="B109" s="125" cm="1">
        <f t="array" ref="B109">SUM(SUMIFS(B$65:B$97,$A$65:$A$97,{"Angus","Dundee City","Fife","Perth and Kinross"}))</f>
        <v>174200</v>
      </c>
      <c r="C109" s="125" cm="1">
        <f t="array" ref="C109">SUM(SUMIFS(C$65:C$97,$A$65:$A$97,{"Angus","Dundee City","Fife","Perth and Kinross"}))</f>
        <v>232000</v>
      </c>
      <c r="D109" s="14">
        <f>SUM(B109/C109)*100</f>
        <v>75.086206896551715</v>
      </c>
      <c r="E109" s="15"/>
      <c r="F109" s="125" cm="1">
        <f t="array" ref="F109">SUM(SUMIFS(F$65:F$97,$A$65:$A$97,{"Angus","Dundee City","Fife","Perth and Kinross"}))</f>
        <v>173800</v>
      </c>
      <c r="G109" s="125" cm="1">
        <f t="array" ref="G109">SUM(SUMIFS(G$65:G$97,$A$65:$A$97,{"Angus","Dundee City","Fife","Perth and Kinross"}))</f>
        <v>236300</v>
      </c>
      <c r="H109" s="14">
        <f t="shared" si="12"/>
        <v>73.550571307659752</v>
      </c>
      <c r="I109" s="15"/>
      <c r="J109" s="125" cm="1">
        <f t="array" ref="J109">SUM(SUMIFS(J$65:J$97,$A$65:$A$97,{"Angus","Dundee City","Fife","Perth and Kinross"}))</f>
        <v>183600</v>
      </c>
      <c r="K109" s="125" cm="1">
        <f t="array" ref="K109">SUM(SUMIFS(K$65:K$97,$A$65:$A$97,{"Angus","Dundee City","Fife","Perth and Kinross"}))</f>
        <v>241600</v>
      </c>
      <c r="L109" s="14">
        <f t="shared" si="13"/>
        <v>75.993377483443709</v>
      </c>
      <c r="M109" s="15"/>
      <c r="N109" s="125" cm="1">
        <f t="array" ref="N109">SUM(SUMIFS(N$65:N$97,$A$65:$A$97,{"Angus","Dundee City","Fife","Perth and Kinross"}))</f>
        <v>177600</v>
      </c>
      <c r="O109" s="125" cm="1">
        <f t="array" ref="O109">SUM(SUMIFS(O$65:O$97,$A$65:$A$97,{"Angus","Dundee City","Fife","Perth and Kinross"}))</f>
        <v>235900</v>
      </c>
      <c r="P109" s="14">
        <f t="shared" si="14"/>
        <v>75.28613819415007</v>
      </c>
      <c r="Q109" s="15"/>
    </row>
    <row r="113" spans="1:17" ht="15.75">
      <c r="A113" s="1" t="s">
        <v>0</v>
      </c>
      <c r="B113"/>
      <c r="C113"/>
      <c r="D113"/>
      <c r="E113"/>
      <c r="F113"/>
      <c r="G113"/>
      <c r="H113"/>
      <c r="I113"/>
      <c r="J113"/>
      <c r="K113"/>
      <c r="L113"/>
      <c r="M113"/>
      <c r="N113"/>
      <c r="O113"/>
      <c r="P113"/>
      <c r="Q113"/>
    </row>
    <row r="114" spans="1:17">
      <c r="A114" s="2" t="s">
        <v>358</v>
      </c>
      <c r="B114"/>
      <c r="C114"/>
      <c r="D114"/>
      <c r="E114"/>
      <c r="F114"/>
      <c r="G114"/>
      <c r="H114"/>
      <c r="I114"/>
      <c r="J114"/>
      <c r="K114"/>
      <c r="L114"/>
      <c r="M114"/>
      <c r="N114"/>
      <c r="O114"/>
      <c r="P114"/>
      <c r="Q114"/>
    </row>
    <row r="115" spans="1:17">
      <c r="A115"/>
      <c r="B115"/>
      <c r="C115"/>
      <c r="D115"/>
      <c r="E115"/>
      <c r="F115"/>
      <c r="G115"/>
      <c r="H115"/>
      <c r="I115"/>
      <c r="J115"/>
      <c r="K115"/>
      <c r="L115"/>
      <c r="M115"/>
      <c r="N115"/>
      <c r="O115"/>
      <c r="P115"/>
      <c r="Q115"/>
    </row>
    <row r="116" spans="1:17">
      <c r="A116" s="246" t="s">
        <v>2</v>
      </c>
      <c r="B116" s="246" t="s">
        <v>3</v>
      </c>
      <c r="C116"/>
      <c r="D116"/>
      <c r="E116"/>
      <c r="F116"/>
      <c r="G116"/>
      <c r="H116"/>
      <c r="I116"/>
      <c r="J116"/>
      <c r="K116"/>
      <c r="L116"/>
      <c r="M116"/>
      <c r="N116"/>
      <c r="O116"/>
      <c r="P116"/>
      <c r="Q116"/>
    </row>
    <row r="117" spans="1:17">
      <c r="A117" s="246" t="s">
        <v>4</v>
      </c>
      <c r="B117" s="246" t="s">
        <v>106</v>
      </c>
      <c r="C117"/>
      <c r="D117"/>
      <c r="E117"/>
      <c r="F117"/>
      <c r="G117"/>
      <c r="H117"/>
      <c r="I117"/>
      <c r="J117"/>
      <c r="K117"/>
      <c r="L117"/>
      <c r="M117"/>
      <c r="N117"/>
      <c r="O117"/>
      <c r="P117"/>
      <c r="Q117"/>
    </row>
    <row r="118" spans="1:17">
      <c r="A118"/>
      <c r="B118"/>
      <c r="C118"/>
      <c r="D118"/>
      <c r="E118"/>
      <c r="F118"/>
      <c r="G118"/>
      <c r="H118"/>
      <c r="I118"/>
      <c r="J118"/>
      <c r="K118"/>
      <c r="L118"/>
      <c r="M118"/>
      <c r="N118"/>
      <c r="O118"/>
      <c r="P118"/>
      <c r="Q118"/>
    </row>
    <row r="119" spans="1:17" ht="21.95" customHeight="1">
      <c r="A119" s="17" t="s">
        <v>7</v>
      </c>
      <c r="B119" s="473" t="s">
        <v>230</v>
      </c>
      <c r="C119" s="475"/>
      <c r="D119" s="475"/>
      <c r="E119" s="475"/>
      <c r="F119" s="473" t="s">
        <v>356</v>
      </c>
      <c r="G119" s="475"/>
      <c r="H119" s="475"/>
      <c r="I119" s="475"/>
      <c r="J119" s="473" t="s">
        <v>398</v>
      </c>
      <c r="K119" s="475"/>
      <c r="L119" s="475"/>
      <c r="M119" s="475"/>
      <c r="N119" s="473" t="s">
        <v>423</v>
      </c>
      <c r="O119" s="475"/>
      <c r="P119" s="475"/>
      <c r="Q119" s="475"/>
    </row>
    <row r="120" spans="1:17" ht="26.1" customHeight="1">
      <c r="A120"/>
      <c r="B120" s="313" t="s">
        <v>8</v>
      </c>
      <c r="C120" s="313" t="s">
        <v>9</v>
      </c>
      <c r="D120" s="313" t="s">
        <v>10</v>
      </c>
      <c r="E120" s="313" t="s">
        <v>11</v>
      </c>
      <c r="F120" s="313" t="s">
        <v>8</v>
      </c>
      <c r="G120" s="313" t="s">
        <v>9</v>
      </c>
      <c r="H120" s="313" t="s">
        <v>10</v>
      </c>
      <c r="I120" s="313" t="s">
        <v>11</v>
      </c>
      <c r="J120" s="313" t="s">
        <v>8</v>
      </c>
      <c r="K120" s="313" t="s">
        <v>9</v>
      </c>
      <c r="L120" s="313" t="s">
        <v>10</v>
      </c>
      <c r="M120" s="313" t="s">
        <v>11</v>
      </c>
      <c r="N120" s="313" t="s">
        <v>8</v>
      </c>
      <c r="O120" s="313" t="s">
        <v>9</v>
      </c>
      <c r="P120" s="313" t="s">
        <v>10</v>
      </c>
      <c r="Q120" s="313" t="s">
        <v>11</v>
      </c>
    </row>
    <row r="121" spans="1:17">
      <c r="A121" s="246" t="s">
        <v>15</v>
      </c>
      <c r="B121" s="314">
        <v>53800</v>
      </c>
      <c r="C121" s="314">
        <v>73900</v>
      </c>
      <c r="D121" s="315">
        <v>72.8</v>
      </c>
      <c r="E121" s="315">
        <v>6.1</v>
      </c>
      <c r="F121" s="314">
        <v>53200</v>
      </c>
      <c r="G121" s="314">
        <v>70000</v>
      </c>
      <c r="H121" s="315">
        <v>76.099999999999994</v>
      </c>
      <c r="I121" s="315">
        <v>5.9</v>
      </c>
      <c r="J121" s="314">
        <v>53100</v>
      </c>
      <c r="K121" s="314">
        <v>75400</v>
      </c>
      <c r="L121" s="315">
        <v>70.5</v>
      </c>
      <c r="M121" s="315">
        <v>6.6</v>
      </c>
      <c r="N121" s="314">
        <v>58000</v>
      </c>
      <c r="O121" s="314">
        <v>79800</v>
      </c>
      <c r="P121" s="315">
        <v>72.8</v>
      </c>
      <c r="Q121" s="315">
        <v>7</v>
      </c>
    </row>
    <row r="122" spans="1:17">
      <c r="A122" s="246" t="s">
        <v>16</v>
      </c>
      <c r="B122" s="314">
        <v>63800</v>
      </c>
      <c r="C122" s="314">
        <v>83800</v>
      </c>
      <c r="D122" s="315">
        <v>76.099999999999994</v>
      </c>
      <c r="E122" s="315">
        <v>5.2</v>
      </c>
      <c r="F122" s="314">
        <v>55800</v>
      </c>
      <c r="G122" s="314">
        <v>81000</v>
      </c>
      <c r="H122" s="315">
        <v>68.8</v>
      </c>
      <c r="I122" s="315">
        <v>5.9</v>
      </c>
      <c r="J122" s="314">
        <v>64600</v>
      </c>
      <c r="K122" s="314">
        <v>86800</v>
      </c>
      <c r="L122" s="315">
        <v>74.400000000000006</v>
      </c>
      <c r="M122" s="315">
        <v>5.9</v>
      </c>
      <c r="N122" s="314">
        <v>69900</v>
      </c>
      <c r="O122" s="314">
        <v>83500</v>
      </c>
      <c r="P122" s="315">
        <v>83.7</v>
      </c>
      <c r="Q122" s="315">
        <v>6.4</v>
      </c>
    </row>
    <row r="123" spans="1:17">
      <c r="A123" s="246" t="s">
        <v>17</v>
      </c>
      <c r="B123" s="314">
        <v>23700</v>
      </c>
      <c r="C123" s="314">
        <v>34600</v>
      </c>
      <c r="D123" s="315">
        <v>68.3</v>
      </c>
      <c r="E123" s="315">
        <v>5.3</v>
      </c>
      <c r="F123" s="314">
        <v>25500</v>
      </c>
      <c r="G123" s="314">
        <v>36200</v>
      </c>
      <c r="H123" s="315">
        <v>70.400000000000006</v>
      </c>
      <c r="I123" s="315">
        <v>5.9</v>
      </c>
      <c r="J123" s="314">
        <v>26600</v>
      </c>
      <c r="K123" s="314">
        <v>36900</v>
      </c>
      <c r="L123" s="315">
        <v>71.900000000000006</v>
      </c>
      <c r="M123" s="315">
        <v>5.9</v>
      </c>
      <c r="N123" s="314">
        <v>26500</v>
      </c>
      <c r="O123" s="314">
        <v>37400</v>
      </c>
      <c r="P123" s="315">
        <v>70.900000000000006</v>
      </c>
      <c r="Q123" s="315">
        <v>7.9</v>
      </c>
    </row>
    <row r="124" spans="1:17">
      <c r="A124" s="246" t="s">
        <v>18</v>
      </c>
      <c r="B124" s="314">
        <v>18500</v>
      </c>
      <c r="C124" s="314">
        <v>25300</v>
      </c>
      <c r="D124" s="315">
        <v>73.099999999999994</v>
      </c>
      <c r="E124" s="315">
        <v>5.3</v>
      </c>
      <c r="F124" s="314">
        <v>18000</v>
      </c>
      <c r="G124" s="314">
        <v>24800</v>
      </c>
      <c r="H124" s="315">
        <v>72.599999999999994</v>
      </c>
      <c r="I124" s="315">
        <v>6.1</v>
      </c>
      <c r="J124" s="314">
        <v>18800</v>
      </c>
      <c r="K124" s="314">
        <v>24300</v>
      </c>
      <c r="L124" s="315">
        <v>77.2</v>
      </c>
      <c r="M124" s="315">
        <v>6.6</v>
      </c>
      <c r="N124" s="314">
        <v>16300</v>
      </c>
      <c r="O124" s="314">
        <v>23800</v>
      </c>
      <c r="P124" s="315">
        <v>68.5</v>
      </c>
      <c r="Q124" s="315">
        <v>9.4</v>
      </c>
    </row>
    <row r="125" spans="1:17">
      <c r="A125" s="242" t="s">
        <v>126</v>
      </c>
      <c r="B125" s="314">
        <v>132900</v>
      </c>
      <c r="C125" s="314">
        <v>181200</v>
      </c>
      <c r="D125" s="315">
        <v>73.400000000000006</v>
      </c>
      <c r="E125" s="315">
        <v>4.8</v>
      </c>
      <c r="F125" s="314">
        <v>131500</v>
      </c>
      <c r="G125" s="314">
        <v>173200</v>
      </c>
      <c r="H125" s="315">
        <v>76</v>
      </c>
      <c r="I125" s="315">
        <v>4.8</v>
      </c>
      <c r="J125" s="314">
        <v>146100</v>
      </c>
      <c r="K125" s="314">
        <v>181800</v>
      </c>
      <c r="L125" s="315">
        <v>80.400000000000006</v>
      </c>
      <c r="M125" s="315">
        <v>4.8</v>
      </c>
      <c r="N125" s="314">
        <v>146600</v>
      </c>
      <c r="O125" s="314">
        <v>181900</v>
      </c>
      <c r="P125" s="315">
        <v>80.599999999999994</v>
      </c>
      <c r="Q125" s="315">
        <v>5.3</v>
      </c>
    </row>
    <row r="126" spans="1:17">
      <c r="A126" s="246" t="s">
        <v>19</v>
      </c>
      <c r="B126" s="314">
        <v>11700</v>
      </c>
      <c r="C126" s="314">
        <v>16000</v>
      </c>
      <c r="D126" s="315">
        <v>73.2</v>
      </c>
      <c r="E126" s="315">
        <v>7.5</v>
      </c>
      <c r="F126" s="314">
        <v>12200</v>
      </c>
      <c r="G126" s="314">
        <v>16200</v>
      </c>
      <c r="H126" s="315">
        <v>75.400000000000006</v>
      </c>
      <c r="I126" s="315">
        <v>8.9</v>
      </c>
      <c r="J126" s="314">
        <v>11100</v>
      </c>
      <c r="K126" s="314">
        <v>16900</v>
      </c>
      <c r="L126" s="315">
        <v>65.7</v>
      </c>
      <c r="M126" s="315">
        <v>7.8</v>
      </c>
      <c r="N126" s="314">
        <v>12800</v>
      </c>
      <c r="O126" s="314">
        <v>18600</v>
      </c>
      <c r="P126" s="315">
        <v>68.900000000000006</v>
      </c>
      <c r="Q126" s="315">
        <v>8.8000000000000007</v>
      </c>
    </row>
    <row r="127" spans="1:17">
      <c r="A127" s="246" t="s">
        <v>20</v>
      </c>
      <c r="B127" s="314">
        <v>30900</v>
      </c>
      <c r="C127" s="314">
        <v>47800</v>
      </c>
      <c r="D127" s="315">
        <v>64.5</v>
      </c>
      <c r="E127" s="315">
        <v>6</v>
      </c>
      <c r="F127" s="314">
        <v>30400</v>
      </c>
      <c r="G127" s="314">
        <v>43900</v>
      </c>
      <c r="H127" s="315">
        <v>69.400000000000006</v>
      </c>
      <c r="I127" s="315">
        <v>6</v>
      </c>
      <c r="J127" s="314">
        <v>28300</v>
      </c>
      <c r="K127" s="314">
        <v>43700</v>
      </c>
      <c r="L127" s="315">
        <v>64.8</v>
      </c>
      <c r="M127" s="315">
        <v>6.6</v>
      </c>
      <c r="N127" s="314">
        <v>31300</v>
      </c>
      <c r="O127" s="314">
        <v>44700</v>
      </c>
      <c r="P127" s="315">
        <v>70.2</v>
      </c>
      <c r="Q127" s="315">
        <v>8.8000000000000007</v>
      </c>
    </row>
    <row r="128" spans="1:17">
      <c r="A128" s="246" t="s">
        <v>21</v>
      </c>
      <c r="B128" s="314">
        <v>33900</v>
      </c>
      <c r="C128" s="314">
        <v>48700</v>
      </c>
      <c r="D128" s="315">
        <v>69.599999999999994</v>
      </c>
      <c r="E128" s="315">
        <v>5.4</v>
      </c>
      <c r="F128" s="314">
        <v>32400</v>
      </c>
      <c r="G128" s="314">
        <v>46900</v>
      </c>
      <c r="H128" s="315">
        <v>69.099999999999994</v>
      </c>
      <c r="I128" s="315">
        <v>6.2</v>
      </c>
      <c r="J128" s="314">
        <v>33100</v>
      </c>
      <c r="K128" s="314">
        <v>47400</v>
      </c>
      <c r="L128" s="315">
        <v>69.8</v>
      </c>
      <c r="M128" s="315">
        <v>6.2</v>
      </c>
      <c r="N128" s="314">
        <v>27600</v>
      </c>
      <c r="O128" s="314">
        <v>44900</v>
      </c>
      <c r="P128" s="315">
        <v>61.5</v>
      </c>
      <c r="Q128" s="315">
        <v>7.9</v>
      </c>
    </row>
    <row r="129" spans="1:17">
      <c r="A129" s="246" t="s">
        <v>22</v>
      </c>
      <c r="B129" s="314">
        <v>26600</v>
      </c>
      <c r="C129" s="314">
        <v>37100</v>
      </c>
      <c r="D129" s="315">
        <v>71.7</v>
      </c>
      <c r="E129" s="315">
        <v>5.8</v>
      </c>
      <c r="F129" s="314">
        <v>29100</v>
      </c>
      <c r="G129" s="314">
        <v>38800</v>
      </c>
      <c r="H129" s="315">
        <v>75</v>
      </c>
      <c r="I129" s="315">
        <v>5.9</v>
      </c>
      <c r="J129" s="314">
        <v>27100</v>
      </c>
      <c r="K129" s="314">
        <v>39100</v>
      </c>
      <c r="L129" s="315">
        <v>69.2</v>
      </c>
      <c r="M129" s="315">
        <v>6.1</v>
      </c>
      <c r="N129" s="314">
        <v>25500</v>
      </c>
      <c r="O129" s="314">
        <v>37500</v>
      </c>
      <c r="P129" s="315">
        <v>68</v>
      </c>
      <c r="Q129" s="315">
        <v>8.1</v>
      </c>
    </row>
    <row r="130" spans="1:17">
      <c r="A130" s="246" t="s">
        <v>23</v>
      </c>
      <c r="B130" s="314">
        <v>24800</v>
      </c>
      <c r="C130" s="314">
        <v>33200</v>
      </c>
      <c r="D130" s="315">
        <v>74.5</v>
      </c>
      <c r="E130" s="315">
        <v>4.5</v>
      </c>
      <c r="F130" s="314">
        <v>22900</v>
      </c>
      <c r="G130" s="314">
        <v>33000</v>
      </c>
      <c r="H130" s="315">
        <v>69.3</v>
      </c>
      <c r="I130" s="315">
        <v>5.5</v>
      </c>
      <c r="J130" s="314">
        <v>23500</v>
      </c>
      <c r="K130" s="314">
        <v>32200</v>
      </c>
      <c r="L130" s="315">
        <v>72.8</v>
      </c>
      <c r="M130" s="315">
        <v>5.4</v>
      </c>
      <c r="N130" s="314">
        <v>23800</v>
      </c>
      <c r="O130" s="314">
        <v>32600</v>
      </c>
      <c r="P130" s="315">
        <v>72.900000000000006</v>
      </c>
      <c r="Q130" s="315">
        <v>6.6</v>
      </c>
    </row>
    <row r="131" spans="1:17">
      <c r="A131" s="246" t="s">
        <v>24</v>
      </c>
      <c r="B131" s="314">
        <v>23000</v>
      </c>
      <c r="C131" s="314">
        <v>33000</v>
      </c>
      <c r="D131" s="315">
        <v>69.7</v>
      </c>
      <c r="E131" s="315">
        <v>6.1</v>
      </c>
      <c r="F131" s="314">
        <v>27300</v>
      </c>
      <c r="G131" s="314">
        <v>34300</v>
      </c>
      <c r="H131" s="315">
        <v>79.7</v>
      </c>
      <c r="I131" s="315">
        <v>6.1</v>
      </c>
      <c r="J131" s="314">
        <v>29000</v>
      </c>
      <c r="K131" s="314">
        <v>37400</v>
      </c>
      <c r="L131" s="315">
        <v>77.599999999999994</v>
      </c>
      <c r="M131" s="315">
        <v>6</v>
      </c>
      <c r="N131" s="314">
        <v>30700</v>
      </c>
      <c r="O131" s="314">
        <v>38700</v>
      </c>
      <c r="P131" s="315">
        <v>79.400000000000006</v>
      </c>
      <c r="Q131" s="315">
        <v>6.8</v>
      </c>
    </row>
    <row r="132" spans="1:17">
      <c r="A132" s="246" t="s">
        <v>25</v>
      </c>
      <c r="B132" s="314">
        <v>20300</v>
      </c>
      <c r="C132" s="314">
        <v>28200</v>
      </c>
      <c r="D132" s="315">
        <v>72.099999999999994</v>
      </c>
      <c r="E132" s="315">
        <v>5.8</v>
      </c>
      <c r="F132" s="314">
        <v>17800</v>
      </c>
      <c r="G132" s="314">
        <v>26800</v>
      </c>
      <c r="H132" s="315">
        <v>66.5</v>
      </c>
      <c r="I132" s="315">
        <v>6.7</v>
      </c>
      <c r="J132" s="314">
        <v>23100</v>
      </c>
      <c r="K132" s="314">
        <v>29200</v>
      </c>
      <c r="L132" s="315">
        <v>78.900000000000006</v>
      </c>
      <c r="M132" s="315">
        <v>6.3</v>
      </c>
      <c r="N132" s="314">
        <v>22700</v>
      </c>
      <c r="O132" s="314">
        <v>28300</v>
      </c>
      <c r="P132" s="315">
        <v>80.2</v>
      </c>
      <c r="Q132" s="315">
        <v>7.6</v>
      </c>
    </row>
    <row r="133" spans="1:17">
      <c r="A133" s="246" t="s">
        <v>26</v>
      </c>
      <c r="B133" s="314">
        <v>37300</v>
      </c>
      <c r="C133" s="314">
        <v>50200</v>
      </c>
      <c r="D133" s="315">
        <v>74.400000000000006</v>
      </c>
      <c r="E133" s="315">
        <v>5.8</v>
      </c>
      <c r="F133" s="314">
        <v>37700</v>
      </c>
      <c r="G133" s="314">
        <v>52600</v>
      </c>
      <c r="H133" s="315">
        <v>71.7</v>
      </c>
      <c r="I133" s="315">
        <v>6.4</v>
      </c>
      <c r="J133" s="314">
        <v>37600</v>
      </c>
      <c r="K133" s="314">
        <v>53500</v>
      </c>
      <c r="L133" s="315">
        <v>70.3</v>
      </c>
      <c r="M133" s="315">
        <v>6.3</v>
      </c>
      <c r="N133" s="314">
        <v>34700</v>
      </c>
      <c r="O133" s="314">
        <v>50700</v>
      </c>
      <c r="P133" s="315">
        <v>68.3</v>
      </c>
      <c r="Q133" s="315">
        <v>7.5</v>
      </c>
    </row>
    <row r="134" spans="1:17">
      <c r="A134" s="246" t="s">
        <v>27</v>
      </c>
      <c r="B134" s="314">
        <v>79900</v>
      </c>
      <c r="C134" s="314">
        <v>116300</v>
      </c>
      <c r="D134" s="315">
        <v>68.7</v>
      </c>
      <c r="E134" s="315">
        <v>5.0999999999999996</v>
      </c>
      <c r="F134" s="314">
        <v>74200</v>
      </c>
      <c r="G134" s="314">
        <v>109700</v>
      </c>
      <c r="H134" s="315">
        <v>67.7</v>
      </c>
      <c r="I134" s="315">
        <v>5.5</v>
      </c>
      <c r="J134" s="314">
        <v>77600</v>
      </c>
      <c r="K134" s="314">
        <v>108400</v>
      </c>
      <c r="L134" s="315">
        <v>71.599999999999994</v>
      </c>
      <c r="M134" s="315">
        <v>5.5</v>
      </c>
      <c r="N134" s="314">
        <v>85300</v>
      </c>
      <c r="O134" s="314">
        <v>116500</v>
      </c>
      <c r="P134" s="315">
        <v>73.2</v>
      </c>
      <c r="Q134" s="315">
        <v>5.6</v>
      </c>
    </row>
    <row r="135" spans="1:17">
      <c r="A135" s="246" t="s">
        <v>28</v>
      </c>
      <c r="B135" s="314">
        <v>148400</v>
      </c>
      <c r="C135" s="314">
        <v>226800</v>
      </c>
      <c r="D135" s="315">
        <v>65.400000000000006</v>
      </c>
      <c r="E135" s="315">
        <v>5.0999999999999996</v>
      </c>
      <c r="F135" s="314">
        <v>149100</v>
      </c>
      <c r="G135" s="314">
        <v>236400</v>
      </c>
      <c r="H135" s="315">
        <v>63.1</v>
      </c>
      <c r="I135" s="315">
        <v>5</v>
      </c>
      <c r="J135" s="314">
        <v>156100</v>
      </c>
      <c r="K135" s="314">
        <v>226500</v>
      </c>
      <c r="L135" s="315">
        <v>68.900000000000006</v>
      </c>
      <c r="M135" s="315">
        <v>5.2</v>
      </c>
      <c r="N135" s="314">
        <v>156100</v>
      </c>
      <c r="O135" s="314">
        <v>222200</v>
      </c>
      <c r="P135" s="315">
        <v>70.3</v>
      </c>
      <c r="Q135" s="315">
        <v>6.4</v>
      </c>
    </row>
    <row r="136" spans="1:17">
      <c r="A136" s="246" t="s">
        <v>29</v>
      </c>
      <c r="B136" s="314">
        <v>54300</v>
      </c>
      <c r="C136" s="314">
        <v>72000</v>
      </c>
      <c r="D136" s="315">
        <v>75.5</v>
      </c>
      <c r="E136" s="315">
        <v>6.2</v>
      </c>
      <c r="F136" s="314">
        <v>50500</v>
      </c>
      <c r="G136" s="314">
        <v>73400</v>
      </c>
      <c r="H136" s="315">
        <v>68.900000000000006</v>
      </c>
      <c r="I136" s="315">
        <v>7.8</v>
      </c>
      <c r="J136" s="314">
        <v>48600</v>
      </c>
      <c r="K136" s="314">
        <v>71000</v>
      </c>
      <c r="L136" s="315">
        <v>68.400000000000006</v>
      </c>
      <c r="M136" s="315">
        <v>8.3000000000000007</v>
      </c>
      <c r="N136" s="314">
        <v>53800</v>
      </c>
      <c r="O136" s="314">
        <v>70700</v>
      </c>
      <c r="P136" s="315">
        <v>76.099999999999994</v>
      </c>
      <c r="Q136" s="315">
        <v>8.5</v>
      </c>
    </row>
    <row r="137" spans="1:17">
      <c r="A137" s="246" t="s">
        <v>30</v>
      </c>
      <c r="B137" s="314">
        <v>16200</v>
      </c>
      <c r="C137" s="314">
        <v>24100</v>
      </c>
      <c r="D137" s="315">
        <v>67.400000000000006</v>
      </c>
      <c r="E137" s="315">
        <v>6.1</v>
      </c>
      <c r="F137" s="314">
        <v>19600</v>
      </c>
      <c r="G137" s="314">
        <v>24800</v>
      </c>
      <c r="H137" s="315">
        <v>78.8</v>
      </c>
      <c r="I137" s="315">
        <v>5.7</v>
      </c>
      <c r="J137" s="314">
        <v>19600</v>
      </c>
      <c r="K137" s="314">
        <v>25200</v>
      </c>
      <c r="L137" s="315">
        <v>77.7</v>
      </c>
      <c r="M137" s="315">
        <v>6.4</v>
      </c>
      <c r="N137" s="314">
        <v>16800</v>
      </c>
      <c r="O137" s="314">
        <v>24000</v>
      </c>
      <c r="P137" s="315">
        <v>69.8</v>
      </c>
      <c r="Q137" s="315">
        <v>9.3000000000000007</v>
      </c>
    </row>
    <row r="138" spans="1:17">
      <c r="A138" s="246" t="s">
        <v>31</v>
      </c>
      <c r="B138" s="314">
        <v>22700</v>
      </c>
      <c r="C138" s="314">
        <v>30100</v>
      </c>
      <c r="D138" s="315">
        <v>75.400000000000006</v>
      </c>
      <c r="E138" s="315">
        <v>6.2</v>
      </c>
      <c r="F138" s="314">
        <v>22100</v>
      </c>
      <c r="G138" s="314">
        <v>28000</v>
      </c>
      <c r="H138" s="315">
        <v>78.8</v>
      </c>
      <c r="I138" s="315">
        <v>6.4</v>
      </c>
      <c r="J138" s="314">
        <v>23800</v>
      </c>
      <c r="K138" s="314">
        <v>30100</v>
      </c>
      <c r="L138" s="315">
        <v>79.2</v>
      </c>
      <c r="M138" s="315">
        <v>6.9</v>
      </c>
      <c r="N138" s="314">
        <v>24200</v>
      </c>
      <c r="O138" s="314">
        <v>30800</v>
      </c>
      <c r="P138" s="315">
        <v>78.5</v>
      </c>
      <c r="Q138" s="315">
        <v>8.4</v>
      </c>
    </row>
    <row r="139" spans="1:17">
      <c r="A139" s="246" t="s">
        <v>32</v>
      </c>
      <c r="B139" s="314">
        <v>20800</v>
      </c>
      <c r="C139" s="314">
        <v>29300</v>
      </c>
      <c r="D139" s="315">
        <v>70.8</v>
      </c>
      <c r="E139" s="315">
        <v>5.8</v>
      </c>
      <c r="F139" s="314">
        <v>22100</v>
      </c>
      <c r="G139" s="314">
        <v>32000</v>
      </c>
      <c r="H139" s="315">
        <v>69.099999999999994</v>
      </c>
      <c r="I139" s="315">
        <v>6.4</v>
      </c>
      <c r="J139" s="314">
        <v>20900</v>
      </c>
      <c r="K139" s="314">
        <v>29900</v>
      </c>
      <c r="L139" s="315">
        <v>69.8</v>
      </c>
      <c r="M139" s="315">
        <v>6.5</v>
      </c>
      <c r="N139" s="314">
        <v>21100</v>
      </c>
      <c r="O139" s="314">
        <v>32100</v>
      </c>
      <c r="P139" s="315">
        <v>65.8</v>
      </c>
      <c r="Q139" s="315">
        <v>8</v>
      </c>
    </row>
    <row r="140" spans="1:17">
      <c r="A140" s="246" t="s">
        <v>33</v>
      </c>
      <c r="B140" s="314">
        <v>6000</v>
      </c>
      <c r="C140" s="314">
        <v>7300</v>
      </c>
      <c r="D140" s="315">
        <v>81.8</v>
      </c>
      <c r="E140" s="315">
        <v>6.5</v>
      </c>
      <c r="F140" s="314">
        <v>6000</v>
      </c>
      <c r="G140" s="314">
        <v>7300</v>
      </c>
      <c r="H140" s="315">
        <v>81.900000000000006</v>
      </c>
      <c r="I140" s="315">
        <v>8</v>
      </c>
      <c r="J140" s="314">
        <v>5900</v>
      </c>
      <c r="K140" s="314">
        <v>7100</v>
      </c>
      <c r="L140" s="315">
        <v>83</v>
      </c>
      <c r="M140" s="315">
        <v>8.6999999999999993</v>
      </c>
      <c r="N140" s="314">
        <v>5000</v>
      </c>
      <c r="O140" s="314">
        <v>6300</v>
      </c>
      <c r="P140" s="315">
        <v>79.7</v>
      </c>
      <c r="Q140" s="315">
        <v>12.3</v>
      </c>
    </row>
    <row r="141" spans="1:17">
      <c r="A141" s="246" t="s">
        <v>34</v>
      </c>
      <c r="B141" s="314">
        <v>26300</v>
      </c>
      <c r="C141" s="314">
        <v>41600</v>
      </c>
      <c r="D141" s="315">
        <v>63.4</v>
      </c>
      <c r="E141" s="315">
        <v>6.5</v>
      </c>
      <c r="F141" s="314">
        <v>26100</v>
      </c>
      <c r="G141" s="314">
        <v>40500</v>
      </c>
      <c r="H141" s="315">
        <v>64.400000000000006</v>
      </c>
      <c r="I141" s="315">
        <v>6.5</v>
      </c>
      <c r="J141" s="314">
        <v>30300</v>
      </c>
      <c r="K141" s="314">
        <v>42100</v>
      </c>
      <c r="L141" s="315">
        <v>71.900000000000006</v>
      </c>
      <c r="M141" s="315">
        <v>5.9</v>
      </c>
      <c r="N141" s="314">
        <v>28800</v>
      </c>
      <c r="O141" s="314">
        <v>42000</v>
      </c>
      <c r="P141" s="315">
        <v>68.7</v>
      </c>
      <c r="Q141" s="315">
        <v>7.8</v>
      </c>
    </row>
    <row r="142" spans="1:17">
      <c r="A142" s="246" t="s">
        <v>35</v>
      </c>
      <c r="B142" s="314">
        <v>73300</v>
      </c>
      <c r="C142" s="314">
        <v>109200</v>
      </c>
      <c r="D142" s="315">
        <v>67.099999999999994</v>
      </c>
      <c r="E142" s="315">
        <v>5.8</v>
      </c>
      <c r="F142" s="314">
        <v>77600</v>
      </c>
      <c r="G142" s="314">
        <v>113900</v>
      </c>
      <c r="H142" s="315">
        <v>68.099999999999994</v>
      </c>
      <c r="I142" s="315">
        <v>6.1</v>
      </c>
      <c r="J142" s="314">
        <v>69700</v>
      </c>
      <c r="K142" s="314">
        <v>109100</v>
      </c>
      <c r="L142" s="315">
        <v>63.9</v>
      </c>
      <c r="M142" s="315">
        <v>6.7</v>
      </c>
      <c r="N142" s="314">
        <v>66400</v>
      </c>
      <c r="O142" s="314">
        <v>107000</v>
      </c>
      <c r="P142" s="315">
        <v>62</v>
      </c>
      <c r="Q142" s="315">
        <v>8</v>
      </c>
    </row>
    <row r="143" spans="1:17">
      <c r="A143" s="246" t="s">
        <v>36</v>
      </c>
      <c r="B143" s="314">
        <v>4500</v>
      </c>
      <c r="C143" s="314">
        <v>5400</v>
      </c>
      <c r="D143" s="315">
        <v>84.5</v>
      </c>
      <c r="E143" s="315">
        <v>13.7</v>
      </c>
      <c r="F143" s="314">
        <v>5300</v>
      </c>
      <c r="G143" s="314">
        <v>5900</v>
      </c>
      <c r="H143" s="315">
        <v>89.8</v>
      </c>
      <c r="I143" s="315">
        <v>14.4</v>
      </c>
      <c r="J143" s="314">
        <v>5100</v>
      </c>
      <c r="K143" s="314">
        <v>5800</v>
      </c>
      <c r="L143" s="315">
        <v>88.6</v>
      </c>
      <c r="M143" s="315">
        <v>16.100000000000001</v>
      </c>
      <c r="N143" s="314">
        <v>5500</v>
      </c>
      <c r="O143" s="314">
        <v>6000</v>
      </c>
      <c r="P143" s="315">
        <v>91.4</v>
      </c>
      <c r="Q143" s="315">
        <v>17.399999999999999</v>
      </c>
    </row>
    <row r="144" spans="1:17">
      <c r="A144" s="246" t="s">
        <v>37</v>
      </c>
      <c r="B144" s="314">
        <v>34800</v>
      </c>
      <c r="C144" s="314">
        <v>50100</v>
      </c>
      <c r="D144" s="315">
        <v>69.5</v>
      </c>
      <c r="E144" s="315">
        <v>5.4</v>
      </c>
      <c r="F144" s="314">
        <v>35800</v>
      </c>
      <c r="G144" s="314">
        <v>48200</v>
      </c>
      <c r="H144" s="315">
        <v>74.3</v>
      </c>
      <c r="I144" s="315">
        <v>5.5</v>
      </c>
      <c r="J144" s="314">
        <v>33200</v>
      </c>
      <c r="K144" s="314">
        <v>45500</v>
      </c>
      <c r="L144" s="315">
        <v>73.099999999999994</v>
      </c>
      <c r="M144" s="315">
        <v>5.9</v>
      </c>
      <c r="N144" s="314">
        <v>34200</v>
      </c>
      <c r="O144" s="314">
        <v>47300</v>
      </c>
      <c r="P144" s="315">
        <v>72.400000000000006</v>
      </c>
      <c r="Q144" s="315">
        <v>7.1</v>
      </c>
    </row>
    <row r="145" spans="1:17">
      <c r="A145" s="246" t="s">
        <v>38</v>
      </c>
      <c r="B145" s="314">
        <v>44500</v>
      </c>
      <c r="C145" s="314">
        <v>59000</v>
      </c>
      <c r="D145" s="315">
        <v>75.5</v>
      </c>
      <c r="E145" s="315">
        <v>5.5</v>
      </c>
      <c r="F145" s="314">
        <v>45300</v>
      </c>
      <c r="G145" s="314">
        <v>58200</v>
      </c>
      <c r="H145" s="315">
        <v>77.8</v>
      </c>
      <c r="I145" s="315">
        <v>5.5</v>
      </c>
      <c r="J145" s="314">
        <v>44000</v>
      </c>
      <c r="K145" s="314">
        <v>58700</v>
      </c>
      <c r="L145" s="315">
        <v>75</v>
      </c>
      <c r="M145" s="315">
        <v>6.3</v>
      </c>
      <c r="N145" s="314">
        <v>46600</v>
      </c>
      <c r="O145" s="314">
        <v>63300</v>
      </c>
      <c r="P145" s="315">
        <v>73.5</v>
      </c>
      <c r="Q145" s="315">
        <v>7</v>
      </c>
    </row>
    <row r="146" spans="1:17">
      <c r="A146" s="246" t="s">
        <v>39</v>
      </c>
      <c r="B146" s="314">
        <v>25300</v>
      </c>
      <c r="C146" s="314">
        <v>33300</v>
      </c>
      <c r="D146" s="315">
        <v>76</v>
      </c>
      <c r="E146" s="315">
        <v>5.7</v>
      </c>
      <c r="F146" s="314">
        <v>23700</v>
      </c>
      <c r="G146" s="314">
        <v>34400</v>
      </c>
      <c r="H146" s="315">
        <v>69</v>
      </c>
      <c r="I146" s="315">
        <v>6.6</v>
      </c>
      <c r="J146" s="314">
        <v>27400</v>
      </c>
      <c r="K146" s="314">
        <v>34300</v>
      </c>
      <c r="L146" s="315">
        <v>80</v>
      </c>
      <c r="M146" s="315">
        <v>5.4</v>
      </c>
      <c r="N146" s="314">
        <v>25100</v>
      </c>
      <c r="O146" s="314">
        <v>34300</v>
      </c>
      <c r="P146" s="315">
        <v>73.099999999999994</v>
      </c>
      <c r="Q146" s="315">
        <v>7.8</v>
      </c>
    </row>
    <row r="147" spans="1:17">
      <c r="A147" s="246" t="s">
        <v>40</v>
      </c>
      <c r="B147" s="314">
        <v>5000</v>
      </c>
      <c r="C147" s="314">
        <v>7100</v>
      </c>
      <c r="D147" s="315">
        <v>70.3</v>
      </c>
      <c r="E147" s="315">
        <v>16.600000000000001</v>
      </c>
      <c r="F147" s="314">
        <v>6000</v>
      </c>
      <c r="G147" s="314">
        <v>7900</v>
      </c>
      <c r="H147" s="315">
        <v>75</v>
      </c>
      <c r="I147" s="315">
        <v>18.5</v>
      </c>
      <c r="J147" s="314">
        <v>5300</v>
      </c>
      <c r="K147" s="314">
        <v>6800</v>
      </c>
      <c r="L147" s="315">
        <v>77.599999999999994</v>
      </c>
      <c r="M147" s="315">
        <v>19.8</v>
      </c>
      <c r="N147" s="314">
        <v>5800</v>
      </c>
      <c r="O147" s="314">
        <v>7100</v>
      </c>
      <c r="P147" s="315">
        <v>81.5</v>
      </c>
      <c r="Q147" s="315">
        <v>18.5</v>
      </c>
    </row>
    <row r="148" spans="1:17">
      <c r="A148" s="246" t="s">
        <v>41</v>
      </c>
      <c r="B148" s="314">
        <v>24100</v>
      </c>
      <c r="C148" s="314">
        <v>32900</v>
      </c>
      <c r="D148" s="315">
        <v>73.2</v>
      </c>
      <c r="E148" s="315">
        <v>5.8</v>
      </c>
      <c r="F148" s="314">
        <v>21900</v>
      </c>
      <c r="G148" s="314">
        <v>31300</v>
      </c>
      <c r="H148" s="315">
        <v>69.900000000000006</v>
      </c>
      <c r="I148" s="315">
        <v>6.5</v>
      </c>
      <c r="J148" s="314">
        <v>23200</v>
      </c>
      <c r="K148" s="314">
        <v>33400</v>
      </c>
      <c r="L148" s="315">
        <v>69.599999999999994</v>
      </c>
      <c r="M148" s="315">
        <v>6.6</v>
      </c>
      <c r="N148" s="314">
        <v>23000</v>
      </c>
      <c r="O148" s="314">
        <v>33400</v>
      </c>
      <c r="P148" s="315">
        <v>69</v>
      </c>
      <c r="Q148" s="315">
        <v>8.1999999999999993</v>
      </c>
    </row>
    <row r="149" spans="1:17">
      <c r="A149" s="246" t="s">
        <v>42</v>
      </c>
      <c r="B149" s="314">
        <v>77300</v>
      </c>
      <c r="C149" s="314">
        <v>104100</v>
      </c>
      <c r="D149" s="315">
        <v>74.2</v>
      </c>
      <c r="E149" s="315">
        <v>5.3</v>
      </c>
      <c r="F149" s="314">
        <v>75700</v>
      </c>
      <c r="G149" s="314">
        <v>103600</v>
      </c>
      <c r="H149" s="315">
        <v>73.099999999999994</v>
      </c>
      <c r="I149" s="315">
        <v>5.6</v>
      </c>
      <c r="J149" s="314">
        <v>78000</v>
      </c>
      <c r="K149" s="314">
        <v>102200</v>
      </c>
      <c r="L149" s="315">
        <v>76.3</v>
      </c>
      <c r="M149" s="315">
        <v>5.5</v>
      </c>
      <c r="N149" s="314">
        <v>74100</v>
      </c>
      <c r="O149" s="314">
        <v>103000</v>
      </c>
      <c r="P149" s="315">
        <v>72</v>
      </c>
      <c r="Q149" s="315">
        <v>7.1</v>
      </c>
    </row>
    <row r="150" spans="1:17">
      <c r="A150" s="242" t="s">
        <v>235</v>
      </c>
      <c r="B150" s="314">
        <f>SUM(B149,B142)</f>
        <v>150600</v>
      </c>
      <c r="C150" s="314">
        <f>SUM(C149,C142)</f>
        <v>213300</v>
      </c>
      <c r="D150" s="315">
        <f>100*(B150/C150)</f>
        <v>70.604781997187061</v>
      </c>
      <c r="E150" s="315"/>
      <c r="F150" s="314">
        <f>SUM(F149,F142)</f>
        <v>153300</v>
      </c>
      <c r="G150" s="314">
        <f>SUM(G149,G142)</f>
        <v>217500</v>
      </c>
      <c r="H150" s="315">
        <f>100*(F150/G150)</f>
        <v>70.482758620689651</v>
      </c>
      <c r="I150" s="315"/>
      <c r="J150" s="314">
        <f>SUM(J149,J142)</f>
        <v>147700</v>
      </c>
      <c r="K150" s="314">
        <f>SUM(K149,K142)</f>
        <v>211300</v>
      </c>
      <c r="L150" s="315">
        <f>100*(J150/K150)</f>
        <v>69.900615238996693</v>
      </c>
      <c r="M150" s="315"/>
      <c r="N150" s="314">
        <f>SUM(N149,N142)</f>
        <v>140500</v>
      </c>
      <c r="O150" s="314">
        <f>SUM(O149,O142)</f>
        <v>210000</v>
      </c>
      <c r="P150" s="315">
        <f>100*(N150/O150)</f>
        <v>66.904761904761898</v>
      </c>
      <c r="Q150" s="315"/>
    </row>
    <row r="151" spans="1:17">
      <c r="A151" s="246" t="s">
        <v>43</v>
      </c>
      <c r="B151" s="314">
        <v>21000</v>
      </c>
      <c r="C151" s="314">
        <v>27900</v>
      </c>
      <c r="D151" s="315">
        <v>75.3</v>
      </c>
      <c r="E151" s="315">
        <v>5.6</v>
      </c>
      <c r="F151" s="314">
        <v>21200</v>
      </c>
      <c r="G151" s="314">
        <v>29600</v>
      </c>
      <c r="H151" s="315">
        <v>71.8</v>
      </c>
      <c r="I151" s="315">
        <v>6.5</v>
      </c>
      <c r="J151" s="314">
        <v>22700</v>
      </c>
      <c r="K151" s="314">
        <v>30200</v>
      </c>
      <c r="L151" s="315">
        <v>75.3</v>
      </c>
      <c r="M151" s="315">
        <v>5.5</v>
      </c>
      <c r="N151" s="314">
        <v>23700</v>
      </c>
      <c r="O151" s="314">
        <v>29400</v>
      </c>
      <c r="P151" s="315">
        <v>80.599999999999994</v>
      </c>
      <c r="Q151" s="315">
        <v>6.1</v>
      </c>
    </row>
    <row r="152" spans="1:17">
      <c r="A152" s="246" t="s">
        <v>44</v>
      </c>
      <c r="B152" s="314">
        <v>19700</v>
      </c>
      <c r="C152" s="314">
        <v>27700</v>
      </c>
      <c r="D152" s="315">
        <v>71.099999999999994</v>
      </c>
      <c r="E152" s="315">
        <v>5.4</v>
      </c>
      <c r="F152" s="314">
        <v>19600</v>
      </c>
      <c r="G152" s="314">
        <v>29200</v>
      </c>
      <c r="H152" s="315">
        <v>67</v>
      </c>
      <c r="I152" s="315">
        <v>6.2</v>
      </c>
      <c r="J152" s="314">
        <v>21500</v>
      </c>
      <c r="K152" s="314">
        <v>28700</v>
      </c>
      <c r="L152" s="315">
        <v>74.8</v>
      </c>
      <c r="M152" s="315">
        <v>5.8</v>
      </c>
      <c r="N152" s="314">
        <v>20300</v>
      </c>
      <c r="O152" s="314">
        <v>28000</v>
      </c>
      <c r="P152" s="315">
        <v>72.5</v>
      </c>
      <c r="Q152" s="315">
        <v>6.8</v>
      </c>
    </row>
    <row r="153" spans="1:17">
      <c r="A153" s="246" t="s">
        <v>45</v>
      </c>
      <c r="B153" s="239">
        <v>45100</v>
      </c>
      <c r="C153" s="239">
        <v>61500</v>
      </c>
      <c r="D153" s="240">
        <v>73.400000000000006</v>
      </c>
      <c r="E153" s="240">
        <v>5.7</v>
      </c>
      <c r="F153" s="239">
        <v>42900</v>
      </c>
      <c r="G153" s="239">
        <v>61000</v>
      </c>
      <c r="H153" s="240">
        <v>70.400000000000006</v>
      </c>
      <c r="I153" s="240">
        <v>6.5</v>
      </c>
      <c r="J153" s="239">
        <v>44800</v>
      </c>
      <c r="K153" s="239">
        <v>59500</v>
      </c>
      <c r="L153" s="240">
        <v>75.3</v>
      </c>
      <c r="M153" s="240">
        <v>5.9</v>
      </c>
      <c r="N153" s="239">
        <v>42400</v>
      </c>
      <c r="O153" s="239">
        <v>61700</v>
      </c>
      <c r="P153" s="240">
        <v>68.599999999999994</v>
      </c>
      <c r="Q153" s="240">
        <v>7.5</v>
      </c>
    </row>
    <row r="154" spans="1:17">
      <c r="A154" s="242"/>
      <c r="B154" s="243"/>
      <c r="C154" s="243"/>
      <c r="D154" s="244"/>
      <c r="E154" s="244"/>
      <c r="F154" s="243"/>
      <c r="G154" s="243"/>
      <c r="H154" s="244"/>
      <c r="I154" s="244"/>
      <c r="J154" s="243"/>
      <c r="K154" s="243"/>
      <c r="L154" s="244"/>
      <c r="M154" s="244"/>
      <c r="N154" s="243"/>
      <c r="O154" s="243"/>
      <c r="P154" s="244"/>
      <c r="Q154" s="244"/>
    </row>
    <row r="155" spans="1:17">
      <c r="A155" s="246" t="s">
        <v>46</v>
      </c>
      <c r="B155" s="314">
        <v>1250300</v>
      </c>
      <c r="C155" s="314">
        <v>1758300</v>
      </c>
      <c r="D155" s="315">
        <v>71.099999999999994</v>
      </c>
      <c r="E155" s="315">
        <v>1</v>
      </c>
      <c r="F155" s="314">
        <v>1238500</v>
      </c>
      <c r="G155" s="314">
        <v>1752800</v>
      </c>
      <c r="H155" s="315">
        <v>70.7</v>
      </c>
      <c r="I155" s="315">
        <v>1.1000000000000001</v>
      </c>
      <c r="J155" s="314">
        <v>1279800</v>
      </c>
      <c r="K155" s="314">
        <v>1759300</v>
      </c>
      <c r="L155" s="315">
        <v>72.7</v>
      </c>
      <c r="M155" s="315">
        <v>1.1000000000000001</v>
      </c>
      <c r="N155" s="314">
        <v>1284700</v>
      </c>
      <c r="O155" s="314">
        <v>1767500</v>
      </c>
      <c r="P155" s="315">
        <v>72.7</v>
      </c>
      <c r="Q155" s="315">
        <v>1.4</v>
      </c>
    </row>
    <row r="156" spans="1:17">
      <c r="A156" s="246" t="s">
        <v>47</v>
      </c>
      <c r="B156" s="314">
        <v>14905700</v>
      </c>
      <c r="C156" s="314">
        <v>20780100</v>
      </c>
      <c r="D156" s="315">
        <v>71.7</v>
      </c>
      <c r="E156" s="315">
        <v>0.3</v>
      </c>
      <c r="F156" s="314">
        <v>14842500</v>
      </c>
      <c r="G156" s="314">
        <v>20770700</v>
      </c>
      <c r="H156" s="315">
        <v>71.5</v>
      </c>
      <c r="I156" s="315">
        <v>0.4</v>
      </c>
      <c r="J156" s="314">
        <v>15046300</v>
      </c>
      <c r="K156" s="314">
        <v>20845200</v>
      </c>
      <c r="L156" s="315">
        <v>72.2</v>
      </c>
      <c r="M156" s="315">
        <v>0.4</v>
      </c>
      <c r="N156" s="314">
        <v>15107600</v>
      </c>
      <c r="O156" s="314">
        <v>20927900</v>
      </c>
      <c r="P156" s="315">
        <v>72.2</v>
      </c>
      <c r="Q156" s="315">
        <v>0.4</v>
      </c>
    </row>
    <row r="157" spans="1:17">
      <c r="A157" s="242" t="s">
        <v>246</v>
      </c>
      <c r="B157" s="125">
        <f>SUM(SUMIFS(B$121:B$153,$A$121:$A$153,{"Na h-Eileanan Siar","Argyll and Bute","Shetland Islands","Highland","Orkney Islands","Scottish Borders","Dumfries and Galloway","Aberdeenshire"}))</f>
        <v>208300</v>
      </c>
      <c r="C157" s="125">
        <f>SUM(SUMIFS(C$121:C$153,$A$121:$A$153,{"Na h-Eileanan Siar","Argyll and Bute","Shetland Islands","Highland","Orkney Islands","Scottish Borders","Dumfries and Galloway","Aberdeenshire"}))</f>
        <v>282000</v>
      </c>
      <c r="D157" s="361">
        <f>SUM(B157/C157)*100</f>
        <v>73.865248226950357</v>
      </c>
      <c r="E157" s="244"/>
      <c r="F157" s="125">
        <f>SUM(SUMIFS(F$121:F$153,$A$121:$A$153,{"Na h-Eileanan Siar","Argyll and Bute","Shetland Islands","Highland","Orkney Islands","Scottish Borders","Dumfries and Galloway","Aberdeenshire"}))</f>
        <v>195700</v>
      </c>
      <c r="G157" s="125">
        <f>SUM(SUMIFS(G$121:G$153,$A$121:$A$153,{"Na h-Eileanan Siar","Argyll and Bute","Shetland Islands","Highland","Orkney Islands","Scottish Borders","Dumfries and Galloway","Aberdeenshire"}))</f>
        <v>278600</v>
      </c>
      <c r="H157" s="361">
        <f t="shared" ref="H157:H160" si="16">SUM(F157/G157)*100</f>
        <v>70.244077530509699</v>
      </c>
      <c r="I157" s="244"/>
      <c r="J157" s="125">
        <f>SUM(SUMIFS(J$121:J$153,$A$121:$A$153,{"Na h-Eileanan Siar","Argyll and Bute","Shetland Islands","Highland","Orkney Islands","Scottish Borders","Dumfries and Galloway","Aberdeenshire"}))</f>
        <v>204000</v>
      </c>
      <c r="K157" s="125">
        <f>SUM(SUMIFS(K$121:K$153,$A$121:$A$153,{"Na h-Eileanan Siar","Argyll and Bute","Shetland Islands","Highland","Orkney Islands","Scottish Borders","Dumfries and Galloway","Aberdeenshire"}))</f>
        <v>279800</v>
      </c>
      <c r="L157" s="361">
        <f t="shared" ref="L157:L160" si="17">SUM(J157/K157)*100</f>
        <v>72.909220872051463</v>
      </c>
      <c r="M157" s="244"/>
      <c r="N157" s="125">
        <f>SUM(SUMIFS(N$121:N$153,$A$121:$A$153,{"Na h-Eileanan Siar","Argyll and Bute","Shetland Islands","Highland","Orkney Islands","Scottish Borders","Dumfries and Galloway","Aberdeenshire"}))</f>
        <v>212700</v>
      </c>
      <c r="O157" s="125">
        <f>SUM(SUMIFS(O$121:O$153,$A$121:$A$153,{"Na h-Eileanan Siar","Argyll and Bute","Shetland Islands","Highland","Orkney Islands","Scottish Borders","Dumfries and Galloway","Aberdeenshire"}))</f>
        <v>276400</v>
      </c>
      <c r="P157" s="361">
        <f t="shared" ref="P157:P160" si="18">SUM(N157/O157)*100</f>
        <v>76.953690303907379</v>
      </c>
      <c r="Q157" s="244"/>
    </row>
    <row r="158" spans="1:17">
      <c r="A158" s="242" t="s">
        <v>247</v>
      </c>
      <c r="B158" s="125" cm="1">
        <f t="array" ref="B158">SUM(SUMIFS(B$121:B$153,$A$121:$A$153,{"Perth and Kinross","Stirling","Moray","South Ayrshire","East Ayrshire","East Lothian","North Ayrshire","Fife"}))</f>
        <v>256500</v>
      </c>
      <c r="C158" s="125">
        <f>SUM(SUMIFS(C$121:C$153,$A$121:$A$153,{"Perth and Kinross","Stirling","Moray","South Ayrshire","East Ayrshire","East Lothian","North Ayrshire","Fife"}))</f>
        <v>368200</v>
      </c>
      <c r="D158" s="361">
        <f t="shared" ref="D158:D160" si="19">SUM(B158/C158)*100</f>
        <v>69.663226507332979</v>
      </c>
      <c r="E158" s="244"/>
      <c r="F158" s="125">
        <f>SUM(SUMIFS(F$121:F$153,$A$121:$A$153,{"Perth and Kinross","Stirling","Moray","South Ayrshire","East Ayrshire","East Lothian","North Ayrshire","Fife"}))</f>
        <v>257700</v>
      </c>
      <c r="G158" s="125">
        <f>SUM(SUMIFS(G$121:G$153,$A$121:$A$153,{"Perth and Kinross","Stirling","Moray","South Ayrshire","East Ayrshire","East Lothian","North Ayrshire","Fife"}))</f>
        <v>364400</v>
      </c>
      <c r="H158" s="361">
        <f t="shared" si="16"/>
        <v>70.718990120746426</v>
      </c>
      <c r="I158" s="244"/>
      <c r="J158" s="125">
        <f>SUM(SUMIFS(J$121:J$153,$A$121:$A$153,{"Perth and Kinross","Stirling","Moray","South Ayrshire","East Ayrshire","East Lothian","North Ayrshire","Fife"}))</f>
        <v>264000</v>
      </c>
      <c r="K158" s="125">
        <f>SUM(SUMIFS(K$121:K$153,$A$121:$A$153,{"Perth and Kinross","Stirling","Moray","South Ayrshire","East Ayrshire","East Lothian","North Ayrshire","Fife"}))</f>
        <v>366000</v>
      </c>
      <c r="L158" s="361">
        <f t="shared" si="17"/>
        <v>72.131147540983605</v>
      </c>
      <c r="M158" s="244"/>
      <c r="N158" s="125">
        <f>SUM(SUMIFS(N$121:N$153,$A$121:$A$153,{"Perth and Kinross","Stirling","Moray","South Ayrshire","East Ayrshire","East Lothian","North Ayrshire","Fife"}))</f>
        <v>272300</v>
      </c>
      <c r="O158" s="125">
        <f>SUM(SUMIFS(O$121:O$153,$A$121:$A$153,{"Perth and Kinross","Stirling","Moray","South Ayrshire","East Ayrshire","East Lothian","North Ayrshire","Fife"}))</f>
        <v>376900</v>
      </c>
      <c r="P158" s="361">
        <f t="shared" si="18"/>
        <v>72.24728044574158</v>
      </c>
      <c r="Q158" s="244"/>
    </row>
    <row r="159" spans="1:17">
      <c r="A159" s="242" t="s">
        <v>248</v>
      </c>
      <c r="B159" s="125">
        <f>SUM(SUMIFS(B$121:B$153,$A$121:$A$153,{"Angus","Clackmannanshire","Midlothian","South Lanarkshire","Inverclyde","Renfrewshire","West Lothian","East Renfrewshire"}))</f>
        <v>261500</v>
      </c>
      <c r="C159" s="125">
        <f>SUM(SUMIFS(C$121:C$153,$A$121:$A$153,{"Angus","Clackmannanshire","Midlothian","South Lanarkshire","Inverclyde","Renfrewshire","West Lothian","East Renfrewshire"}))</f>
        <v>357600</v>
      </c>
      <c r="D159" s="361">
        <f t="shared" si="19"/>
        <v>73.12639821029083</v>
      </c>
      <c r="E159" s="244"/>
      <c r="F159" s="125">
        <f>SUM(SUMIFS(F$121:F$153,$A$121:$A$153,{"Angus","Clackmannanshire","Midlothian","South Lanarkshire","Inverclyde","Renfrewshire","West Lothian","East Renfrewshire"}))</f>
        <v>261100</v>
      </c>
      <c r="G159" s="125">
        <f>SUM(SUMIFS(G$121:G$153,$A$121:$A$153,{"Angus","Clackmannanshire","Midlothian","South Lanarkshire","Inverclyde","Renfrewshire","West Lothian","East Renfrewshire"}))</f>
        <v>354800</v>
      </c>
      <c r="H159" s="361">
        <f t="shared" si="16"/>
        <v>73.590755355129659</v>
      </c>
      <c r="I159" s="244"/>
      <c r="J159" s="125">
        <f>SUM(SUMIFS(J$121:J$153,$A$121:$A$153,{"Angus","Clackmannanshire","Midlothian","South Lanarkshire","Inverclyde","Renfrewshire","West Lothian","East Renfrewshire"}))</f>
        <v>271000</v>
      </c>
      <c r="K159" s="125">
        <f>SUM(SUMIFS(K$121:K$153,$A$121:$A$153,{"Angus","Clackmannanshire","Midlothian","South Lanarkshire","Inverclyde","Renfrewshire","West Lothian","East Renfrewshire"}))</f>
        <v>358700</v>
      </c>
      <c r="L159" s="361">
        <f t="shared" si="17"/>
        <v>75.550599386674094</v>
      </c>
      <c r="M159" s="244"/>
      <c r="N159" s="125">
        <f>SUM(SUMIFS(N$121:N$153,$A$121:$A$153,{"Angus","Clackmannanshire","Midlothian","South Lanarkshire","Inverclyde","Renfrewshire","West Lothian","East Renfrewshire"}))</f>
        <v>266100</v>
      </c>
      <c r="O159" s="125">
        <f>SUM(SUMIFS(O$121:O$153,$A$121:$A$153,{"Angus","Clackmannanshire","Midlothian","South Lanarkshire","Inverclyde","Renfrewshire","West Lothian","East Renfrewshire"}))</f>
        <v>367100</v>
      </c>
      <c r="P159" s="361">
        <f t="shared" si="18"/>
        <v>72.487060746390625</v>
      </c>
      <c r="Q159" s="244"/>
    </row>
    <row r="160" spans="1:17">
      <c r="A160" s="242" t="s">
        <v>249</v>
      </c>
      <c r="B160" s="125">
        <f>SUM(SUMIFS(B$121:B$153,$A$121:$A$153,{"North Lanarkshire","Falkirk","East Dunbartonshire","Aberdeen City","Edinburgh, City of","West Dunbartonshire","Dundee City","Glasgow City"}))</f>
        <v>524100</v>
      </c>
      <c r="C160" s="125">
        <f>SUM(SUMIFS(C$121:C$153,$A$121:$A$153,{"North Lanarkshire","Falkirk","East Dunbartonshire","Aberdeen City","Edinburgh, City of","West Dunbartonshire","Dundee City","Glasgow City"}))</f>
        <v>750900</v>
      </c>
      <c r="D160" s="361">
        <f t="shared" si="19"/>
        <v>69.796244506592089</v>
      </c>
      <c r="E160" s="244"/>
      <c r="F160" s="125">
        <f>SUM(SUMIFS(F$121:F$153,$A$121:$A$153,{"North Lanarkshire","Falkirk","East Dunbartonshire","Aberdeen City","Edinburgh, City of","West Dunbartonshire","Dundee City","Glasgow City"}))</f>
        <v>524000</v>
      </c>
      <c r="G160" s="125">
        <f>SUM(SUMIFS(G$121:G$153,$A$121:$A$153,{"North Lanarkshire","Falkirk","East Dunbartonshire","Aberdeen City","Edinburgh, City of","West Dunbartonshire","Dundee City","Glasgow City"}))</f>
        <v>755200</v>
      </c>
      <c r="H160" s="361">
        <f t="shared" si="16"/>
        <v>69.385593220338976</v>
      </c>
      <c r="I160" s="244"/>
      <c r="J160" s="125">
        <f>SUM(SUMIFS(J$121:J$153,$A$121:$A$153,{"North Lanarkshire","Falkirk","East Dunbartonshire","Aberdeen City","Edinburgh, City of","West Dunbartonshire","Dundee City","Glasgow City"}))</f>
        <v>540700</v>
      </c>
      <c r="K160" s="125">
        <f>SUM(SUMIFS(K$121:K$153,$A$121:$A$153,{"North Lanarkshire","Falkirk","East Dunbartonshire","Aberdeen City","Edinburgh, City of","West Dunbartonshire","Dundee City","Glasgow City"}))</f>
        <v>754600</v>
      </c>
      <c r="L160" s="361">
        <f t="shared" si="17"/>
        <v>71.653856347733907</v>
      </c>
      <c r="M160" s="244"/>
      <c r="N160" s="125">
        <f>SUM(SUMIFS(N$121:N$153,$A$121:$A$153,{"North Lanarkshire","Falkirk","East Dunbartonshire","Aberdeen City","Edinburgh, City of","West Dunbartonshire","Dundee City","Glasgow City"}))</f>
        <v>533500</v>
      </c>
      <c r="O160" s="125">
        <f>SUM(SUMIFS(O$121:O$153,$A$121:$A$153,{"North Lanarkshire","Falkirk","East Dunbartonshire","Aberdeen City","Edinburgh, City of","West Dunbartonshire","Dundee City","Glasgow City"}))</f>
        <v>747100</v>
      </c>
      <c r="P160" s="361">
        <f t="shared" si="18"/>
        <v>71.409449872841662</v>
      </c>
      <c r="Q160" s="244"/>
    </row>
    <row r="161" spans="1:17">
      <c r="A161" s="246" t="s">
        <v>48</v>
      </c>
      <c r="B161" s="314">
        <v>424500</v>
      </c>
      <c r="C161" s="314">
        <v>612300</v>
      </c>
      <c r="D161" s="315">
        <v>69.3</v>
      </c>
      <c r="E161" s="315">
        <v>1.9</v>
      </c>
      <c r="F161" s="314">
        <v>427500</v>
      </c>
      <c r="G161" s="314">
        <v>625900</v>
      </c>
      <c r="H161" s="315">
        <v>68.3</v>
      </c>
      <c r="I161" s="315">
        <v>2.1</v>
      </c>
      <c r="J161" s="314">
        <v>435500</v>
      </c>
      <c r="K161" s="314">
        <v>611900</v>
      </c>
      <c r="L161" s="315">
        <v>71.2</v>
      </c>
      <c r="M161" s="315">
        <v>2.1</v>
      </c>
      <c r="N161" s="314">
        <v>426700</v>
      </c>
      <c r="O161" s="314">
        <v>608400</v>
      </c>
      <c r="P161" s="315">
        <v>70.099999999999994</v>
      </c>
      <c r="Q161" s="315">
        <v>2.6</v>
      </c>
    </row>
    <row r="162" spans="1:17" customFormat="1">
      <c r="A162" s="10" t="s">
        <v>156</v>
      </c>
      <c r="B162" s="15" cm="1">
        <f t="array" ref="B162">SUM(SUMIFS(B$121:B$153,$A$121:$A$153,{"Aberdeen City","Aberdeenshire"}))</f>
        <v>117600</v>
      </c>
      <c r="C162" s="15" cm="1">
        <f t="array" ref="C162">SUM(SUMIFS(C$121:C$153,$A$121:$A$153,{"Aberdeen City","Aberdeenshire"}))</f>
        <v>157700</v>
      </c>
      <c r="D162" s="14">
        <f>SUM(B162/C162)*100</f>
        <v>74.571972098922004</v>
      </c>
      <c r="E162" s="15"/>
      <c r="F162" s="15" cm="1">
        <f t="array" ref="F162">SUM(SUMIFS(F$121:F$153,$A$121:$A$153,{"Aberdeen City","Aberdeenshire"}))</f>
        <v>109000</v>
      </c>
      <c r="G162" s="15" cm="1">
        <f t="array" ref="G162">SUM(SUMIFS(G$121:G$153,$A$121:$A$153,{"Aberdeen City","Aberdeenshire"}))</f>
        <v>151000</v>
      </c>
      <c r="H162" s="14">
        <f t="shared" ref="H162:H165" si="20">SUM(F162/G162)*100</f>
        <v>72.185430463576168</v>
      </c>
      <c r="I162" s="15"/>
      <c r="J162" s="15" cm="1">
        <f t="array" ref="J162">SUM(SUMIFS(J$121:J$153,$A$121:$A$153,{"Aberdeen City","Aberdeenshire"}))</f>
        <v>117700</v>
      </c>
      <c r="K162" s="15" cm="1">
        <f t="array" ref="K162">SUM(SUMIFS(K$121:K$153,$A$121:$A$153,{"Aberdeen City","Aberdeenshire"}))</f>
        <v>162200</v>
      </c>
      <c r="L162" s="14">
        <f t="shared" ref="L162:L165" si="21">SUM(J162/K162)*100</f>
        <v>72.564734895191123</v>
      </c>
      <c r="M162" s="15"/>
      <c r="N162" s="15" cm="1">
        <f t="array" ref="N162">SUM(SUMIFS(N$121:N$153,$A$121:$A$153,{"Aberdeen City","Aberdeenshire"}))</f>
        <v>127900</v>
      </c>
      <c r="O162" s="15" cm="1">
        <f t="array" ref="O162">SUM(SUMIFS(O$121:O$153,$A$121:$A$153,{"Aberdeen City","Aberdeenshire"}))</f>
        <v>163300</v>
      </c>
      <c r="P162" s="14">
        <f t="shared" ref="P162:P165" si="22">SUM(N162/O162)*100</f>
        <v>78.322106552357624</v>
      </c>
      <c r="Q162" s="15"/>
    </row>
    <row r="163" spans="1:17" customFormat="1">
      <c r="A163" s="10" t="s">
        <v>359</v>
      </c>
      <c r="B163" s="15" cm="1">
        <f t="array" ref="B163">SUM(SUMIFS(B$121:B$153,$A$121:$A$153,{"Falkirk","Clackmannanshire","Stirling"}))</f>
        <v>70000</v>
      </c>
      <c r="C163" s="15" cm="1">
        <f t="array" ref="C163">SUM(SUMIFS(C$121:C$153,$A$121:$A$153,{"Falkirk","Clackmannanshire","Stirling"}))</f>
        <v>94100</v>
      </c>
      <c r="D163" s="316">
        <f t="shared" ref="D163" si="23">SUM(B163/C163)*100</f>
        <v>74.388947927736453</v>
      </c>
      <c r="E163" s="14"/>
      <c r="F163" s="15" cm="1">
        <f t="array" ref="F163">SUM(SUMIFS(F$121:F$153,$A$121:$A$153,{"Falkirk","Clackmannanshire","Stirling"}))</f>
        <v>71100</v>
      </c>
      <c r="G163" s="15" cm="1">
        <f t="array" ref="G163">SUM(SUMIFS(G$121:G$153,$A$121:$A$153,{"Falkirk","Clackmannanshire","Stirling"}))</f>
        <v>98400</v>
      </c>
      <c r="H163" s="316">
        <f t="shared" si="20"/>
        <v>72.256097560975604</v>
      </c>
      <c r="I163" s="14"/>
      <c r="J163" s="15" cm="1">
        <f t="array" ref="J163">SUM(SUMIFS(J$121:J$153,$A$121:$A$153,{"Falkirk","Clackmannanshire","Stirling"}))</f>
        <v>71400</v>
      </c>
      <c r="K163" s="15" cm="1">
        <f t="array" ref="K163">SUM(SUMIFS(K$121:K$153,$A$121:$A$153,{"Falkirk","Clackmannanshire","Stirling"}))</f>
        <v>100600</v>
      </c>
      <c r="L163" s="316">
        <f t="shared" si="21"/>
        <v>70.974155069582494</v>
      </c>
      <c r="M163" s="14"/>
      <c r="N163" s="15" cm="1">
        <f t="array" ref="N163">SUM(SUMIFS(N$121:N$153,$A$121:$A$153,{"Falkirk","Clackmannanshire","Stirling"}))</f>
        <v>71200</v>
      </c>
      <c r="O163" s="15" cm="1">
        <f t="array" ref="O163">SUM(SUMIFS(O$121:O$153,$A$121:$A$153,{"Falkirk","Clackmannanshire","Stirling"}))</f>
        <v>98700</v>
      </c>
      <c r="P163" s="316">
        <f t="shared" si="22"/>
        <v>72.137791286727463</v>
      </c>
      <c r="Q163" s="14"/>
    </row>
    <row r="164" spans="1:17" customFormat="1">
      <c r="A164" s="10" t="s">
        <v>157</v>
      </c>
      <c r="B164" s="125" cm="1">
        <f t="array" ref="B164">SUM(SUMIFS(B$121:B$153,$A$121:$A$153,{"East Lothian","Edinburgh, City of","Fife","Midlothian","Scottish Borders","West Lothian"}))</f>
        <v>328900</v>
      </c>
      <c r="C164" s="125" cm="1">
        <f t="array" ref="C164">SUM(SUMIFS(C$121:C$153,$A$121:$A$153,{"East Lothian","Edinburgh, City of","Fife","Midlothian","Scottish Borders","West Lothian"}))</f>
        <v>455400</v>
      </c>
      <c r="D164" s="14">
        <f>SUM(B164/C164)*100</f>
        <v>72.222222222222214</v>
      </c>
      <c r="E164" s="15"/>
      <c r="F164" s="125" cm="1">
        <f t="array" ref="F164">SUM(SUMIFS(F$121:F$153,$A$121:$A$153,{"East Lothian","Edinburgh, City of","Fife","Midlothian","Scottish Borders","West Lothian"}))</f>
        <v>321700</v>
      </c>
      <c r="G164" s="125" cm="1">
        <f t="array" ref="G164">SUM(SUMIFS(G$121:G$153,$A$121:$A$153,{"East Lothian","Edinburgh, City of","Fife","Midlothian","Scottish Borders","West Lothian"}))</f>
        <v>440600</v>
      </c>
      <c r="H164" s="14">
        <f t="shared" si="20"/>
        <v>73.014071720381295</v>
      </c>
      <c r="I164" s="15"/>
      <c r="J164" s="125" cm="1">
        <f t="array" ref="J164">SUM(SUMIFS(J$121:J$153,$A$121:$A$153,{"East Lothian","Edinburgh, City of","Fife","Midlothian","Scottish Borders","West Lothian"}))</f>
        <v>348700</v>
      </c>
      <c r="K164" s="125" cm="1">
        <f t="array" ref="K164">SUM(SUMIFS(K$121:K$153,$A$121:$A$153,{"East Lothian","Edinburgh, City of","Fife","Midlothian","Scottish Borders","West Lothian"}))</f>
        <v>451500</v>
      </c>
      <c r="L164" s="14">
        <f t="shared" si="21"/>
        <v>77.231450719822817</v>
      </c>
      <c r="M164" s="15"/>
      <c r="N164" s="125" cm="1">
        <f t="array" ref="N164">SUM(SUMIFS(N$121:N$153,$A$121:$A$153,{"East Lothian","Edinburgh, City of","Fife","Midlothian","Scottish Borders","West Lothian"}))</f>
        <v>354300</v>
      </c>
      <c r="O164" s="125" cm="1">
        <f t="array" ref="O164">SUM(SUMIFS(O$121:O$153,$A$121:$A$153,{"East Lothian","Edinburgh, City of","Fife","Midlothian","Scottish Borders","West Lothian"}))</f>
        <v>463900</v>
      </c>
      <c r="P164" s="14">
        <f t="shared" si="22"/>
        <v>76.374218581590853</v>
      </c>
      <c r="Q164" s="15"/>
    </row>
    <row r="165" spans="1:17" customFormat="1">
      <c r="A165" s="10" t="s">
        <v>158</v>
      </c>
      <c r="B165" s="125" cm="1">
        <f t="array" ref="B165">SUM(SUMIFS(B$121:B$153,$A$121:$A$153,{"Angus","Dundee City","Fife","Perth and Kinross"}))</f>
        <v>172300</v>
      </c>
      <c r="C165" s="125" cm="1">
        <f t="array" ref="C165">SUM(SUMIFS(C$121:C$153,$A$121:$A$153,{"Angus","Dundee City","Fife","Perth and Kinross"}))</f>
        <v>249700</v>
      </c>
      <c r="D165" s="14">
        <f>SUM(B165/C165)*100</f>
        <v>69.002803364036851</v>
      </c>
      <c r="E165" s="15"/>
      <c r="F165" s="125" cm="1">
        <f t="array" ref="F165">SUM(SUMIFS(F$121:F$153,$A$121:$A$153,{"Angus","Dundee City","Fife","Perth and Kinross"}))</f>
        <v>167900</v>
      </c>
      <c r="G165" s="125" cm="1">
        <f t="array" ref="G165">SUM(SUMIFS(G$121:G$153,$A$121:$A$153,{"Angus","Dundee City","Fife","Perth and Kinross"}))</f>
        <v>241000</v>
      </c>
      <c r="H165" s="14">
        <f t="shared" si="20"/>
        <v>69.668049792531122</v>
      </c>
      <c r="I165" s="15"/>
      <c r="J165" s="125" cm="1">
        <f t="array" ref="J165">SUM(SUMIFS(J$121:J$153,$A$121:$A$153,{"Angus","Dundee City","Fife","Perth and Kinross"}))</f>
        <v>170500</v>
      </c>
      <c r="K165" s="125" cm="1">
        <f t="array" ref="K165">SUM(SUMIFS(K$121:K$153,$A$121:$A$153,{"Angus","Dundee City","Fife","Perth and Kinross"}))</f>
        <v>238200</v>
      </c>
      <c r="L165" s="14">
        <f t="shared" si="21"/>
        <v>71.578505457598652</v>
      </c>
      <c r="M165" s="15"/>
      <c r="N165" s="125" cm="1">
        <f t="array" ref="N165">SUM(SUMIFS(N$121:N$153,$A$121:$A$153,{"Angus","Dundee City","Fife","Perth and Kinross"}))</f>
        <v>173600</v>
      </c>
      <c r="O165" s="125" cm="1">
        <f t="array" ref="O165">SUM(SUMIFS(O$121:O$153,$A$121:$A$153,{"Angus","Dundee City","Fife","Perth and Kinross"}))</f>
        <v>246100</v>
      </c>
      <c r="P165" s="14">
        <f t="shared" si="22"/>
        <v>70.540430719219827</v>
      </c>
      <c r="Q165" s="15"/>
    </row>
  </sheetData>
  <mergeCells count="12">
    <mergeCell ref="B119:E119"/>
    <mergeCell ref="F119:I119"/>
    <mergeCell ref="J119:M119"/>
    <mergeCell ref="N119:Q119"/>
    <mergeCell ref="B7:E7"/>
    <mergeCell ref="F7:I7"/>
    <mergeCell ref="J7:M7"/>
    <mergeCell ref="N7:Q7"/>
    <mergeCell ref="B63:E63"/>
    <mergeCell ref="F63:I63"/>
    <mergeCell ref="J63:M63"/>
    <mergeCell ref="N63:Q63"/>
  </mergeCells>
  <conditionalFormatting sqref="A1:XFD1048576">
    <cfRule type="expression" dxfId="75"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autoPageBreaks="0"/>
  </sheetPr>
  <dimension ref="A1:Q52"/>
  <sheetViews>
    <sheetView topLeftCell="A5" zoomScale="40" zoomScaleNormal="40" workbookViewId="0">
      <selection activeCell="A13" sqref="A13"/>
    </sheetView>
  </sheetViews>
  <sheetFormatPr defaultColWidth="8.7109375" defaultRowHeight="15"/>
  <cols>
    <col min="1" max="1" width="25" customWidth="1" collapsed="1"/>
    <col min="2" max="3" width="16.5703125"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75">
      <c r="A1" s="370" t="s">
        <v>79</v>
      </c>
      <c r="B1" s="370"/>
      <c r="C1" s="370"/>
    </row>
    <row r="2" spans="1:17">
      <c r="A2" s="371" t="s">
        <v>63</v>
      </c>
      <c r="B2" s="371"/>
      <c r="C2" s="371"/>
    </row>
    <row r="4" spans="1:17">
      <c r="A4" s="372" t="s">
        <v>78</v>
      </c>
      <c r="B4" s="372"/>
      <c r="C4" s="372"/>
      <c r="D4" s="372" t="s">
        <v>77</v>
      </c>
    </row>
    <row r="5" spans="1:17">
      <c r="A5" s="372" t="s">
        <v>76</v>
      </c>
      <c r="B5" s="372"/>
      <c r="C5" s="372"/>
      <c r="D5" s="372" t="s">
        <v>75</v>
      </c>
    </row>
    <row r="6" spans="1:17">
      <c r="A6" s="372" t="s">
        <v>74</v>
      </c>
      <c r="B6" s="372"/>
      <c r="C6" s="372"/>
      <c r="D6" s="372" t="s">
        <v>73</v>
      </c>
    </row>
    <row r="7" spans="1:17" ht="21.95" customHeight="1">
      <c r="A7" s="377" t="s">
        <v>138</v>
      </c>
      <c r="B7" s="377"/>
      <c r="C7" s="377"/>
      <c r="D7" s="378">
        <v>2021</v>
      </c>
      <c r="E7" s="378"/>
      <c r="H7" s="378">
        <v>2022</v>
      </c>
      <c r="I7" s="378"/>
      <c r="L7" s="378">
        <v>2023</v>
      </c>
      <c r="M7" s="378"/>
      <c r="P7" s="378">
        <v>2024</v>
      </c>
      <c r="Q7" s="373"/>
    </row>
    <row r="8" spans="1:17" ht="26.1" customHeight="1">
      <c r="D8" s="379" t="s">
        <v>72</v>
      </c>
      <c r="E8" s="379"/>
      <c r="F8" s="379"/>
      <c r="G8" s="379"/>
      <c r="H8" s="379" t="s">
        <v>72</v>
      </c>
      <c r="I8" s="379"/>
      <c r="J8" s="379"/>
      <c r="K8" s="379"/>
      <c r="L8" s="379" t="s">
        <v>72</v>
      </c>
      <c r="M8" s="379"/>
      <c r="N8" s="379"/>
      <c r="O8" s="379"/>
      <c r="P8" s="379" t="s">
        <v>72</v>
      </c>
      <c r="Q8" s="374"/>
    </row>
    <row r="9" spans="1:17">
      <c r="A9" s="22" t="s">
        <v>15</v>
      </c>
      <c r="B9" s="22"/>
      <c r="C9" s="22"/>
      <c r="D9" s="380">
        <v>587.79999999999995</v>
      </c>
      <c r="E9" s="380"/>
      <c r="F9" s="380"/>
      <c r="G9" s="380"/>
      <c r="H9" s="380">
        <v>637.4</v>
      </c>
      <c r="I9" s="380"/>
      <c r="J9" s="380"/>
      <c r="K9" s="380"/>
      <c r="L9" s="380">
        <v>728.3</v>
      </c>
      <c r="M9" s="380"/>
      <c r="N9" s="380"/>
      <c r="O9" s="380"/>
      <c r="P9" s="380">
        <v>721.7</v>
      </c>
      <c r="Q9" s="375"/>
    </row>
    <row r="10" spans="1:17">
      <c r="A10" s="22" t="s">
        <v>16</v>
      </c>
      <c r="B10" s="22"/>
      <c r="C10" s="22"/>
      <c r="D10" s="380">
        <v>638.20000000000005</v>
      </c>
      <c r="E10" s="380"/>
      <c r="F10" s="380"/>
      <c r="G10" s="380"/>
      <c r="H10" s="380">
        <v>710.8</v>
      </c>
      <c r="I10" s="380"/>
      <c r="J10" s="380"/>
      <c r="K10" s="380"/>
      <c r="L10" s="380">
        <v>769.5</v>
      </c>
      <c r="M10" s="380"/>
      <c r="N10" s="380"/>
      <c r="O10" s="380"/>
      <c r="P10" s="380">
        <v>783.9</v>
      </c>
      <c r="Q10" s="375"/>
    </row>
    <row r="11" spans="1:17">
      <c r="A11" s="22" t="s">
        <v>17</v>
      </c>
      <c r="B11" s="22"/>
      <c r="C11" s="22"/>
      <c r="D11" s="380">
        <v>600</v>
      </c>
      <c r="E11" s="380"/>
      <c r="F11" s="380"/>
      <c r="G11" s="380"/>
      <c r="H11" s="380">
        <v>609.6</v>
      </c>
      <c r="I11" s="380"/>
      <c r="J11" s="380"/>
      <c r="K11" s="380"/>
      <c r="L11" s="380">
        <v>658.5</v>
      </c>
      <c r="M11" s="380"/>
      <c r="N11" s="380"/>
      <c r="O11" s="380"/>
      <c r="P11" s="380">
        <v>682.5</v>
      </c>
      <c r="Q11" s="375"/>
    </row>
    <row r="12" spans="1:17">
      <c r="A12" s="22" t="s">
        <v>18</v>
      </c>
      <c r="B12" s="22"/>
      <c r="C12" s="22"/>
      <c r="D12" s="380">
        <v>564.29999999999995</v>
      </c>
      <c r="E12" s="380"/>
      <c r="F12" s="380"/>
      <c r="G12" s="380"/>
      <c r="H12" s="380">
        <v>588.4</v>
      </c>
      <c r="I12" s="380"/>
      <c r="J12" s="380"/>
      <c r="K12" s="380"/>
      <c r="L12" s="380">
        <v>672.3</v>
      </c>
      <c r="M12" s="380"/>
      <c r="N12" s="380"/>
      <c r="O12" s="380"/>
      <c r="P12" s="380">
        <v>702.9</v>
      </c>
      <c r="Q12" s="375"/>
    </row>
    <row r="13" spans="1:17">
      <c r="A13" s="22" t="s">
        <v>126</v>
      </c>
      <c r="B13" s="22"/>
      <c r="C13" s="22"/>
      <c r="D13" s="380">
        <v>635.4</v>
      </c>
      <c r="E13" s="380"/>
      <c r="F13" s="380"/>
      <c r="G13" s="380"/>
      <c r="H13" s="380">
        <v>658</v>
      </c>
      <c r="I13" s="380"/>
      <c r="J13" s="380"/>
      <c r="K13" s="380"/>
      <c r="L13" s="380">
        <v>737.7</v>
      </c>
      <c r="M13" s="380"/>
      <c r="N13" s="380"/>
      <c r="O13" s="380"/>
      <c r="P13" s="380">
        <v>778.5</v>
      </c>
      <c r="Q13" s="375"/>
    </row>
    <row r="14" spans="1:17">
      <c r="A14" s="22" t="s">
        <v>19</v>
      </c>
      <c r="B14" s="22"/>
      <c r="C14" s="22"/>
      <c r="D14" s="380">
        <v>639</v>
      </c>
      <c r="E14" s="380"/>
      <c r="F14" s="380"/>
      <c r="G14" s="380"/>
      <c r="H14" s="380">
        <v>643.6</v>
      </c>
      <c r="I14" s="380"/>
      <c r="J14" s="380"/>
      <c r="K14" s="380"/>
      <c r="L14" s="380">
        <v>686.2</v>
      </c>
      <c r="M14" s="380"/>
      <c r="N14" s="380"/>
      <c r="O14" s="380"/>
      <c r="P14" s="380">
        <v>762</v>
      </c>
      <c r="Q14" s="375"/>
    </row>
    <row r="15" spans="1:17">
      <c r="A15" s="22" t="s">
        <v>20</v>
      </c>
      <c r="B15" s="22"/>
      <c r="C15" s="22"/>
      <c r="D15" s="380">
        <v>552.20000000000005</v>
      </c>
      <c r="E15" s="380"/>
      <c r="F15" s="380"/>
      <c r="G15" s="380"/>
      <c r="H15" s="380">
        <v>585.70000000000005</v>
      </c>
      <c r="I15" s="380"/>
      <c r="J15" s="380"/>
      <c r="K15" s="380"/>
      <c r="L15" s="380">
        <v>605</v>
      </c>
      <c r="M15" s="380"/>
      <c r="N15" s="380"/>
      <c r="O15" s="380"/>
      <c r="P15" s="380">
        <v>682.2</v>
      </c>
      <c r="Q15" s="375"/>
    </row>
    <row r="16" spans="1:17">
      <c r="A16" s="22" t="s">
        <v>21</v>
      </c>
      <c r="B16" s="22"/>
      <c r="C16" s="22"/>
      <c r="D16" s="380">
        <v>566.6</v>
      </c>
      <c r="E16" s="380"/>
      <c r="F16" s="380"/>
      <c r="G16" s="380"/>
      <c r="H16" s="380">
        <v>586.70000000000005</v>
      </c>
      <c r="I16" s="380"/>
      <c r="J16" s="380"/>
      <c r="K16" s="380"/>
      <c r="L16" s="380">
        <v>624.79999999999995</v>
      </c>
      <c r="M16" s="380"/>
      <c r="N16" s="380"/>
      <c r="O16" s="380"/>
      <c r="P16" s="380">
        <v>673.3</v>
      </c>
      <c r="Q16" s="375"/>
    </row>
    <row r="17" spans="1:17">
      <c r="A17" s="22" t="s">
        <v>22</v>
      </c>
      <c r="B17" s="22"/>
      <c r="C17" s="22"/>
      <c r="D17" s="380">
        <v>615.1</v>
      </c>
      <c r="E17" s="380"/>
      <c r="F17" s="380"/>
      <c r="G17" s="380"/>
      <c r="H17" s="380">
        <v>637.4</v>
      </c>
      <c r="I17" s="380"/>
      <c r="J17" s="380"/>
      <c r="K17" s="380"/>
      <c r="L17" s="380">
        <v>708.3</v>
      </c>
      <c r="M17" s="380"/>
      <c r="N17" s="380"/>
      <c r="O17" s="380"/>
      <c r="P17" s="380">
        <v>687.8</v>
      </c>
      <c r="Q17" s="375"/>
    </row>
    <row r="18" spans="1:17">
      <c r="A18" s="22" t="s">
        <v>23</v>
      </c>
      <c r="B18" s="22"/>
      <c r="C18" s="22"/>
      <c r="D18" s="380">
        <v>754.1</v>
      </c>
      <c r="E18" s="380"/>
      <c r="F18" s="380"/>
      <c r="G18" s="380"/>
      <c r="H18" s="380">
        <v>744.1</v>
      </c>
      <c r="I18" s="380"/>
      <c r="J18" s="380"/>
      <c r="K18" s="380"/>
      <c r="L18" s="380">
        <v>829.8</v>
      </c>
      <c r="M18" s="380"/>
      <c r="N18" s="380"/>
      <c r="O18" s="380"/>
      <c r="P18" s="380">
        <v>859.5</v>
      </c>
      <c r="Q18" s="375"/>
    </row>
    <row r="19" spans="1:17">
      <c r="A19" s="22" t="s">
        <v>24</v>
      </c>
      <c r="B19" s="22"/>
      <c r="C19" s="22"/>
      <c r="D19" s="380">
        <v>594</v>
      </c>
      <c r="E19" s="380"/>
      <c r="F19" s="380"/>
      <c r="G19" s="380"/>
      <c r="H19" s="380">
        <v>652.6</v>
      </c>
      <c r="I19" s="380"/>
      <c r="J19" s="380"/>
      <c r="K19" s="380"/>
      <c r="L19" s="380">
        <v>668.8</v>
      </c>
      <c r="M19" s="380"/>
      <c r="N19" s="380"/>
      <c r="O19" s="380"/>
      <c r="P19" s="380">
        <v>737</v>
      </c>
      <c r="Q19" s="375"/>
    </row>
    <row r="20" spans="1:17">
      <c r="A20" s="22" t="s">
        <v>25</v>
      </c>
      <c r="B20" s="22"/>
      <c r="C20" s="22"/>
      <c r="D20" s="380">
        <v>809.4</v>
      </c>
      <c r="E20" s="380"/>
      <c r="F20" s="380"/>
      <c r="G20" s="380"/>
      <c r="H20" s="380">
        <v>811.4</v>
      </c>
      <c r="I20" s="380"/>
      <c r="J20" s="380"/>
      <c r="K20" s="380"/>
      <c r="L20" s="380">
        <v>864</v>
      </c>
      <c r="M20" s="380"/>
      <c r="N20" s="380"/>
      <c r="O20" s="380"/>
      <c r="P20" s="380">
        <v>862</v>
      </c>
      <c r="Q20" s="375"/>
    </row>
    <row r="21" spans="1:17">
      <c r="A21" s="22" t="s">
        <v>26</v>
      </c>
      <c r="B21" s="22"/>
      <c r="C21" s="22"/>
      <c r="D21" s="380">
        <v>593.20000000000005</v>
      </c>
      <c r="E21" s="380"/>
      <c r="F21" s="380"/>
      <c r="G21" s="380"/>
      <c r="H21" s="380">
        <v>619.1</v>
      </c>
      <c r="I21" s="380"/>
      <c r="J21" s="380"/>
      <c r="K21" s="380"/>
      <c r="L21" s="380">
        <v>683.7</v>
      </c>
      <c r="M21" s="380"/>
      <c r="N21" s="380"/>
      <c r="O21" s="380"/>
      <c r="P21" s="380">
        <v>724.6</v>
      </c>
      <c r="Q21" s="375"/>
    </row>
    <row r="22" spans="1:17">
      <c r="A22" s="22" t="s">
        <v>27</v>
      </c>
      <c r="B22" s="22"/>
      <c r="C22" s="22"/>
      <c r="D22" s="380">
        <v>610.6</v>
      </c>
      <c r="E22" s="380"/>
      <c r="F22" s="380"/>
      <c r="G22" s="380"/>
      <c r="H22" s="380">
        <v>604.29999999999995</v>
      </c>
      <c r="I22" s="380"/>
      <c r="J22" s="380"/>
      <c r="K22" s="380"/>
      <c r="L22" s="380">
        <v>681.5</v>
      </c>
      <c r="M22" s="380"/>
      <c r="N22" s="380"/>
      <c r="O22" s="380"/>
      <c r="P22" s="380">
        <v>730.7</v>
      </c>
      <c r="Q22" s="375"/>
    </row>
    <row r="23" spans="1:17">
      <c r="A23" s="22" t="s">
        <v>28</v>
      </c>
      <c r="B23" s="22"/>
      <c r="C23" s="22"/>
      <c r="D23" s="380">
        <v>620.4</v>
      </c>
      <c r="E23" s="380"/>
      <c r="F23" s="380"/>
      <c r="G23" s="380"/>
      <c r="H23" s="380">
        <v>635.70000000000005</v>
      </c>
      <c r="I23" s="380"/>
      <c r="J23" s="380"/>
      <c r="K23" s="380"/>
      <c r="L23" s="380">
        <v>689</v>
      </c>
      <c r="M23" s="380"/>
      <c r="N23" s="380"/>
      <c r="O23" s="380"/>
      <c r="P23" s="380">
        <v>721</v>
      </c>
      <c r="Q23" s="375"/>
    </row>
    <row r="24" spans="1:17">
      <c r="A24" s="22" t="s">
        <v>29</v>
      </c>
      <c r="B24" s="22"/>
      <c r="C24" s="22"/>
      <c r="D24" s="380">
        <v>605.70000000000005</v>
      </c>
      <c r="E24" s="380"/>
      <c r="F24" s="380"/>
      <c r="G24" s="380"/>
      <c r="H24" s="380">
        <v>666.5</v>
      </c>
      <c r="I24" s="380"/>
      <c r="J24" s="380"/>
      <c r="K24" s="380"/>
      <c r="L24" s="380">
        <v>711.1</v>
      </c>
      <c r="M24" s="380"/>
      <c r="N24" s="380"/>
      <c r="O24" s="380"/>
      <c r="P24" s="380">
        <v>733.2</v>
      </c>
      <c r="Q24" s="375"/>
    </row>
    <row r="25" spans="1:17">
      <c r="A25" s="22" t="s">
        <v>30</v>
      </c>
      <c r="B25" s="22"/>
      <c r="C25" s="22"/>
      <c r="D25" s="380">
        <v>568</v>
      </c>
      <c r="E25" s="380"/>
      <c r="F25" s="380"/>
      <c r="G25" s="380"/>
      <c r="H25" s="380">
        <v>633.79999999999995</v>
      </c>
      <c r="I25" s="380"/>
      <c r="J25" s="380"/>
      <c r="K25" s="380"/>
      <c r="L25" s="380">
        <v>710.7</v>
      </c>
      <c r="M25" s="380"/>
      <c r="N25" s="380"/>
      <c r="O25" s="380"/>
      <c r="P25" s="380">
        <v>685.1</v>
      </c>
      <c r="Q25" s="375"/>
    </row>
    <row r="26" spans="1:17">
      <c r="A26" s="22" t="s">
        <v>31</v>
      </c>
      <c r="B26" s="22"/>
      <c r="C26" s="22"/>
      <c r="D26" s="380">
        <v>595.20000000000005</v>
      </c>
      <c r="E26" s="380"/>
      <c r="F26" s="380"/>
      <c r="G26" s="380"/>
      <c r="H26" s="380">
        <v>625.5</v>
      </c>
      <c r="I26" s="380"/>
      <c r="J26" s="380"/>
      <c r="K26" s="380"/>
      <c r="L26" s="380">
        <v>708.9</v>
      </c>
      <c r="M26" s="380"/>
      <c r="N26" s="380"/>
      <c r="O26" s="380"/>
      <c r="P26" s="380">
        <v>741.3</v>
      </c>
      <c r="Q26" s="375"/>
    </row>
    <row r="27" spans="1:17">
      <c r="A27" s="22" t="s">
        <v>32</v>
      </c>
      <c r="B27" s="22"/>
      <c r="C27" s="22"/>
      <c r="D27" s="380">
        <v>565.5</v>
      </c>
      <c r="E27" s="380"/>
      <c r="F27" s="380"/>
      <c r="G27" s="380"/>
      <c r="H27" s="380">
        <v>600.1</v>
      </c>
      <c r="I27" s="380"/>
      <c r="J27" s="380"/>
      <c r="K27" s="380"/>
      <c r="L27" s="380">
        <v>666.5</v>
      </c>
      <c r="M27" s="380"/>
      <c r="N27" s="380"/>
      <c r="O27" s="380"/>
      <c r="P27" s="380">
        <v>638.6</v>
      </c>
      <c r="Q27" s="375"/>
    </row>
    <row r="28" spans="1:17">
      <c r="A28" s="22" t="s">
        <v>33</v>
      </c>
      <c r="B28" s="22"/>
      <c r="C28" s="22"/>
      <c r="D28" s="380">
        <v>670.7</v>
      </c>
      <c r="E28" s="380"/>
      <c r="F28" s="380"/>
      <c r="G28" s="380"/>
      <c r="H28" s="380">
        <v>562.29999999999995</v>
      </c>
      <c r="I28" s="380"/>
      <c r="J28" s="380"/>
      <c r="K28" s="380"/>
      <c r="L28" s="380">
        <v>748.2</v>
      </c>
      <c r="M28" s="380"/>
      <c r="N28" s="380"/>
      <c r="O28" s="380"/>
      <c r="P28" s="380">
        <v>738.3</v>
      </c>
      <c r="Q28" s="375"/>
    </row>
    <row r="29" spans="1:17">
      <c r="A29" s="22" t="s">
        <v>34</v>
      </c>
      <c r="B29" s="22"/>
      <c r="C29" s="22"/>
      <c r="D29" s="380">
        <v>624.5</v>
      </c>
      <c r="E29" s="380"/>
      <c r="F29" s="380"/>
      <c r="G29" s="380"/>
      <c r="H29" s="380">
        <v>635.9</v>
      </c>
      <c r="I29" s="380"/>
      <c r="J29" s="380"/>
      <c r="K29" s="380"/>
      <c r="L29" s="380">
        <v>705.9</v>
      </c>
      <c r="M29" s="380"/>
      <c r="N29" s="380"/>
      <c r="O29" s="380"/>
      <c r="P29" s="380">
        <v>742.7</v>
      </c>
      <c r="Q29" s="375"/>
    </row>
    <row r="30" spans="1:17">
      <c r="A30" s="22" t="s">
        <v>35</v>
      </c>
      <c r="B30" s="22"/>
      <c r="C30" s="22"/>
      <c r="D30" s="380">
        <v>592.70000000000005</v>
      </c>
      <c r="E30" s="380"/>
      <c r="F30" s="380"/>
      <c r="G30" s="380"/>
      <c r="H30" s="380">
        <v>657.9</v>
      </c>
      <c r="I30" s="380"/>
      <c r="J30" s="380"/>
      <c r="K30" s="380"/>
      <c r="L30" s="380">
        <v>711</v>
      </c>
      <c r="M30" s="380"/>
      <c r="N30" s="380"/>
      <c r="O30" s="380"/>
      <c r="P30" s="380">
        <v>740.4</v>
      </c>
      <c r="Q30" s="375"/>
    </row>
    <row r="31" spans="1:17">
      <c r="A31" s="22" t="s">
        <v>36</v>
      </c>
      <c r="B31" s="22"/>
      <c r="C31" s="22"/>
      <c r="D31" s="380">
        <v>563</v>
      </c>
      <c r="E31" s="380"/>
      <c r="F31" s="380"/>
      <c r="G31" s="380"/>
      <c r="H31" s="380">
        <v>662.3</v>
      </c>
      <c r="I31" s="380"/>
      <c r="J31" s="380"/>
      <c r="K31" s="380"/>
      <c r="L31" s="380">
        <v>767.5</v>
      </c>
      <c r="M31" s="380"/>
      <c r="N31" s="380"/>
      <c r="O31" s="380"/>
      <c r="P31" s="380">
        <v>767.3</v>
      </c>
      <c r="Q31" s="375"/>
    </row>
    <row r="32" spans="1:17">
      <c r="A32" s="22" t="s">
        <v>37</v>
      </c>
      <c r="B32" s="22"/>
      <c r="C32" s="22"/>
      <c r="D32" s="380">
        <v>579.1</v>
      </c>
      <c r="E32" s="380"/>
      <c r="F32" s="380"/>
      <c r="G32" s="380"/>
      <c r="H32" s="380">
        <v>663.8</v>
      </c>
      <c r="I32" s="380"/>
      <c r="J32" s="380"/>
      <c r="K32" s="380"/>
      <c r="L32" s="380">
        <v>729.3</v>
      </c>
      <c r="M32" s="380"/>
      <c r="N32" s="380"/>
      <c r="O32" s="380"/>
      <c r="P32" s="380">
        <v>755.5</v>
      </c>
      <c r="Q32" s="375"/>
    </row>
    <row r="33" spans="1:17">
      <c r="A33" s="22" t="s">
        <v>38</v>
      </c>
      <c r="B33" s="22"/>
      <c r="C33" s="22"/>
      <c r="D33" s="380">
        <v>659.2</v>
      </c>
      <c r="E33" s="380"/>
      <c r="F33" s="380"/>
      <c r="G33" s="380"/>
      <c r="H33" s="380">
        <v>634.70000000000005</v>
      </c>
      <c r="I33" s="380"/>
      <c r="J33" s="380"/>
      <c r="K33" s="380"/>
      <c r="L33" s="380">
        <v>711.7</v>
      </c>
      <c r="M33" s="380"/>
      <c r="N33" s="380"/>
      <c r="O33" s="380"/>
      <c r="P33" s="380">
        <v>745</v>
      </c>
      <c r="Q33" s="375"/>
    </row>
    <row r="34" spans="1:17">
      <c r="A34" s="22" t="s">
        <v>39</v>
      </c>
      <c r="B34" s="22"/>
      <c r="C34" s="22"/>
      <c r="D34" s="380">
        <v>550.6</v>
      </c>
      <c r="E34" s="380"/>
      <c r="F34" s="380"/>
      <c r="G34" s="380"/>
      <c r="H34" s="380">
        <v>622.20000000000005</v>
      </c>
      <c r="I34" s="380"/>
      <c r="J34" s="380"/>
      <c r="K34" s="380"/>
      <c r="L34" s="380">
        <v>673.5</v>
      </c>
      <c r="M34" s="380"/>
      <c r="N34" s="380"/>
      <c r="O34" s="380"/>
      <c r="P34" s="380">
        <v>667.1</v>
      </c>
      <c r="Q34" s="375"/>
    </row>
    <row r="35" spans="1:17">
      <c r="A35" s="22" t="s">
        <v>40</v>
      </c>
      <c r="B35" s="22"/>
      <c r="C35" s="22"/>
      <c r="D35" s="380">
        <v>670.8</v>
      </c>
      <c r="E35" s="380"/>
      <c r="F35" s="380"/>
      <c r="G35" s="380"/>
      <c r="H35" s="380">
        <v>671.6</v>
      </c>
      <c r="I35" s="380"/>
      <c r="J35" s="380"/>
      <c r="K35" s="380"/>
      <c r="L35" s="380">
        <v>916.4</v>
      </c>
      <c r="M35" s="380"/>
      <c r="N35" s="380"/>
      <c r="O35" s="380"/>
      <c r="P35" s="380">
        <v>782.6</v>
      </c>
      <c r="Q35" s="375"/>
    </row>
    <row r="36" spans="1:17">
      <c r="A36" s="22" t="s">
        <v>41</v>
      </c>
      <c r="B36" s="22"/>
      <c r="C36" s="22"/>
      <c r="D36" s="380">
        <v>665.9</v>
      </c>
      <c r="E36" s="380"/>
      <c r="F36" s="380"/>
      <c r="G36" s="380"/>
      <c r="H36" s="380">
        <v>681</v>
      </c>
      <c r="I36" s="380"/>
      <c r="J36" s="380"/>
      <c r="K36" s="380"/>
      <c r="L36" s="380">
        <v>749.1</v>
      </c>
      <c r="M36" s="380"/>
      <c r="N36" s="380"/>
      <c r="O36" s="380"/>
      <c r="P36" s="380">
        <v>849.3</v>
      </c>
      <c r="Q36" s="375"/>
    </row>
    <row r="37" spans="1:17">
      <c r="A37" s="22" t="s">
        <v>42</v>
      </c>
      <c r="B37" s="22"/>
      <c r="C37" s="22"/>
      <c r="D37" s="380">
        <v>651</v>
      </c>
      <c r="E37" s="380"/>
      <c r="F37" s="380"/>
      <c r="G37" s="380"/>
      <c r="H37" s="380">
        <v>652.1</v>
      </c>
      <c r="I37" s="380"/>
      <c r="J37" s="380"/>
      <c r="K37" s="380"/>
      <c r="L37" s="380">
        <v>729.6</v>
      </c>
      <c r="M37" s="380"/>
      <c r="N37" s="380"/>
      <c r="O37" s="380"/>
      <c r="P37" s="380">
        <v>749.5</v>
      </c>
      <c r="Q37" s="375"/>
    </row>
    <row r="38" spans="1:17">
      <c r="A38" s="22" t="s">
        <v>43</v>
      </c>
      <c r="B38" s="22"/>
      <c r="C38" s="22"/>
      <c r="D38" s="380">
        <v>652.4</v>
      </c>
      <c r="E38" s="380"/>
      <c r="F38" s="380"/>
      <c r="G38" s="380"/>
      <c r="H38" s="380">
        <v>631.29999999999995</v>
      </c>
      <c r="I38" s="380"/>
      <c r="J38" s="380"/>
      <c r="K38" s="380"/>
      <c r="L38" s="380">
        <v>706.8</v>
      </c>
      <c r="M38" s="380"/>
      <c r="N38" s="380"/>
      <c r="O38" s="380"/>
      <c r="P38" s="380">
        <v>740.1</v>
      </c>
      <c r="Q38" s="375"/>
    </row>
    <row r="39" spans="1:17">
      <c r="A39" s="22" t="s">
        <v>44</v>
      </c>
      <c r="B39" s="22"/>
      <c r="C39" s="22"/>
      <c r="D39" s="380">
        <v>650.9</v>
      </c>
      <c r="E39" s="380"/>
      <c r="F39" s="380"/>
      <c r="G39" s="380"/>
      <c r="H39" s="380">
        <v>610.79999999999995</v>
      </c>
      <c r="I39" s="380"/>
      <c r="J39" s="380"/>
      <c r="K39" s="380"/>
      <c r="L39" s="380">
        <v>696.9</v>
      </c>
      <c r="M39" s="380"/>
      <c r="N39" s="380"/>
      <c r="O39" s="380"/>
      <c r="P39" s="380">
        <v>723.6</v>
      </c>
      <c r="Q39" s="375"/>
    </row>
    <row r="40" spans="1:17">
      <c r="A40" s="22" t="s">
        <v>45</v>
      </c>
      <c r="B40" s="22"/>
      <c r="C40" s="22"/>
      <c r="D40" s="380">
        <v>602.5</v>
      </c>
      <c r="E40" s="380"/>
      <c r="F40" s="380"/>
      <c r="G40" s="380"/>
      <c r="H40" s="380">
        <v>634.6</v>
      </c>
      <c r="I40" s="380"/>
      <c r="J40" s="380"/>
      <c r="K40" s="380"/>
      <c r="L40" s="380">
        <v>702.9</v>
      </c>
      <c r="M40" s="380"/>
      <c r="N40" s="380"/>
      <c r="O40" s="380"/>
      <c r="P40" s="380">
        <v>721.9</v>
      </c>
      <c r="Q40" s="375"/>
    </row>
    <row r="41" spans="1:17">
      <c r="A41" s="22"/>
      <c r="B41" s="22"/>
      <c r="C41" s="22"/>
      <c r="D41" s="380"/>
      <c r="E41" s="380"/>
      <c r="F41" s="380"/>
      <c r="G41" s="380"/>
      <c r="H41" s="380"/>
      <c r="I41" s="380"/>
      <c r="J41" s="380"/>
      <c r="K41" s="380"/>
      <c r="L41" s="380"/>
      <c r="M41" s="380"/>
      <c r="N41" s="380"/>
      <c r="O41" s="380"/>
      <c r="P41" s="380"/>
      <c r="Q41" s="375"/>
    </row>
    <row r="42" spans="1:17">
      <c r="A42" s="371" t="s">
        <v>46</v>
      </c>
      <c r="B42" s="22"/>
      <c r="C42" s="22"/>
      <c r="D42" s="380">
        <v>619.9</v>
      </c>
      <c r="E42" s="380"/>
      <c r="F42" s="380"/>
      <c r="G42" s="380"/>
      <c r="H42" s="380">
        <v>641.29999999999995</v>
      </c>
      <c r="I42" s="380"/>
      <c r="J42" s="380"/>
      <c r="K42" s="380"/>
      <c r="L42" s="380">
        <v>709.4</v>
      </c>
      <c r="M42" s="380"/>
      <c r="N42" s="380"/>
      <c r="O42" s="380"/>
      <c r="P42" s="380">
        <v>740</v>
      </c>
    </row>
    <row r="43" spans="1:17">
      <c r="A43" s="371" t="s">
        <v>48</v>
      </c>
      <c r="B43" s="22"/>
      <c r="C43" s="22"/>
      <c r="D43" s="376" cm="1">
        <f t="array" ref="D43">AVERAGE(AVERAGEIFS(D$9:D$40,$A$9:$A$40,{"North Lanarkshire","South Lanarkshire","East Dunbartonshire","West Dunbartonshire","Renfrewshire","East Renfrewshire","Glasgow City","Inverclyde"}))</f>
        <v>663.21249999999998</v>
      </c>
      <c r="E43" s="380"/>
      <c r="F43" s="380"/>
      <c r="G43" s="380"/>
      <c r="H43" s="376" cm="1">
        <f t="array" ref="H43">AVERAGE(AVERAGEIFS(H$9:H$40,$A$9:$A$40,{"North Lanarkshire","South Lanarkshire","East Dunbartonshire","West Dunbartonshire","Renfrewshire","East Renfrewshire","Glasgow City","Inverclyde"}))</f>
        <v>672.56249999999989</v>
      </c>
      <c r="I43" s="380"/>
      <c r="J43" s="380"/>
      <c r="K43" s="380"/>
      <c r="L43" s="376" cm="1">
        <f t="array" ref="L43">AVERAGE(AVERAGEIFS(L$9:L$40,$A$9:$A$40,{"North Lanarkshire","South Lanarkshire","East Dunbartonshire","West Dunbartonshire","Renfrewshire","East Renfrewshire","Glasgow City","Inverclyde"}))</f>
        <v>742.83749999999998</v>
      </c>
      <c r="M43" s="380"/>
      <c r="N43" s="380"/>
      <c r="O43" s="380"/>
      <c r="P43" s="376" cm="1">
        <f t="array" ref="P43">AVERAGE(AVERAGEIFS(P$9:P$40,$A$9:$A$40,{"North Lanarkshire","South Lanarkshire","East Dunbartonshire","West Dunbartonshire","Renfrewshire","East Renfrewshire","Glasgow City","Inverclyde"}))</f>
        <v>760.76250000000005</v>
      </c>
    </row>
    <row r="44" spans="1:17">
      <c r="A44" s="371" t="s">
        <v>156</v>
      </c>
      <c r="B44" s="22"/>
      <c r="C44" s="22"/>
      <c r="D44" s="376" cm="1">
        <f t="array" ref="D44">AVERAGE(AVERAGEIFS(D$9:D$40,$A$9:$A$40,{"Aberdeen City","Aberdeenshire"}))</f>
        <v>613</v>
      </c>
      <c r="E44" s="380"/>
      <c r="F44" s="380"/>
      <c r="G44" s="380"/>
      <c r="H44" s="376" cm="1">
        <f t="array" ref="H44">AVERAGE(AVERAGEIFS(H$9:H$40,$A$9:$A$40,{"Aberdeen City","Aberdeenshire"}))</f>
        <v>674.09999999999991</v>
      </c>
      <c r="I44" s="380"/>
      <c r="J44" s="380"/>
      <c r="K44" s="380"/>
      <c r="L44" s="376" cm="1">
        <f t="array" ref="L44">AVERAGE(AVERAGEIFS(L$9:L$40,$A$9:$A$40,{"Aberdeen City","Aberdeenshire"}))</f>
        <v>748.9</v>
      </c>
      <c r="M44" s="380"/>
      <c r="N44" s="380"/>
      <c r="O44" s="380"/>
      <c r="P44" s="376" cm="1">
        <f t="array" ref="P44">AVERAGE(AVERAGEIFS(P$9:P$40,$A$9:$A$40,{"Aberdeen City","Aberdeenshire"}))</f>
        <v>752.8</v>
      </c>
    </row>
    <row r="45" spans="1:17">
      <c r="A45" s="2" t="s">
        <v>359</v>
      </c>
      <c r="B45" s="371"/>
      <c r="C45" s="371"/>
      <c r="D45" s="376" cm="1">
        <f t="array" ref="D45">AVERAGE(AVERAGEIFS(D$9:D$40,$A$9:$A$40,{"Clackmannanshire","Falkirk","Stirling"}))</f>
        <v>628.19999999999993</v>
      </c>
      <c r="H45" s="376" cm="1">
        <f t="array" ref="H45">AVERAGE(AVERAGEIFS(H$9:H$40,$A$9:$A$40,{"Clackmannanshire","Falkirk","Stirling"}))</f>
        <v>631.33333333333337</v>
      </c>
      <c r="L45" s="376" cm="1">
        <f t="array" ref="L45">AVERAGE(AVERAGEIFS(L$9:L$40,$A$9:$A$40,{"Clackmannanshire","Falkirk","Stirling"}))</f>
        <v>692.23333333333323</v>
      </c>
      <c r="M45" s="375"/>
      <c r="N45" s="375"/>
      <c r="O45" s="375"/>
      <c r="P45" s="376" cm="1">
        <f t="array" ref="P45">AVERAGE(AVERAGEIFS(P$9:P$40,$A$9:$A$40,{"Clackmannanshire","Falkirk","Stirling"}))</f>
        <v>742.23333333333323</v>
      </c>
    </row>
    <row r="46" spans="1:17">
      <c r="A46" s="371" t="s">
        <v>157</v>
      </c>
      <c r="B46" s="22"/>
      <c r="C46" s="22"/>
      <c r="D46" s="376" cm="1">
        <f t="array" ref="D46">AVERAGE(AVERAGEIFS(D$9:D$40,$A$9:$A$40,{"Edinburgh, City of","East Lothian","Fife","Midlothian","Scottish Borders","West Lothian"}))</f>
        <v>598.04999999999995</v>
      </c>
      <c r="E46" s="380"/>
      <c r="F46" s="380"/>
      <c r="G46" s="380"/>
      <c r="H46" s="376" cm="1">
        <f t="array" ref="H46">AVERAGE(AVERAGEIFS(H$9:H$40,$A$9:$A$40,{"Edinburgh, City of","East Lothian","Fife","Midlothian","Scottish Borders","West Lothian"}))</f>
        <v>632.86666666666656</v>
      </c>
      <c r="I46" s="380"/>
      <c r="J46" s="380"/>
      <c r="K46" s="380"/>
      <c r="L46" s="376" cm="1">
        <f t="array" ref="L46">AVERAGE(AVERAGEIFS(L$9:L$40,$A$9:$A$40,{"Edinburgh, City of","East Lothian","Fife","Midlothian","Scottish Borders","West Lothian"}))</f>
        <v>695.55000000000007</v>
      </c>
      <c r="M46" s="380"/>
      <c r="N46" s="380"/>
      <c r="O46" s="380"/>
      <c r="P46" s="376" cm="1">
        <f t="array" ref="P46">AVERAGE(AVERAGEIFS(P$9:P$40,$A$9:$A$40,{"Edinburgh, City of","East Lothian","Fife","Midlothian","Scottish Borders","West Lothian"}))</f>
        <v>729.41666666666663</v>
      </c>
    </row>
    <row r="47" spans="1:17">
      <c r="A47" s="371" t="s">
        <v>158</v>
      </c>
      <c r="B47" s="61"/>
      <c r="C47" s="12"/>
      <c r="D47" s="376" cm="1">
        <f t="array" ref="D47">AVERAGE(AVERAGEIFS(D$9:D$40,$A$9:$A$40,{"Angus","Dundee City","Fife","Perth and Kinross"}))</f>
        <v>589.07499999999993</v>
      </c>
      <c r="E47" s="380"/>
      <c r="F47" s="380"/>
      <c r="G47" s="380"/>
      <c r="H47" s="376" cm="1">
        <f t="array" ref="H47">AVERAGE(AVERAGEIFS(H$9:H$40,$A$9:$A$40,{"Angus","Dundee City","Fife","Perth and Kinross"}))</f>
        <v>616.1</v>
      </c>
      <c r="I47" s="380"/>
      <c r="J47" s="380"/>
      <c r="K47" s="380"/>
      <c r="L47" s="376" cm="1">
        <f t="array" ref="L47">AVERAGE(AVERAGEIFS(L$9:L$40,$A$9:$A$40,{"Angus","Dundee City","Fife","Perth and Kinross"}))</f>
        <v>673.52499999999998</v>
      </c>
      <c r="M47" s="380"/>
      <c r="N47" s="380"/>
      <c r="O47" s="380"/>
      <c r="P47" s="376" cm="1">
        <f t="array" ref="P47">AVERAGE(AVERAGEIFS(P$9:P$40,$A$9:$A$40,{"Angus","Dundee City","Fife","Perth and Kinross"}))</f>
        <v>710.5</v>
      </c>
    </row>
    <row r="48" spans="1:17">
      <c r="A48" t="s">
        <v>246</v>
      </c>
      <c r="B48" s="61"/>
      <c r="C48" s="382"/>
      <c r="D48" s="376" cm="1">
        <f t="array" ref="D48">AVERAGE(AVERAGEIFS(D$9:D$40,$A$9:$A$40,{"Na h-Eileanan Siar","Argyll and Bute","Shetland Islands","Highland","Scottish Borders","Dumfries and Galloway","Aberdeenshire"}))</f>
        <v>607.5</v>
      </c>
      <c r="E48" s="380"/>
      <c r="F48" s="380"/>
      <c r="G48" s="380"/>
      <c r="H48" s="376" cm="1">
        <f t="array" ref="H48">AVERAGE(AVERAGEIFS(H$9:H$40,$A$9:$A$40,{"Na h-Eileanan Siar","Argyll and Bute","Shetland Islands","Highland","Scottish Borders","Dumfries and Galloway","Aberdeenshire"}))</f>
        <v>629.64285714285711</v>
      </c>
      <c r="I48" s="380"/>
      <c r="J48" s="380"/>
      <c r="K48" s="380"/>
      <c r="L48" s="376" cm="1">
        <f t="array" ref="L48">AVERAGE(AVERAGEIFS(L$9:L$40,$A$9:$A$40,{"Na h-Eileanan Siar","Argyll and Bute","Shetland Islands","Highland","Scottish Borders","Dumfries and Galloway","Aberdeenshire"}))</f>
        <v>728</v>
      </c>
      <c r="M48" s="380"/>
      <c r="N48" s="380"/>
      <c r="O48" s="380"/>
      <c r="P48" s="376" cm="1">
        <f t="array" ref="P48">AVERAGE(AVERAGEIFS(P$9:P$40,$A$9:$A$40,{"Na h-Eileanan Siar","Argyll and Bute","Shetland Islands","Highland","Scottish Borders","Dumfries and Galloway","Aberdeenshire"}))</f>
        <v>727.17142857142858</v>
      </c>
    </row>
    <row r="49" spans="1:16">
      <c r="A49" t="s">
        <v>247</v>
      </c>
      <c r="B49" s="61"/>
      <c r="C49" s="382"/>
      <c r="D49" s="376" cm="1">
        <f t="array" ref="D49">AVERAGE(AVERAGEIFS(D$9:D$40,$A$9:$A$40,{"Perth and Kinross","Stirling","Moray","South Ayrshire","East Ayrshire","East Lothian","North Ayrshire","Fife"}))</f>
        <v>613.38750000000005</v>
      </c>
      <c r="E49" s="380"/>
      <c r="F49" s="380"/>
      <c r="G49" s="380"/>
      <c r="H49" s="376" cm="1">
        <f t="array" ref="H49">AVERAGE(AVERAGEIFS(H$9:H$40,$A$9:$A$40,{"Perth and Kinross","Stirling","Moray","South Ayrshire","East Ayrshire","East Lothian","North Ayrshire","Fife"}))</f>
        <v>638.29999999999995</v>
      </c>
      <c r="I49" s="380"/>
      <c r="J49" s="380"/>
      <c r="K49" s="380"/>
      <c r="L49" s="376" cm="1">
        <f t="array" ref="L49">AVERAGE(AVERAGEIFS(L$9:L$40,$A$9:$A$40,{"Perth and Kinross","Stirling","Moray","South Ayrshire","East Ayrshire","East Lothian","North Ayrshire","Fife"}))</f>
        <v>702.02499999999998</v>
      </c>
      <c r="M49" s="380"/>
      <c r="N49" s="380"/>
      <c r="O49" s="380"/>
      <c r="P49" s="376" cm="1">
        <f t="array" ref="P49">AVERAGE(AVERAGEIFS(P$9:P$40,$A$9:$A$40,{"Perth and Kinross","Stirling","Moray","South Ayrshire","East Ayrshire","East Lothian","North Ayrshire","Fife"}))</f>
        <v>735.21249999999998</v>
      </c>
    </row>
    <row r="50" spans="1:16">
      <c r="A50" t="s">
        <v>248</v>
      </c>
      <c r="B50" s="61"/>
      <c r="C50" s="382"/>
      <c r="D50" s="376" cm="1">
        <f t="array" ref="D50">AVERAGE(AVERAGEIFS(D$9:D$40,$A$9:$A$40,{"Angus","Clackmannanshire","Midlothian","South Lanarkshire","Inverclyde","Renfrewshire","West Lothian","East Renfrewshire"}))</f>
        <v>640.53749999999991</v>
      </c>
      <c r="E50" s="380"/>
      <c r="F50" s="380"/>
      <c r="G50" s="380"/>
      <c r="H50" s="376" cm="1">
        <f t="array" ref="H50">AVERAGE(AVERAGEIFS(H$9:H$40,$A$9:$A$40,{"Angus","Clackmannanshire","Midlothian","South Lanarkshire","Inverclyde","Renfrewshire","West Lothian","East Renfrewshire"}))</f>
        <v>655.66250000000002</v>
      </c>
      <c r="I50" s="380"/>
      <c r="J50" s="380"/>
      <c r="K50" s="380"/>
      <c r="L50" s="376" cm="1">
        <f t="array" ref="L50">AVERAGE(AVERAGEIFS(L$9:L$40,$A$9:$A$40,{"Angus","Clackmannanshire","Midlothian","South Lanarkshire","Inverclyde","Renfrewshire","West Lothian","East Renfrewshire"}))</f>
        <v>721.56249999999989</v>
      </c>
      <c r="M50" s="380"/>
      <c r="N50" s="380"/>
      <c r="O50" s="380"/>
      <c r="P50" s="376" cm="1">
        <f t="array" ref="P50">AVERAGE(AVERAGEIFS(P$9:P$40,$A$9:$A$40,{"Angus","Clackmannanshire","Midlothian","South Lanarkshire","Inverclyde","Renfrewshire","West Lothian","East Renfrewshire"}))</f>
        <v>743.66249999999991</v>
      </c>
    </row>
    <row r="51" spans="1:16">
      <c r="A51" t="s">
        <v>249</v>
      </c>
      <c r="D51" s="376" cm="1">
        <f t="array" ref="D51">AVERAGE(AVERAGEIFS(D$9:D$40,$A$9:$A$40,{"North Lanarkshire","Falkirk","East Dunbartonshire","Aberdeen City","Edinburgh, City of","West Dunbartonshire","Dundee City","Glasgow City"}))</f>
        <v>625.13750000000005</v>
      </c>
      <c r="E51" s="380"/>
      <c r="F51" s="380"/>
      <c r="G51" s="380"/>
      <c r="H51" s="376" cm="1">
        <f t="array" ref="H51">AVERAGE(AVERAGEIFS(H$9:H$40,$A$9:$A$40,{"North Lanarkshire","Falkirk","East Dunbartonshire","Aberdeen City","Edinburgh, City of","West Dunbartonshire","Dundee City","Glasgow City"}))</f>
        <v>643.71249999999998</v>
      </c>
      <c r="I51" s="380"/>
      <c r="J51" s="380"/>
      <c r="K51" s="380"/>
      <c r="L51" s="376" cm="1">
        <f t="array" ref="L51">AVERAGE(AVERAGEIFS(L$9:L$40,$A$9:$A$40,{"North Lanarkshire","Falkirk","East Dunbartonshire","Aberdeen City","Edinburgh, City of","West Dunbartonshire","Dundee City","Glasgow City"}))</f>
        <v>712.65</v>
      </c>
      <c r="M51" s="380"/>
      <c r="N51" s="380"/>
      <c r="O51" s="380"/>
      <c r="P51" s="376" cm="1">
        <f t="array" ref="P51">AVERAGE(AVERAGEIFS(P$9:P$40,$A$9:$A$40,{"North Lanarkshire","Falkirk","East Dunbartonshire","Aberdeen City","Edinburgh, City of","West Dunbartonshire","Dundee City","Glasgow City"}))</f>
        <v>742.82500000000005</v>
      </c>
    </row>
    <row r="52" spans="1:16">
      <c r="A52" t="s">
        <v>47</v>
      </c>
      <c r="D52" s="380">
        <v>609.79999999999995</v>
      </c>
      <c r="E52" s="380"/>
      <c r="F52" s="380"/>
      <c r="G52" s="380"/>
      <c r="H52" s="380">
        <v>641.79999999999995</v>
      </c>
      <c r="I52" s="380"/>
      <c r="J52" s="380"/>
      <c r="K52" s="380"/>
      <c r="L52" s="380">
        <v>687</v>
      </c>
      <c r="M52" s="380"/>
      <c r="N52" s="380"/>
      <c r="O52" s="380"/>
      <c r="P52" s="380">
        <v>728.3</v>
      </c>
    </row>
  </sheetData>
  <conditionalFormatting sqref="A1:XFD1048576">
    <cfRule type="expression" dxfId="74" priority="41">
      <formula>_xlfn.ISFORMULA(A1)</formula>
    </cfRule>
  </conditionalFormatting>
  <conditionalFormatting sqref="D43:D47">
    <cfRule type="expression" dxfId="73" priority="37">
      <formula>$A43="Other"</formula>
    </cfRule>
    <cfRule type="expression" dxfId="72" priority="40">
      <formula>$A43="NUTS1"</formula>
    </cfRule>
    <cfRule type="expression" dxfId="71" priority="39">
      <formula>$A43="NUTS2"</formula>
    </cfRule>
    <cfRule type="expression" dxfId="70" priority="38">
      <formula>$A43="UK"</formula>
    </cfRule>
  </conditionalFormatting>
  <conditionalFormatting sqref="D48:D51">
    <cfRule type="expression" dxfId="69" priority="46">
      <formula>$A48="Other"</formula>
    </cfRule>
    <cfRule type="expression" dxfId="68" priority="47">
      <formula>$A48="UK"</formula>
    </cfRule>
    <cfRule type="expression" dxfId="67" priority="48">
      <formula>$A48="NUTS2"</formula>
    </cfRule>
    <cfRule type="expression" dxfId="66" priority="49">
      <formula>$A48="NUTS1"</formula>
    </cfRule>
  </conditionalFormatting>
  <conditionalFormatting sqref="H43:H47">
    <cfRule type="expression" dxfId="65" priority="17">
      <formula>$A43="Other"</formula>
    </cfRule>
    <cfRule type="expression" dxfId="64" priority="18">
      <formula>$A43="UK"</formula>
    </cfRule>
    <cfRule type="expression" dxfId="63" priority="19">
      <formula>$A43="NUTS2"</formula>
    </cfRule>
    <cfRule type="expression" dxfId="62" priority="20">
      <formula>$A43="NUTS1"</formula>
    </cfRule>
  </conditionalFormatting>
  <conditionalFormatting sqref="H43:H51">
    <cfRule type="expression" dxfId="61" priority="23">
      <formula>$A43="NUTS2"</formula>
    </cfRule>
    <cfRule type="expression" dxfId="60" priority="24">
      <formula>$A43="NUTS1"</formula>
    </cfRule>
    <cfRule type="expression" dxfId="59" priority="21">
      <formula>$A43="Other"</formula>
    </cfRule>
    <cfRule type="expression" dxfId="58" priority="22">
      <formula>$A43="UK"</formula>
    </cfRule>
  </conditionalFormatting>
  <conditionalFormatting sqref="H48:H51 L48:L51 P48:P51">
    <cfRule type="expression" dxfId="57" priority="44">
      <formula>$A48="NUTS2"</formula>
    </cfRule>
    <cfRule type="expression" dxfId="56" priority="42">
      <formula>$A48="Other"</formula>
    </cfRule>
    <cfRule type="expression" dxfId="55" priority="43">
      <formula>$A48="UK"</formula>
    </cfRule>
    <cfRule type="expression" dxfId="54" priority="45">
      <formula>$A48="NUTS1"</formula>
    </cfRule>
  </conditionalFormatting>
  <conditionalFormatting sqref="L43:L47">
    <cfRule type="expression" dxfId="53" priority="9">
      <formula>$A43="Other"</formula>
    </cfRule>
    <cfRule type="expression" dxfId="52" priority="10">
      <formula>$A43="UK"</formula>
    </cfRule>
    <cfRule type="expression" dxfId="51" priority="11">
      <formula>$A43="NUTS2"</formula>
    </cfRule>
    <cfRule type="expression" dxfId="50" priority="12">
      <formula>$A43="NUTS1"</formula>
    </cfRule>
  </conditionalFormatting>
  <conditionalFormatting sqref="L43:L51">
    <cfRule type="expression" dxfId="49" priority="13">
      <formula>$A43="Other"</formula>
    </cfRule>
    <cfRule type="expression" dxfId="48" priority="14">
      <formula>$A43="UK"</formula>
    </cfRule>
    <cfRule type="expression" dxfId="47" priority="15">
      <formula>$A43="NUTS2"</formula>
    </cfRule>
    <cfRule type="expression" dxfId="46" priority="16">
      <formula>$A43="NUTS1"</formula>
    </cfRule>
  </conditionalFormatting>
  <conditionalFormatting sqref="P43:P47">
    <cfRule type="expression" dxfId="45" priority="1">
      <formula>$A43="Other"</formula>
    </cfRule>
    <cfRule type="expression" dxfId="44" priority="2">
      <formula>$A43="UK"</formula>
    </cfRule>
    <cfRule type="expression" dxfId="43" priority="3">
      <formula>$A43="NUTS2"</formula>
    </cfRule>
    <cfRule type="expression" dxfId="42" priority="4">
      <formula>$A43="NUTS1"</formula>
    </cfRule>
  </conditionalFormatting>
  <conditionalFormatting sqref="P43:P51">
    <cfRule type="expression" dxfId="41" priority="7">
      <formula>$A43="NUTS2"</formula>
    </cfRule>
    <cfRule type="expression" dxfId="40" priority="8">
      <formula>$A43="NUTS1"</formula>
    </cfRule>
    <cfRule type="expression" dxfId="39" priority="6">
      <formula>$A43="UK"</formula>
    </cfRule>
    <cfRule type="expression" dxfId="38" priority="5">
      <formula>$A43="Other"</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autoPageBreaks="0"/>
  </sheetPr>
  <dimension ref="A1:Q57"/>
  <sheetViews>
    <sheetView zoomScale="50" zoomScaleNormal="50" workbookViewId="0">
      <selection activeCell="A13" sqref="A13"/>
    </sheetView>
  </sheetViews>
  <sheetFormatPr defaultColWidth="8.7109375" defaultRowHeight="15"/>
  <cols>
    <col min="1" max="1" width="17" customWidth="1" collapsed="1"/>
    <col min="2" max="3" width="17"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75">
      <c r="A1" s="24" t="s">
        <v>79</v>
      </c>
      <c r="B1" s="24"/>
      <c r="C1" s="24"/>
    </row>
    <row r="2" spans="1:17">
      <c r="A2" s="23" t="s">
        <v>140</v>
      </c>
      <c r="B2" s="23"/>
      <c r="C2" s="23"/>
    </row>
    <row r="4" spans="1:17">
      <c r="A4" s="22" t="s">
        <v>78</v>
      </c>
      <c r="B4" s="22"/>
      <c r="C4" s="22"/>
      <c r="D4" s="22" t="s">
        <v>77</v>
      </c>
    </row>
    <row r="5" spans="1:17">
      <c r="A5" s="22" t="s">
        <v>76</v>
      </c>
      <c r="B5" s="22"/>
      <c r="C5" s="22"/>
      <c r="D5" s="22" t="s">
        <v>139</v>
      </c>
    </row>
    <row r="6" spans="1:17">
      <c r="A6" s="22" t="s">
        <v>74</v>
      </c>
      <c r="B6" s="22"/>
      <c r="C6" s="22"/>
      <c r="D6" s="22" t="s">
        <v>73</v>
      </c>
    </row>
    <row r="7" spans="1:17" ht="21.95" customHeight="1">
      <c r="A7" s="377" t="s">
        <v>138</v>
      </c>
      <c r="B7" s="377"/>
      <c r="C7" s="377"/>
      <c r="D7" s="378">
        <v>2021</v>
      </c>
      <c r="E7" s="378"/>
      <c r="H7" s="378">
        <v>2022</v>
      </c>
      <c r="I7" s="378"/>
      <c r="L7" s="378">
        <v>2023</v>
      </c>
      <c r="M7" s="378"/>
      <c r="P7" s="378">
        <v>2024</v>
      </c>
      <c r="Q7" s="378"/>
    </row>
    <row r="8" spans="1:17" ht="26.1" customHeight="1">
      <c r="D8" s="379" t="s">
        <v>72</v>
      </c>
      <c r="E8" s="379"/>
      <c r="F8" s="379"/>
      <c r="G8" s="379"/>
      <c r="H8" s="379" t="s">
        <v>72</v>
      </c>
      <c r="I8" s="379"/>
      <c r="J8" s="379"/>
      <c r="K8" s="379"/>
      <c r="L8" s="379" t="s">
        <v>72</v>
      </c>
      <c r="M8" s="379"/>
      <c r="N8" s="379"/>
      <c r="O8" s="379"/>
      <c r="P8" s="379" t="s">
        <v>72</v>
      </c>
      <c r="Q8" s="379"/>
    </row>
    <row r="9" spans="1:17">
      <c r="A9" s="22" t="s">
        <v>15</v>
      </c>
      <c r="B9" s="22"/>
      <c r="C9" s="22"/>
      <c r="D9" s="380">
        <v>421.1</v>
      </c>
      <c r="E9" s="380"/>
      <c r="F9" s="380"/>
      <c r="G9" s="380"/>
      <c r="H9" s="380">
        <v>458.1</v>
      </c>
      <c r="I9" s="380"/>
      <c r="J9" s="380"/>
      <c r="K9" s="380"/>
      <c r="L9" s="380">
        <v>515.5</v>
      </c>
      <c r="M9" s="380"/>
      <c r="N9" s="380"/>
      <c r="O9" s="380"/>
      <c r="P9" s="380">
        <v>538.20000000000005</v>
      </c>
      <c r="Q9" s="380"/>
    </row>
    <row r="10" spans="1:17">
      <c r="A10" s="22" t="s">
        <v>16</v>
      </c>
      <c r="B10" s="22"/>
      <c r="C10" s="22"/>
      <c r="D10" s="380">
        <v>443.2</v>
      </c>
      <c r="E10" s="380"/>
      <c r="F10" s="380"/>
      <c r="G10" s="380"/>
      <c r="H10" s="380">
        <v>479.6</v>
      </c>
      <c r="I10" s="380"/>
      <c r="J10" s="380"/>
      <c r="K10" s="380"/>
      <c r="L10" s="380">
        <v>513.20000000000005</v>
      </c>
      <c r="M10" s="380"/>
      <c r="N10" s="380"/>
      <c r="O10" s="380"/>
      <c r="P10" s="380">
        <v>548.1</v>
      </c>
      <c r="Q10" s="380"/>
    </row>
    <row r="11" spans="1:17">
      <c r="A11" s="22" t="s">
        <v>17</v>
      </c>
      <c r="B11" s="22"/>
      <c r="C11" s="22"/>
      <c r="D11" s="380">
        <v>400.1</v>
      </c>
      <c r="E11" s="380"/>
      <c r="F11" s="380"/>
      <c r="G11" s="380"/>
      <c r="H11" s="380">
        <v>446.5</v>
      </c>
      <c r="I11" s="380"/>
      <c r="J11" s="380"/>
      <c r="K11" s="380"/>
      <c r="L11" s="380">
        <v>486.8</v>
      </c>
      <c r="M11" s="380"/>
      <c r="N11" s="380"/>
      <c r="O11" s="380"/>
      <c r="P11" s="380">
        <v>533.5</v>
      </c>
      <c r="Q11" s="380"/>
    </row>
    <row r="12" spans="1:17">
      <c r="A12" s="22" t="s">
        <v>18</v>
      </c>
      <c r="B12" s="22"/>
      <c r="C12" s="22"/>
      <c r="D12" s="380">
        <v>416.8</v>
      </c>
      <c r="E12" s="380"/>
      <c r="F12" s="380"/>
      <c r="G12" s="380"/>
      <c r="H12" s="380">
        <v>449.1</v>
      </c>
      <c r="I12" s="380"/>
      <c r="J12" s="380"/>
      <c r="K12" s="380"/>
      <c r="L12" s="380">
        <v>480.8</v>
      </c>
      <c r="M12" s="380"/>
      <c r="N12" s="380"/>
      <c r="O12" s="380"/>
      <c r="P12" s="380">
        <v>558.79999999999995</v>
      </c>
      <c r="Q12" s="380"/>
    </row>
    <row r="13" spans="1:17">
      <c r="A13" s="22" t="s">
        <v>126</v>
      </c>
      <c r="B13" s="22"/>
      <c r="C13" s="22"/>
      <c r="D13" s="380">
        <v>445.6</v>
      </c>
      <c r="E13" s="380"/>
      <c r="F13" s="380"/>
      <c r="G13" s="380"/>
      <c r="H13" s="380">
        <v>466.5</v>
      </c>
      <c r="I13" s="380"/>
      <c r="J13" s="380"/>
      <c r="K13" s="380"/>
      <c r="L13" s="380">
        <v>506.4</v>
      </c>
      <c r="M13" s="380"/>
      <c r="N13" s="380"/>
      <c r="O13" s="380"/>
      <c r="P13" s="380">
        <v>552.5</v>
      </c>
      <c r="Q13" s="380"/>
    </row>
    <row r="14" spans="1:17">
      <c r="A14" s="22" t="s">
        <v>19</v>
      </c>
      <c r="B14" s="22"/>
      <c r="C14" s="22"/>
      <c r="D14" s="380">
        <v>411.5</v>
      </c>
      <c r="E14" s="380"/>
      <c r="F14" s="380"/>
      <c r="G14" s="380"/>
      <c r="H14" s="380">
        <v>469.1</v>
      </c>
      <c r="I14" s="380"/>
      <c r="J14" s="380"/>
      <c r="K14" s="380"/>
      <c r="L14" s="380">
        <v>494.9</v>
      </c>
      <c r="M14" s="380"/>
      <c r="N14" s="380"/>
      <c r="O14" s="380"/>
      <c r="P14" s="380">
        <v>562</v>
      </c>
      <c r="Q14" s="380"/>
    </row>
    <row r="15" spans="1:17">
      <c r="A15" s="22" t="s">
        <v>20</v>
      </c>
      <c r="B15" s="22"/>
      <c r="C15" s="22"/>
      <c r="D15" s="380">
        <v>400</v>
      </c>
      <c r="E15" s="380"/>
      <c r="F15" s="380"/>
      <c r="G15" s="380"/>
      <c r="H15" s="380">
        <v>433.1</v>
      </c>
      <c r="I15" s="380"/>
      <c r="J15" s="380"/>
      <c r="K15" s="380"/>
      <c r="L15" s="380">
        <v>465.9</v>
      </c>
      <c r="M15" s="380"/>
      <c r="N15" s="380"/>
      <c r="O15" s="380"/>
      <c r="P15" s="380">
        <v>524</v>
      </c>
      <c r="Q15" s="380"/>
    </row>
    <row r="16" spans="1:17">
      <c r="A16" s="22" t="s">
        <v>21</v>
      </c>
      <c r="B16" s="22"/>
      <c r="C16" s="22"/>
      <c r="D16" s="380">
        <v>408.2</v>
      </c>
      <c r="E16" s="380"/>
      <c r="F16" s="380"/>
      <c r="G16" s="380"/>
      <c r="H16" s="380">
        <v>428.5</v>
      </c>
      <c r="I16" s="380"/>
      <c r="J16" s="380"/>
      <c r="K16" s="380"/>
      <c r="L16" s="380">
        <v>469.2</v>
      </c>
      <c r="M16" s="380"/>
      <c r="N16" s="380"/>
      <c r="O16" s="380"/>
      <c r="P16" s="380">
        <v>513.70000000000005</v>
      </c>
      <c r="Q16" s="380"/>
    </row>
    <row r="17" spans="1:17">
      <c r="A17" s="22" t="s">
        <v>22</v>
      </c>
      <c r="B17" s="22"/>
      <c r="C17" s="22"/>
      <c r="D17" s="380">
        <v>450.8</v>
      </c>
      <c r="E17" s="380"/>
      <c r="F17" s="380"/>
      <c r="G17" s="380"/>
      <c r="H17" s="380">
        <v>475.6</v>
      </c>
      <c r="I17" s="380"/>
      <c r="J17" s="380"/>
      <c r="K17" s="380"/>
      <c r="L17" s="380">
        <v>463.1</v>
      </c>
      <c r="M17" s="380"/>
      <c r="N17" s="380"/>
      <c r="O17" s="380"/>
      <c r="P17" s="380">
        <v>512.70000000000005</v>
      </c>
      <c r="Q17" s="380"/>
    </row>
    <row r="18" spans="1:17">
      <c r="A18" s="22" t="s">
        <v>23</v>
      </c>
      <c r="B18" s="22"/>
      <c r="C18" s="22"/>
      <c r="D18" s="380">
        <v>487</v>
      </c>
      <c r="E18" s="380"/>
      <c r="F18" s="380"/>
      <c r="G18" s="380"/>
      <c r="H18" s="380">
        <v>514.6</v>
      </c>
      <c r="I18" s="380"/>
      <c r="J18" s="380"/>
      <c r="K18" s="380"/>
      <c r="L18" s="380">
        <v>569.6</v>
      </c>
      <c r="M18" s="380"/>
      <c r="N18" s="380"/>
      <c r="O18" s="380"/>
      <c r="P18" s="380">
        <v>610.9</v>
      </c>
      <c r="Q18" s="380"/>
    </row>
    <row r="19" spans="1:17">
      <c r="A19" s="22" t="s">
        <v>24</v>
      </c>
      <c r="B19" s="22"/>
      <c r="C19" s="22"/>
      <c r="D19" s="380">
        <v>407.6</v>
      </c>
      <c r="E19" s="380"/>
      <c r="F19" s="380"/>
      <c r="G19" s="380"/>
      <c r="H19" s="380">
        <v>442.1</v>
      </c>
      <c r="I19" s="380"/>
      <c r="J19" s="380"/>
      <c r="K19" s="380"/>
      <c r="L19" s="380">
        <v>492.5</v>
      </c>
      <c r="M19" s="380"/>
      <c r="N19" s="380"/>
      <c r="O19" s="380"/>
      <c r="P19" s="380">
        <v>528.79999999999995</v>
      </c>
      <c r="Q19" s="380"/>
    </row>
    <row r="20" spans="1:17">
      <c r="A20" s="22" t="s">
        <v>25</v>
      </c>
      <c r="B20" s="22"/>
      <c r="C20" s="22"/>
      <c r="D20" s="380">
        <v>536.70000000000005</v>
      </c>
      <c r="E20" s="380"/>
      <c r="F20" s="380"/>
      <c r="G20" s="380"/>
      <c r="H20" s="380">
        <v>535.5</v>
      </c>
      <c r="I20" s="380"/>
      <c r="J20" s="380"/>
      <c r="K20" s="380"/>
      <c r="L20" s="380">
        <v>578.70000000000005</v>
      </c>
      <c r="M20" s="380"/>
      <c r="N20" s="380"/>
      <c r="O20" s="380"/>
      <c r="P20" s="380">
        <v>614.79999999999995</v>
      </c>
      <c r="Q20" s="380"/>
    </row>
    <row r="21" spans="1:17">
      <c r="A21" s="22" t="s">
        <v>26</v>
      </c>
      <c r="B21" s="22"/>
      <c r="C21" s="22"/>
      <c r="D21" s="380">
        <v>436.8</v>
      </c>
      <c r="E21" s="380"/>
      <c r="F21" s="380"/>
      <c r="G21" s="380"/>
      <c r="H21" s="380">
        <v>462.8</v>
      </c>
      <c r="I21" s="380"/>
      <c r="J21" s="380"/>
      <c r="K21" s="380"/>
      <c r="L21" s="380">
        <v>518.5</v>
      </c>
      <c r="M21" s="380"/>
      <c r="N21" s="380"/>
      <c r="O21" s="380"/>
      <c r="P21" s="380">
        <v>528.4</v>
      </c>
      <c r="Q21" s="380"/>
    </row>
    <row r="22" spans="1:17">
      <c r="A22" s="22" t="s">
        <v>27</v>
      </c>
      <c r="B22" s="22"/>
      <c r="C22" s="22"/>
      <c r="D22" s="380">
        <v>428.8</v>
      </c>
      <c r="E22" s="380"/>
      <c r="F22" s="380"/>
      <c r="G22" s="380"/>
      <c r="H22" s="380">
        <v>434.4</v>
      </c>
      <c r="I22" s="380"/>
      <c r="J22" s="380"/>
      <c r="K22" s="380"/>
      <c r="L22" s="380">
        <v>494.1</v>
      </c>
      <c r="M22" s="380"/>
      <c r="N22" s="380"/>
      <c r="O22" s="380"/>
      <c r="P22" s="380">
        <v>526.79999999999995</v>
      </c>
      <c r="Q22" s="380"/>
    </row>
    <row r="23" spans="1:17">
      <c r="A23" s="22" t="s">
        <v>28</v>
      </c>
      <c r="B23" s="22"/>
      <c r="C23" s="22"/>
      <c r="D23" s="380">
        <v>419.8</v>
      </c>
      <c r="E23" s="380"/>
      <c r="F23" s="380"/>
      <c r="G23" s="380"/>
      <c r="H23" s="380">
        <v>452.4</v>
      </c>
      <c r="I23" s="380"/>
      <c r="J23" s="380"/>
      <c r="K23" s="380"/>
      <c r="L23" s="380">
        <v>497.5</v>
      </c>
      <c r="M23" s="380"/>
      <c r="N23" s="380"/>
      <c r="O23" s="380"/>
      <c r="P23" s="380">
        <v>526.79999999999995</v>
      </c>
      <c r="Q23" s="380"/>
    </row>
    <row r="24" spans="1:17">
      <c r="A24" s="22" t="s">
        <v>29</v>
      </c>
      <c r="B24" s="22"/>
      <c r="C24" s="22"/>
      <c r="D24" s="380">
        <v>439.3</v>
      </c>
      <c r="E24" s="380"/>
      <c r="F24" s="380"/>
      <c r="G24" s="380"/>
      <c r="H24" s="380">
        <v>460</v>
      </c>
      <c r="I24" s="380"/>
      <c r="J24" s="380"/>
      <c r="K24" s="380"/>
      <c r="L24" s="380">
        <v>497.7</v>
      </c>
      <c r="M24" s="380"/>
      <c r="N24" s="380"/>
      <c r="O24" s="380"/>
      <c r="P24" s="380">
        <v>533.6</v>
      </c>
      <c r="Q24" s="380"/>
    </row>
    <row r="25" spans="1:17">
      <c r="A25" s="22" t="s">
        <v>30</v>
      </c>
      <c r="B25" s="22"/>
      <c r="C25" s="22"/>
      <c r="D25" s="380">
        <v>401.2</v>
      </c>
      <c r="E25" s="380"/>
      <c r="F25" s="380"/>
      <c r="G25" s="380"/>
      <c r="H25" s="380">
        <v>468</v>
      </c>
      <c r="I25" s="380"/>
      <c r="J25" s="380"/>
      <c r="K25" s="380"/>
      <c r="L25" s="380">
        <v>535.1</v>
      </c>
      <c r="M25" s="380"/>
      <c r="N25" s="380"/>
      <c r="O25" s="380"/>
      <c r="P25" s="380">
        <v>499.1</v>
      </c>
      <c r="Q25" s="380"/>
    </row>
    <row r="26" spans="1:17">
      <c r="A26" s="22" t="s">
        <v>31</v>
      </c>
      <c r="B26" s="22"/>
      <c r="C26" s="22"/>
      <c r="D26" s="380">
        <v>432.8</v>
      </c>
      <c r="E26" s="380"/>
      <c r="F26" s="380"/>
      <c r="G26" s="380"/>
      <c r="H26" s="380">
        <v>466.5</v>
      </c>
      <c r="I26" s="380"/>
      <c r="J26" s="380"/>
      <c r="K26" s="380"/>
      <c r="L26" s="380">
        <v>517.70000000000005</v>
      </c>
      <c r="M26" s="380"/>
      <c r="N26" s="380"/>
      <c r="O26" s="380"/>
      <c r="P26" s="380">
        <v>548.4</v>
      </c>
      <c r="Q26" s="380"/>
    </row>
    <row r="27" spans="1:17">
      <c r="A27" s="22" t="s">
        <v>32</v>
      </c>
      <c r="B27" s="22"/>
      <c r="C27" s="22"/>
      <c r="D27" s="380">
        <v>416</v>
      </c>
      <c r="E27" s="380"/>
      <c r="F27" s="380"/>
      <c r="G27" s="380"/>
      <c r="H27" s="380">
        <v>447.6</v>
      </c>
      <c r="I27" s="380"/>
      <c r="J27" s="380"/>
      <c r="K27" s="380"/>
      <c r="L27" s="380">
        <v>457.4</v>
      </c>
      <c r="M27" s="380"/>
      <c r="N27" s="380"/>
      <c r="O27" s="380"/>
      <c r="P27" s="380">
        <v>492.1</v>
      </c>
      <c r="Q27" s="380"/>
    </row>
    <row r="28" spans="1:17">
      <c r="A28" s="22" t="s">
        <v>33</v>
      </c>
      <c r="B28" s="22"/>
      <c r="C28" s="22"/>
      <c r="D28" s="380">
        <v>498.4</v>
      </c>
      <c r="E28" s="380"/>
      <c r="F28" s="380"/>
      <c r="G28" s="380"/>
      <c r="H28" s="14" t="s">
        <v>71</v>
      </c>
      <c r="I28" s="380"/>
      <c r="J28" s="380"/>
      <c r="K28" s="380"/>
      <c r="L28" s="380">
        <v>528.20000000000005</v>
      </c>
      <c r="M28" s="380"/>
      <c r="N28" s="380"/>
      <c r="O28" s="380"/>
      <c r="P28" s="380">
        <v>535.6</v>
      </c>
      <c r="Q28" s="380"/>
    </row>
    <row r="29" spans="1:17">
      <c r="A29" s="22" t="s">
        <v>34</v>
      </c>
      <c r="B29" s="22"/>
      <c r="C29" s="22"/>
      <c r="D29" s="380">
        <v>426.9</v>
      </c>
      <c r="E29" s="380"/>
      <c r="F29" s="380"/>
      <c r="G29" s="380"/>
      <c r="H29" s="380">
        <v>479.8</v>
      </c>
      <c r="I29" s="380"/>
      <c r="J29" s="380"/>
      <c r="K29" s="380"/>
      <c r="L29" s="380">
        <v>503.4</v>
      </c>
      <c r="M29" s="380"/>
      <c r="N29" s="380"/>
      <c r="O29" s="380"/>
      <c r="P29" s="380">
        <v>532.4</v>
      </c>
      <c r="Q29" s="380"/>
    </row>
    <row r="30" spans="1:17">
      <c r="A30" s="22" t="s">
        <v>35</v>
      </c>
      <c r="B30" s="22"/>
      <c r="C30" s="22"/>
      <c r="D30" s="380">
        <v>431.9</v>
      </c>
      <c r="E30" s="380"/>
      <c r="F30" s="380"/>
      <c r="G30" s="380"/>
      <c r="H30" s="380">
        <v>458.9</v>
      </c>
      <c r="I30" s="380"/>
      <c r="J30" s="380"/>
      <c r="K30" s="380"/>
      <c r="L30" s="380">
        <v>509.6</v>
      </c>
      <c r="M30" s="380"/>
      <c r="N30" s="380"/>
      <c r="O30" s="380"/>
      <c r="P30" s="380">
        <v>533.20000000000005</v>
      </c>
      <c r="Q30" s="380"/>
    </row>
    <row r="31" spans="1:17">
      <c r="A31" s="22" t="s">
        <v>36</v>
      </c>
      <c r="B31" s="22"/>
      <c r="C31" s="22"/>
      <c r="D31" s="380">
        <v>419.6</v>
      </c>
      <c r="E31" s="380"/>
      <c r="F31" s="380"/>
      <c r="G31" s="380"/>
      <c r="H31" s="380">
        <v>494.7</v>
      </c>
      <c r="I31" s="380"/>
      <c r="J31" s="380"/>
      <c r="K31" s="380"/>
      <c r="L31" s="380">
        <v>555.9</v>
      </c>
      <c r="M31" s="380"/>
      <c r="N31" s="380"/>
      <c r="O31" s="380"/>
      <c r="P31" s="380">
        <v>602.4</v>
      </c>
      <c r="Q31" s="381"/>
    </row>
    <row r="32" spans="1:17">
      <c r="A32" s="22" t="s">
        <v>37</v>
      </c>
      <c r="B32" s="22"/>
      <c r="C32" s="22"/>
      <c r="D32" s="380">
        <v>406.9</v>
      </c>
      <c r="E32" s="380"/>
      <c r="F32" s="380"/>
      <c r="G32" s="380"/>
      <c r="H32" s="380">
        <v>438.4</v>
      </c>
      <c r="I32" s="380"/>
      <c r="J32" s="380"/>
      <c r="K32" s="380"/>
      <c r="L32" s="380">
        <v>484.2</v>
      </c>
      <c r="M32" s="380"/>
      <c r="N32" s="380"/>
      <c r="O32" s="380"/>
      <c r="P32" s="380">
        <v>539</v>
      </c>
      <c r="Q32" s="380"/>
    </row>
    <row r="33" spans="1:17">
      <c r="A33" s="22" t="s">
        <v>38</v>
      </c>
      <c r="B33" s="22"/>
      <c r="C33" s="22"/>
      <c r="D33" s="380">
        <v>447.3</v>
      </c>
      <c r="E33" s="380"/>
      <c r="F33" s="380"/>
      <c r="G33" s="380"/>
      <c r="H33" s="380">
        <v>464.3</v>
      </c>
      <c r="I33" s="380"/>
      <c r="J33" s="380"/>
      <c r="K33" s="380"/>
      <c r="L33" s="380">
        <v>509.5</v>
      </c>
      <c r="M33" s="380"/>
      <c r="N33" s="380"/>
      <c r="O33" s="380"/>
      <c r="P33" s="380">
        <v>545.20000000000005</v>
      </c>
      <c r="Q33" s="380"/>
    </row>
    <row r="34" spans="1:17">
      <c r="A34" s="22" t="s">
        <v>39</v>
      </c>
      <c r="B34" s="22"/>
      <c r="C34" s="22"/>
      <c r="D34" s="380">
        <v>398.4</v>
      </c>
      <c r="E34" s="380"/>
      <c r="F34" s="380"/>
      <c r="G34" s="380"/>
      <c r="H34" s="380">
        <v>420</v>
      </c>
      <c r="I34" s="380"/>
      <c r="J34" s="380"/>
      <c r="K34" s="380"/>
      <c r="L34" s="380">
        <v>469.5</v>
      </c>
      <c r="M34" s="380"/>
      <c r="N34" s="380"/>
      <c r="O34" s="380"/>
      <c r="P34" s="380">
        <v>514.20000000000005</v>
      </c>
      <c r="Q34" s="380"/>
    </row>
    <row r="35" spans="1:17">
      <c r="A35" s="22" t="s">
        <v>40</v>
      </c>
      <c r="B35" s="22"/>
      <c r="C35" s="22"/>
      <c r="D35" s="380">
        <v>488.3</v>
      </c>
      <c r="E35" s="380"/>
      <c r="F35" s="380"/>
      <c r="G35" s="380"/>
      <c r="H35" s="380">
        <v>534.4</v>
      </c>
      <c r="I35" s="380"/>
      <c r="J35" s="380"/>
      <c r="K35" s="380"/>
      <c r="L35" s="380">
        <v>676.8</v>
      </c>
      <c r="M35" s="380"/>
      <c r="N35" s="380"/>
      <c r="O35" s="380"/>
      <c r="P35" s="380">
        <v>550</v>
      </c>
      <c r="Q35" s="380"/>
    </row>
    <row r="36" spans="1:17">
      <c r="A36" s="22" t="s">
        <v>41</v>
      </c>
      <c r="B36" s="22"/>
      <c r="C36" s="22"/>
      <c r="D36" s="380">
        <v>406.9</v>
      </c>
      <c r="E36" s="380"/>
      <c r="F36" s="380"/>
      <c r="G36" s="380"/>
      <c r="H36" s="380">
        <v>446.2</v>
      </c>
      <c r="I36" s="380"/>
      <c r="J36" s="380"/>
      <c r="K36" s="380"/>
      <c r="L36" s="380">
        <v>477</v>
      </c>
      <c r="M36" s="380"/>
      <c r="N36" s="380"/>
      <c r="O36" s="380"/>
      <c r="P36" s="380">
        <v>568.9</v>
      </c>
      <c r="Q36" s="380"/>
    </row>
    <row r="37" spans="1:17">
      <c r="A37" s="22" t="s">
        <v>42</v>
      </c>
      <c r="B37" s="22"/>
      <c r="C37" s="22"/>
      <c r="D37" s="380">
        <v>439.2</v>
      </c>
      <c r="E37" s="380"/>
      <c r="F37" s="380"/>
      <c r="G37" s="380"/>
      <c r="H37" s="380">
        <v>452.4</v>
      </c>
      <c r="I37" s="380"/>
      <c r="J37" s="380"/>
      <c r="K37" s="380"/>
      <c r="L37" s="380">
        <v>528.1</v>
      </c>
      <c r="M37" s="380"/>
      <c r="N37" s="380"/>
      <c r="O37" s="380"/>
      <c r="P37" s="380">
        <v>545.20000000000005</v>
      </c>
      <c r="Q37" s="380"/>
    </row>
    <row r="38" spans="1:17">
      <c r="A38" s="22" t="s">
        <v>43</v>
      </c>
      <c r="B38" s="22"/>
      <c r="C38" s="22"/>
      <c r="D38" s="380">
        <v>432.3</v>
      </c>
      <c r="E38" s="380"/>
      <c r="F38" s="380"/>
      <c r="G38" s="380"/>
      <c r="H38" s="380">
        <v>449</v>
      </c>
      <c r="I38" s="380"/>
      <c r="J38" s="380"/>
      <c r="K38" s="380"/>
      <c r="L38" s="380">
        <v>508.4</v>
      </c>
      <c r="M38" s="380"/>
      <c r="N38" s="380"/>
      <c r="O38" s="380"/>
      <c r="P38" s="380">
        <v>536.6</v>
      </c>
      <c r="Q38" s="380"/>
    </row>
    <row r="39" spans="1:17">
      <c r="A39" s="22" t="s">
        <v>44</v>
      </c>
      <c r="B39" s="22"/>
      <c r="C39" s="22"/>
      <c r="D39" s="380">
        <v>435.6</v>
      </c>
      <c r="E39" s="380"/>
      <c r="F39" s="380"/>
      <c r="G39" s="380"/>
      <c r="H39" s="380">
        <v>451.2</v>
      </c>
      <c r="I39" s="380"/>
      <c r="J39" s="380"/>
      <c r="K39" s="380"/>
      <c r="L39" s="380">
        <v>503.5</v>
      </c>
      <c r="M39" s="380"/>
      <c r="N39" s="380"/>
      <c r="O39" s="380"/>
      <c r="P39" s="380">
        <v>502.8</v>
      </c>
      <c r="Q39" s="380"/>
    </row>
    <row r="40" spans="1:17">
      <c r="A40" s="22" t="s">
        <v>45</v>
      </c>
      <c r="B40" s="22"/>
      <c r="C40" s="22"/>
      <c r="D40" s="380">
        <v>440.7</v>
      </c>
      <c r="E40" s="380"/>
      <c r="F40" s="380"/>
      <c r="G40" s="380"/>
      <c r="H40" s="380">
        <v>459.8</v>
      </c>
      <c r="I40" s="380"/>
      <c r="J40" s="380"/>
      <c r="K40" s="380"/>
      <c r="L40" s="380">
        <v>521.5</v>
      </c>
      <c r="M40" s="380"/>
      <c r="N40" s="380"/>
      <c r="O40" s="380"/>
      <c r="P40" s="380">
        <v>525.9</v>
      </c>
      <c r="Q40" s="380"/>
    </row>
    <row r="41" spans="1:17">
      <c r="A41" s="22"/>
      <c r="B41" s="22"/>
      <c r="C41" s="22"/>
      <c r="D41" s="380"/>
      <c r="E41" s="380"/>
      <c r="F41" s="380"/>
      <c r="G41" s="380"/>
      <c r="H41" s="380"/>
      <c r="I41" s="380"/>
      <c r="J41" s="380"/>
      <c r="K41" s="380"/>
      <c r="L41" s="380"/>
      <c r="M41" s="380"/>
      <c r="N41" s="380"/>
      <c r="O41" s="380"/>
      <c r="P41" s="380"/>
      <c r="Q41" s="380"/>
    </row>
    <row r="42" spans="1:17">
      <c r="A42" s="371" t="s">
        <v>46</v>
      </c>
      <c r="B42" s="22"/>
      <c r="C42" s="22"/>
      <c r="D42" s="380">
        <v>429.6</v>
      </c>
      <c r="E42" s="380"/>
      <c r="F42" s="380"/>
      <c r="G42" s="380"/>
      <c r="H42" s="380">
        <v>455.7</v>
      </c>
      <c r="I42" s="380"/>
      <c r="J42" s="380"/>
      <c r="K42" s="380"/>
      <c r="L42" s="380">
        <v>502.2</v>
      </c>
      <c r="M42" s="380"/>
      <c r="N42" s="380"/>
      <c r="O42" s="380"/>
      <c r="P42" s="380">
        <v>536.6</v>
      </c>
      <c r="Q42" s="380"/>
    </row>
    <row r="43" spans="1:17">
      <c r="A43" s="371" t="s">
        <v>48</v>
      </c>
      <c r="B43" s="22"/>
      <c r="C43" s="22"/>
      <c r="D43" s="376" cm="1">
        <f t="array" ref="D43">AVERAGE(AVERAGEIFS(D$9:D$40,$A$9:$A$40,{"North Lanarkshire","South Lanarkshire","East Dunbartonshire","West Dunbartonshire","Renfrewshire","East Renfrewshire","Glasgow City","Inverclyde"}))</f>
        <v>449.83749999999998</v>
      </c>
      <c r="E43" s="380"/>
      <c r="F43" s="380"/>
      <c r="G43" s="380"/>
      <c r="H43" s="376" cm="1">
        <f t="array" ref="H43">AVERAGE(AVERAGEIFS(H$9:H$40,$A$9:$A$40,{"North Lanarkshire","South Lanarkshire","East Dunbartonshire","West Dunbartonshire","Renfrewshire","East Renfrewshire","Glasgow City","Inverclyde"}))</f>
        <v>474.66250000000002</v>
      </c>
      <c r="I43" s="380"/>
      <c r="J43" s="380"/>
      <c r="K43" s="380"/>
      <c r="L43" s="376" cm="1">
        <f t="array" ref="L43">AVERAGE(AVERAGEIFS(L$9:L$40,$A$9:$A$40,{"North Lanarkshire","South Lanarkshire","East Dunbartonshire","West Dunbartonshire","Renfrewshire","East Renfrewshire","Glasgow City","Inverclyde"}))</f>
        <v>528.95000000000005</v>
      </c>
      <c r="M43" s="380"/>
      <c r="N43" s="380"/>
      <c r="O43" s="380"/>
      <c r="P43" s="376" cm="1">
        <f t="array" ref="P43">AVERAGE(AVERAGEIFS(P$9:P$40,$A$9:$A$40,{"North Lanarkshire","South Lanarkshire","East Dunbartonshire","West Dunbartonshire","Renfrewshire","East Renfrewshire","Glasgow City","Inverclyde"}))</f>
        <v>547.25000000000011</v>
      </c>
      <c r="Q43" s="380"/>
    </row>
    <row r="44" spans="1:17">
      <c r="A44" s="371" t="s">
        <v>156</v>
      </c>
      <c r="B44" s="22"/>
      <c r="C44" s="22"/>
      <c r="D44" s="376" cm="1">
        <f t="array" ref="D44">AVERAGE(AVERAGEIFS(D$9:D$40,$A$9:$A$40,{"Aberdeen City","Aberdeenshire"}))</f>
        <v>432.15</v>
      </c>
      <c r="E44" s="380"/>
      <c r="F44" s="380"/>
      <c r="G44" s="380"/>
      <c r="H44" s="376" cm="1">
        <f t="array" ref="H44">AVERAGE(AVERAGEIFS(H$9:H$40,$A$9:$A$40,{"Aberdeen City","Aberdeenshire"}))</f>
        <v>468.85</v>
      </c>
      <c r="I44" s="380"/>
      <c r="J44" s="380"/>
      <c r="K44" s="380"/>
      <c r="L44" s="376" cm="1">
        <f t="array" ref="L44">AVERAGE(AVERAGEIFS(L$9:L$40,$A$9:$A$40,{"Aberdeen City","Aberdeenshire"}))</f>
        <v>514.35</v>
      </c>
      <c r="M44" s="380"/>
      <c r="N44" s="380"/>
      <c r="O44" s="380"/>
      <c r="P44" s="376" cm="1">
        <f t="array" ref="P44">AVERAGE(AVERAGEIFS(P$9:P$40,$A$9:$A$40,{"Aberdeen City","Aberdeenshire"}))</f>
        <v>543.15000000000009</v>
      </c>
      <c r="Q44" s="380"/>
    </row>
    <row r="45" spans="1:17">
      <c r="A45" s="2" t="s">
        <v>359</v>
      </c>
      <c r="B45" s="371"/>
      <c r="C45" s="371"/>
      <c r="D45" s="376" cm="1">
        <f t="array" ref="D45">AVERAGE(AVERAGEIFS(D$9:D$40,$A$9:$A$40,{"Clackmannanshire","Falkirk","Stirling"}))</f>
        <v>426.86666666666662</v>
      </c>
      <c r="H45" s="376" cm="1">
        <f t="array" ref="H45">AVERAGE(AVERAGEIFS(H$9:H$40,$A$9:$A$40,{"Clackmannanshire","Falkirk","Stirling"}))</f>
        <v>460.3</v>
      </c>
      <c r="L45" s="376" cm="1">
        <f t="array" ref="L45">AVERAGE(AVERAGEIFS(L$9:L$40,$A$9:$A$40,{"Clackmannanshire","Falkirk","Stirling"}))</f>
        <v>507.26666666666665</v>
      </c>
      <c r="M45" s="375"/>
      <c r="N45" s="375"/>
      <c r="O45" s="375"/>
      <c r="P45" s="376" cm="1">
        <f t="array" ref="P45">AVERAGE(AVERAGEIFS(P$9:P$40,$A$9:$A$40,{"Clackmannanshire","Falkirk","Stirling"}))</f>
        <v>542.33333333333337</v>
      </c>
    </row>
    <row r="46" spans="1:17">
      <c r="A46" s="371" t="s">
        <v>157</v>
      </c>
      <c r="B46" s="22"/>
      <c r="C46" s="22"/>
      <c r="D46" s="376" cm="1">
        <f t="array" ref="D46">AVERAGE(AVERAGEIFS(D$9:D$40,$A$9:$A$40,{"Edinburgh, City of","East Lothian","Fife","Midlothian","Scottish Borders","West Lothian"}))</f>
        <v>425.64999999999992</v>
      </c>
      <c r="E46" s="380"/>
      <c r="F46" s="380"/>
      <c r="G46" s="380"/>
      <c r="H46" s="376" cm="1">
        <f t="array" ref="H46">AVERAGE(AVERAGEIFS(H$9:H$40,$A$9:$A$40,{"Edinburgh, City of","East Lothian","Fife","Midlothian","Scottish Borders","West Lothian"}))</f>
        <v>448.2166666666667</v>
      </c>
      <c r="I46" s="380"/>
      <c r="J46" s="380"/>
      <c r="K46" s="380"/>
      <c r="L46" s="376" cm="1">
        <f t="array" ref="L46">AVERAGE(AVERAGEIFS(L$9:L$40,$A$9:$A$40,{"Edinburgh, City of","East Lothian","Fife","Midlothian","Scottish Borders","West Lothian"}))</f>
        <v>500.2833333333333</v>
      </c>
      <c r="M46" s="380"/>
      <c r="N46" s="380"/>
      <c r="O46" s="380"/>
      <c r="P46" s="376" cm="1">
        <f t="array" ref="P46">AVERAGE(AVERAGEIFS(P$9:P$40,$A$9:$A$40,{"Edinburgh, City of","East Lothian","Fife","Midlothian","Scottish Borders","West Lothian"}))</f>
        <v>532.76666666666665</v>
      </c>
      <c r="Q46" s="380"/>
    </row>
    <row r="47" spans="1:17">
      <c r="A47" s="371" t="s">
        <v>158</v>
      </c>
      <c r="B47" s="61"/>
      <c r="C47" s="12"/>
      <c r="D47" s="376" cm="1">
        <f t="array" ref="D47">AVERAGE(AVERAGEIFS(D$9:D$40,$A$9:$A$40,{"Angus","Dundee City","Fife","Perth and Kinross"}))</f>
        <v>411</v>
      </c>
      <c r="E47" s="380"/>
      <c r="F47" s="380"/>
      <c r="G47" s="380"/>
      <c r="H47" s="376" cm="1">
        <f t="array" ref="H47">AVERAGE(AVERAGEIFS(H$9:H$40,$A$9:$A$40,{"Angus","Dundee City","Fife","Perth and Kinross"}))</f>
        <v>436.95000000000005</v>
      </c>
      <c r="I47" s="380"/>
      <c r="J47" s="380"/>
      <c r="K47" s="380"/>
      <c r="L47" s="376" cm="1">
        <f t="array" ref="L47">AVERAGE(AVERAGEIFS(L$9:L$40,$A$9:$A$40,{"Angus","Dundee City","Fife","Perth and Kinross"}))</f>
        <v>483.57499999999999</v>
      </c>
      <c r="M47" s="380"/>
      <c r="N47" s="380"/>
      <c r="O47" s="380"/>
      <c r="P47" s="376" cm="1">
        <f t="array" ref="P47">AVERAGE(AVERAGEIFS(P$9:P$40,$A$9:$A$40,{"Angus","Dundee City","Fife","Perth and Kinross"}))</f>
        <v>528.25</v>
      </c>
    </row>
    <row r="48" spans="1:17">
      <c r="A48" t="s">
        <v>246</v>
      </c>
      <c r="B48" s="61"/>
      <c r="C48" s="382"/>
      <c r="D48" s="376" cm="1">
        <f t="array" ref="D48">AVERAGE(AVERAGEIFS(D$9:D$40,$A$9:$A$40,{"Na h-Eileanan Siar","Argyll and Bute","Shetland Islands","Highland","Scottish Borders","Dumfries and Galloway","Aberdeenshire"}))</f>
        <v>440.62857142857138</v>
      </c>
      <c r="E48" s="380"/>
      <c r="F48" s="380"/>
      <c r="G48" s="380"/>
      <c r="H48" s="376" cm="1">
        <f t="array" ref="H48">AVERAGE(AVERAGEIFS(H$9:H$40,$A$9:$A$40,{"Argyll and Bute","Shetland Islands","Highland","Scottish Borders","Dumfries and Galloway","Aberdeenshire"}))</f>
        <v>462.7</v>
      </c>
      <c r="I48" s="380"/>
      <c r="J48" s="380"/>
      <c r="K48" s="380"/>
      <c r="L48" s="376" cm="1">
        <f t="array" ref="L48">AVERAGE(AVERAGEIFS(L$9:L$40,$A$9:$A$40,{"Na h-Eileanan Siar","Argyll and Bute","Shetland Islands","Highland","Scottish Borders","Dumfries and Galloway","Aberdeenshire"}))</f>
        <v>518.87142857142862</v>
      </c>
      <c r="M48" s="380"/>
      <c r="N48" s="380"/>
      <c r="O48" s="380"/>
      <c r="P48" s="376" cm="1">
        <f t="array" ref="P48">AVERAGE(AVERAGEIFS(P$9:P$40,$A$9:$A$40,{"Na h-Eileanan Siar","Argyll and Bute","Shetland Islands","Highland","Scottish Borders","Dumfries and Galloway","Aberdeenshire"}))</f>
        <v>537.75714285714287</v>
      </c>
    </row>
    <row r="49" spans="1:16">
      <c r="A49" t="s">
        <v>247</v>
      </c>
      <c r="B49" s="61"/>
      <c r="C49" s="382"/>
      <c r="D49" s="376" cm="1">
        <f t="array" ref="D49">AVERAGE(AVERAGEIFS(D$9:D$40,$A$9:$A$40,{"Perth and Kinross","Stirling","Moray","South Ayrshire","East Ayrshire","East Lothian","North Ayrshire","Fife"}))</f>
        <v>422.02500000000003</v>
      </c>
      <c r="E49" s="380"/>
      <c r="F49" s="380"/>
      <c r="G49" s="380"/>
      <c r="H49" s="376" cm="1">
        <f t="array" ref="H49">AVERAGE(AVERAGEIFS(H$9:H$40,$A$9:$A$40,{"Perth and Kinross","Stirling","Moray","South Ayrshire","East Ayrshire","East Lothian","North Ayrshire","Fife"}))</f>
        <v>451.63750000000005</v>
      </c>
      <c r="I49" s="380"/>
      <c r="J49" s="380"/>
      <c r="K49" s="380"/>
      <c r="L49" s="376" cm="1">
        <f t="array" ref="L49">AVERAGE(AVERAGEIFS(L$9:L$40,$A$9:$A$40,{"Perth and Kinross","Stirling","Moray","South Ayrshire","East Ayrshire","East Lothian","North Ayrshire","Fife"}))</f>
        <v>485.01249999999999</v>
      </c>
      <c r="M49" s="380"/>
      <c r="N49" s="380"/>
      <c r="O49" s="380"/>
      <c r="P49" s="376" cm="1">
        <f t="array" ref="P49">AVERAGE(AVERAGEIFS(P$9:P$40,$A$9:$A$40,{"Perth and Kinross","Stirling","Moray","South Ayrshire","East Ayrshire","East Lothian","North Ayrshire","Fife"}))</f>
        <v>529.66250000000002</v>
      </c>
    </row>
    <row r="50" spans="1:16">
      <c r="A50" t="s">
        <v>248</v>
      </c>
      <c r="B50" s="61"/>
      <c r="C50" s="382"/>
      <c r="D50" s="376" cm="1">
        <f t="array" ref="D50">AVERAGE(AVERAGEIFS(D$9:D$40,$A$9:$A$40,{"Angus","Clackmannanshire","Midlothian","South Lanarkshire","Inverclyde","Renfrewshire","West Lothian","East Renfrewshire"}))</f>
        <v>438.6875</v>
      </c>
      <c r="E50" s="380"/>
      <c r="F50" s="380"/>
      <c r="G50" s="380"/>
      <c r="H50" s="376" cm="1">
        <f t="array" ref="H50">AVERAGE(AVERAGEIFS(H$9:H$40,$A$9:$A$40,{"Angus","Clackmannanshire","Midlothian","South Lanarkshire","Inverclyde","Renfrewshire","West Lothian","East Renfrewshire"}))</f>
        <v>470.26250000000005</v>
      </c>
      <c r="I50" s="380"/>
      <c r="J50" s="380"/>
      <c r="K50" s="380"/>
      <c r="L50" s="376" cm="1">
        <f t="array" ref="L50">AVERAGE(AVERAGEIFS(L$9:L$40,$A$9:$A$40,{"Angus","Clackmannanshire","Midlothian","South Lanarkshire","Inverclyde","Renfrewshire","West Lothian","East Renfrewshire"}))</f>
        <v>521.53750000000002</v>
      </c>
      <c r="M50" s="380"/>
      <c r="N50" s="380"/>
      <c r="O50" s="380"/>
      <c r="P50" s="376" cm="1">
        <f t="array" ref="P50">AVERAGE(AVERAGEIFS(P$9:P$40,$A$9:$A$40,{"Angus","Clackmannanshire","Midlothian","South Lanarkshire","Inverclyde","Renfrewshire","West Lothian","East Renfrewshire"}))</f>
        <v>546.76250000000005</v>
      </c>
    </row>
    <row r="51" spans="1:16">
      <c r="A51" t="s">
        <v>249</v>
      </c>
      <c r="D51" s="376" cm="1">
        <f t="array" ref="D51">AVERAGE(AVERAGEIFS(D$9:D$40,$A$9:$A$40,{"North Lanarkshire","Falkirk","East Dunbartonshire","Aberdeen City","Edinburgh, City of","West Dunbartonshire","Dundee City","Glasgow City"}))</f>
        <v>435.75</v>
      </c>
      <c r="E51" s="380"/>
      <c r="F51" s="380"/>
      <c r="G51" s="380"/>
      <c r="H51" s="376" cm="1">
        <f t="array" ref="H51">AVERAGE(AVERAGEIFS(H$9:H$40,$A$9:$A$40,{"North Lanarkshire","Falkirk","East Dunbartonshire","Aberdeen City","Edinburgh, City of","West Dunbartonshire","Dundee City","Glasgow City"}))</f>
        <v>461.625</v>
      </c>
      <c r="I51" s="380"/>
      <c r="J51" s="380"/>
      <c r="K51" s="380"/>
      <c r="L51" s="376" cm="1">
        <f t="array" ref="L51">AVERAGE(AVERAGEIFS(L$9:L$40,$A$9:$A$40,{"North Lanarkshire","Falkirk","East Dunbartonshire","Aberdeen City","Edinburgh, City of","West Dunbartonshire","Dundee City","Glasgow City"}))</f>
        <v>511.22499999999997</v>
      </c>
      <c r="M51" s="380"/>
      <c r="N51" s="380"/>
      <c r="O51" s="380"/>
      <c r="P51" s="376" cm="1">
        <f t="array" ref="P51">AVERAGE(AVERAGEIFS(P$9:P$40,$A$9:$A$40,{"North Lanarkshire","Falkirk","East Dunbartonshire","Aberdeen City","Edinburgh, City of","West Dunbartonshire","Dundee City","Glasgow City"}))</f>
        <v>538.3125</v>
      </c>
    </row>
    <row r="52" spans="1:16">
      <c r="A52" t="s">
        <v>47</v>
      </c>
      <c r="D52" s="380">
        <v>423.7</v>
      </c>
      <c r="E52" s="380"/>
      <c r="F52" s="380"/>
      <c r="G52" s="380"/>
      <c r="H52" s="380">
        <v>454.9</v>
      </c>
      <c r="I52" s="380"/>
      <c r="J52" s="380"/>
      <c r="K52" s="380"/>
      <c r="L52" s="380">
        <v>491.3</v>
      </c>
      <c r="M52" s="380"/>
      <c r="N52" s="380"/>
      <c r="O52" s="380"/>
      <c r="P52" s="380">
        <v>527</v>
      </c>
    </row>
    <row r="54" spans="1:16">
      <c r="A54" s="23" t="s">
        <v>514</v>
      </c>
      <c r="B54" s="23"/>
      <c r="C54" s="23"/>
    </row>
    <row r="55" spans="1:16">
      <c r="A55" s="23" t="s">
        <v>70</v>
      </c>
      <c r="B55" s="23"/>
      <c r="C55" s="23"/>
    </row>
    <row r="56" spans="1:16">
      <c r="A56" s="23" t="s">
        <v>69</v>
      </c>
      <c r="B56" s="23"/>
      <c r="C56" s="23"/>
    </row>
    <row r="57" spans="1:16">
      <c r="A57" s="23" t="s">
        <v>68</v>
      </c>
      <c r="B57" s="23"/>
      <c r="C57" s="23"/>
    </row>
  </sheetData>
  <conditionalFormatting sqref="A9:G13">
    <cfRule type="expression" dxfId="37" priority="25">
      <formula>_xlfn.ISFORMULA(A9)</formula>
    </cfRule>
  </conditionalFormatting>
  <conditionalFormatting sqref="A14:G52 H9:XFD52 A1:XFD8 A53:XFD1048576">
    <cfRule type="expression" dxfId="36" priority="66">
      <formula>_xlfn.ISFORMULA(A1)</formula>
    </cfRule>
  </conditionalFormatting>
  <conditionalFormatting sqref="D43:D47">
    <cfRule type="expression" dxfId="35" priority="65">
      <formula>$A43="NUTS1"</formula>
    </cfRule>
    <cfRule type="expression" dxfId="34" priority="64">
      <formula>$A43="NUTS2"</formula>
    </cfRule>
    <cfRule type="expression" dxfId="33" priority="63">
      <formula>$A43="UK"</formula>
    </cfRule>
    <cfRule type="expression" dxfId="32" priority="62">
      <formula>$A43="Other"</formula>
    </cfRule>
  </conditionalFormatting>
  <conditionalFormatting sqref="D48:D51">
    <cfRule type="expression" dxfId="31" priority="74">
      <formula>$A48="NUTS1"</formula>
    </cfRule>
    <cfRule type="expression" dxfId="30" priority="73">
      <formula>$A48="NUTS2"</formula>
    </cfRule>
    <cfRule type="expression" dxfId="29" priority="72">
      <formula>$A48="UK"</formula>
    </cfRule>
    <cfRule type="expression" dxfId="28" priority="71">
      <formula>$A48="Other"</formula>
    </cfRule>
  </conditionalFormatting>
  <conditionalFormatting sqref="H43:H51">
    <cfRule type="expression" dxfId="27" priority="19">
      <formula>$A43="NUTS2"</formula>
    </cfRule>
    <cfRule type="expression" dxfId="26" priority="20">
      <formula>$A43="NUTS1"</formula>
    </cfRule>
    <cfRule type="expression" dxfId="25" priority="17">
      <formula>$A43="Other"</formula>
    </cfRule>
    <cfRule type="expression" dxfId="24" priority="18">
      <formula>$A43="UK"</formula>
    </cfRule>
  </conditionalFormatting>
  <conditionalFormatting sqref="L43:L51">
    <cfRule type="expression" dxfId="23" priority="12">
      <formula>$A43="NUTS1"</formula>
    </cfRule>
    <cfRule type="expression" dxfId="22" priority="11">
      <formula>$A43="NUTS2"</formula>
    </cfRule>
    <cfRule type="expression" dxfId="21" priority="10">
      <formula>$A43="UK"</formula>
    </cfRule>
    <cfRule type="expression" dxfId="20" priority="9">
      <formula>$A43="Other"</formula>
    </cfRule>
  </conditionalFormatting>
  <conditionalFormatting sqref="P43:P51">
    <cfRule type="expression" dxfId="19" priority="2">
      <formula>$A43="UK"</formula>
    </cfRule>
    <cfRule type="expression" dxfId="18" priority="3">
      <formula>$A43="NUTS2"</formula>
    </cfRule>
    <cfRule type="expression" dxfId="17" priority="4">
      <formula>$A43="NUTS1"</formula>
    </cfRule>
    <cfRule type="expression" dxfId="16" priority="1">
      <formula>$A43="Other"</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autoPageBreaks="0"/>
  </sheetPr>
  <dimension ref="A1:Q66"/>
  <sheetViews>
    <sheetView showGridLines="0" zoomScaleNormal="100" workbookViewId="0">
      <selection activeCell="T38" sqref="T38"/>
    </sheetView>
  </sheetViews>
  <sheetFormatPr defaultColWidth="9.140625" defaultRowHeight="14.25"/>
  <cols>
    <col min="1" max="1" width="25.7109375" style="25" customWidth="1"/>
    <col min="2" max="16" width="13.28515625" style="25" customWidth="1"/>
    <col min="17" max="16384" width="9.140625" style="25"/>
  </cols>
  <sheetData>
    <row r="1" spans="1:16" ht="15" customHeight="1">
      <c r="A1" s="39" t="s">
        <v>131</v>
      </c>
    </row>
    <row r="2" spans="1:16" ht="15" customHeight="1">
      <c r="A2" s="38"/>
    </row>
    <row r="3" spans="1:16" s="37" customFormat="1" ht="20.100000000000001" customHeight="1">
      <c r="A3" s="44" t="s">
        <v>266</v>
      </c>
      <c r="B3" s="44"/>
      <c r="C3" s="44"/>
      <c r="D3" s="44"/>
      <c r="E3" s="44"/>
      <c r="F3" s="44"/>
      <c r="G3" s="44"/>
      <c r="H3" s="44"/>
      <c r="I3" s="44"/>
      <c r="J3" s="44"/>
      <c r="K3" s="44"/>
      <c r="L3" s="44"/>
      <c r="M3" s="44"/>
      <c r="N3" s="44"/>
      <c r="O3" s="44"/>
      <c r="P3" s="44"/>
    </row>
    <row r="4" spans="1:16" s="37" customFormat="1" ht="20.100000000000001" customHeight="1">
      <c r="A4" s="44"/>
      <c r="B4" s="44"/>
      <c r="C4" s="44"/>
      <c r="D4" s="44"/>
      <c r="E4" s="44"/>
      <c r="F4" s="44"/>
      <c r="G4" s="44"/>
      <c r="H4" s="44"/>
      <c r="I4" s="44"/>
      <c r="J4" s="44"/>
      <c r="K4" s="44"/>
      <c r="L4" s="44"/>
      <c r="M4" s="44"/>
      <c r="N4" s="44"/>
      <c r="O4" s="44"/>
      <c r="P4" s="44"/>
    </row>
    <row r="5" spans="1:16" s="37" customFormat="1" ht="15" customHeight="1">
      <c r="A5" s="45" t="s">
        <v>130</v>
      </c>
      <c r="B5" s="45"/>
      <c r="C5" s="45"/>
      <c r="D5" s="45"/>
      <c r="E5" s="45"/>
      <c r="F5" s="45"/>
      <c r="G5" s="45"/>
      <c r="H5" s="45"/>
      <c r="I5" s="45"/>
      <c r="J5" s="45"/>
      <c r="K5" s="45"/>
      <c r="L5" s="45"/>
      <c r="M5" s="45"/>
      <c r="N5" s="45"/>
      <c r="O5" s="45"/>
      <c r="P5" s="45"/>
    </row>
    <row r="6" spans="1:16" s="29" customFormat="1" ht="15" customHeight="1">
      <c r="B6" s="43"/>
      <c r="C6" s="43"/>
      <c r="D6" s="43">
        <v>2017</v>
      </c>
      <c r="E6" s="43"/>
      <c r="F6" s="43"/>
      <c r="G6" s="43"/>
      <c r="H6" s="43">
        <v>2018</v>
      </c>
      <c r="I6" s="43"/>
      <c r="J6" s="43"/>
      <c r="K6" s="43"/>
      <c r="L6" s="43">
        <v>2019</v>
      </c>
      <c r="M6" s="43"/>
      <c r="N6" s="43"/>
      <c r="O6" s="43"/>
      <c r="P6" s="43">
        <v>2020</v>
      </c>
    </row>
    <row r="7" spans="1:16" s="29" customFormat="1" ht="30" customHeight="1">
      <c r="A7" s="36" t="s">
        <v>129</v>
      </c>
      <c r="B7" s="35" t="s">
        <v>127</v>
      </c>
      <c r="C7" s="35"/>
      <c r="D7" s="35" t="s">
        <v>128</v>
      </c>
      <c r="E7" s="35"/>
      <c r="F7" s="35" t="s">
        <v>127</v>
      </c>
      <c r="G7" s="35"/>
      <c r="H7" s="35" t="s">
        <v>128</v>
      </c>
      <c r="I7" s="35"/>
      <c r="J7" s="35" t="s">
        <v>127</v>
      </c>
      <c r="K7" s="35"/>
      <c r="L7" s="35" t="s">
        <v>128</v>
      </c>
      <c r="M7" s="35"/>
      <c r="N7" s="35" t="s">
        <v>127</v>
      </c>
      <c r="O7" s="35"/>
      <c r="P7" s="35" t="s">
        <v>128</v>
      </c>
    </row>
    <row r="8" spans="1:16" s="29" customFormat="1" ht="30" customHeight="1">
      <c r="A8" s="122"/>
      <c r="B8" s="123"/>
      <c r="C8" s="123"/>
      <c r="D8" s="123"/>
      <c r="E8" s="123"/>
      <c r="F8" s="123"/>
      <c r="G8" s="123"/>
      <c r="H8" s="123"/>
      <c r="I8" s="123"/>
      <c r="J8" s="123"/>
      <c r="K8" s="123"/>
      <c r="L8" s="123"/>
      <c r="M8" s="123"/>
      <c r="N8" s="123"/>
      <c r="O8" s="123"/>
      <c r="P8" s="123"/>
    </row>
    <row r="9" spans="1:16" s="29" customFormat="1" ht="15" customHeight="1">
      <c r="A9" s="33" t="s">
        <v>15</v>
      </c>
      <c r="B9" s="102">
        <v>11200</v>
      </c>
      <c r="C9" s="31">
        <v>117894.73684210527</v>
      </c>
      <c r="D9" s="103">
        <v>9.5</v>
      </c>
      <c r="E9" s="32"/>
      <c r="F9" s="102">
        <v>11400</v>
      </c>
      <c r="G9" s="31">
        <v>118750</v>
      </c>
      <c r="H9" s="103">
        <v>9.6</v>
      </c>
      <c r="I9" s="32"/>
      <c r="J9" s="102">
        <v>11400</v>
      </c>
      <c r="K9" s="31">
        <v>126666.66666666667</v>
      </c>
      <c r="L9" s="103">
        <v>9</v>
      </c>
      <c r="M9" s="32"/>
      <c r="N9" s="102">
        <v>8100</v>
      </c>
      <c r="O9" s="31">
        <v>115714.28571428571</v>
      </c>
      <c r="P9" s="103">
        <v>7</v>
      </c>
    </row>
    <row r="10" spans="1:16" s="29" customFormat="1" ht="15" customHeight="1">
      <c r="A10" s="33" t="s">
        <v>16</v>
      </c>
      <c r="B10" s="102">
        <v>12100</v>
      </c>
      <c r="C10" s="31">
        <v>137500</v>
      </c>
      <c r="D10" s="103">
        <v>8.8000000000000007</v>
      </c>
      <c r="E10" s="32"/>
      <c r="F10" s="102">
        <v>7500</v>
      </c>
      <c r="G10" s="31">
        <v>131578.94736842104</v>
      </c>
      <c r="H10" s="103">
        <v>5.7</v>
      </c>
      <c r="I10" s="32"/>
      <c r="J10" s="102">
        <v>7900</v>
      </c>
      <c r="K10" s="31">
        <v>136206.89655172414</v>
      </c>
      <c r="L10" s="103">
        <v>5.8</v>
      </c>
      <c r="M10" s="32"/>
      <c r="N10" s="102">
        <v>9600</v>
      </c>
      <c r="O10" s="31">
        <v>137142.85714285713</v>
      </c>
      <c r="P10" s="103">
        <v>7</v>
      </c>
    </row>
    <row r="11" spans="1:16" s="29" customFormat="1" ht="15" customHeight="1">
      <c r="A11" s="33" t="s">
        <v>17</v>
      </c>
      <c r="B11" s="102">
        <v>4800</v>
      </c>
      <c r="C11" s="31">
        <v>53333.333333333336</v>
      </c>
      <c r="D11" s="103">
        <v>9</v>
      </c>
      <c r="E11" s="32"/>
      <c r="F11" s="102">
        <v>5000</v>
      </c>
      <c r="G11" s="31">
        <v>54347.82608695652</v>
      </c>
      <c r="H11" s="103">
        <v>9.1999999999999993</v>
      </c>
      <c r="I11" s="32"/>
      <c r="J11" s="102">
        <v>5200</v>
      </c>
      <c r="K11" s="31">
        <v>54166.666666666664</v>
      </c>
      <c r="L11" s="103">
        <v>9.6</v>
      </c>
      <c r="M11" s="32"/>
      <c r="N11" s="102">
        <v>5400</v>
      </c>
      <c r="O11" s="31">
        <v>50467.289719626169</v>
      </c>
      <c r="P11" s="103">
        <v>10.7</v>
      </c>
    </row>
    <row r="12" spans="1:16" s="29" customFormat="1" ht="15" customHeight="1">
      <c r="A12" s="33" t="s">
        <v>18</v>
      </c>
      <c r="B12" s="102">
        <v>3000</v>
      </c>
      <c r="C12" s="31">
        <v>39473.68421052632</v>
      </c>
      <c r="D12" s="103">
        <v>7.6</v>
      </c>
      <c r="E12" s="32"/>
      <c r="F12" s="102">
        <v>2600</v>
      </c>
      <c r="G12" s="31">
        <v>40000</v>
      </c>
      <c r="H12" s="103">
        <v>6.5</v>
      </c>
      <c r="I12" s="32"/>
      <c r="J12" s="102">
        <v>3500</v>
      </c>
      <c r="K12" s="31">
        <v>39772.727272727272</v>
      </c>
      <c r="L12" s="103">
        <v>8.8000000000000007</v>
      </c>
      <c r="M12" s="32"/>
      <c r="N12" s="102">
        <v>3100</v>
      </c>
      <c r="O12" s="31">
        <v>38271.604938271601</v>
      </c>
      <c r="P12" s="103">
        <v>8.1</v>
      </c>
    </row>
    <row r="13" spans="1:16" s="29" customFormat="1" ht="15" customHeight="1">
      <c r="A13" s="33" t="s">
        <v>19</v>
      </c>
      <c r="B13" s="102">
        <v>2900</v>
      </c>
      <c r="C13" s="31">
        <v>23577.235772357722</v>
      </c>
      <c r="D13" s="103">
        <v>12.3</v>
      </c>
      <c r="E13" s="32"/>
      <c r="F13" s="102">
        <v>1900</v>
      </c>
      <c r="G13" s="31">
        <v>24050.632911392404</v>
      </c>
      <c r="H13" s="103">
        <v>7.9</v>
      </c>
      <c r="I13" s="32"/>
      <c r="J13" s="102">
        <v>700</v>
      </c>
      <c r="K13" s="31">
        <v>25000.000000000004</v>
      </c>
      <c r="L13" s="103">
        <v>2.8</v>
      </c>
      <c r="M13" s="32"/>
      <c r="N13" s="102">
        <v>2600</v>
      </c>
      <c r="O13" s="31">
        <v>23423.423423423425</v>
      </c>
      <c r="P13" s="103">
        <v>11.1</v>
      </c>
    </row>
    <row r="14" spans="1:16" s="29" customFormat="1" ht="15" customHeight="1">
      <c r="A14" s="33" t="s">
        <v>20</v>
      </c>
      <c r="B14" s="102">
        <v>5300</v>
      </c>
      <c r="C14" s="31">
        <v>69736.84210526316</v>
      </c>
      <c r="D14" s="103">
        <v>7.6</v>
      </c>
      <c r="E14" s="32"/>
      <c r="F14" s="102">
        <v>5600</v>
      </c>
      <c r="G14" s="31">
        <v>65116.27906976745</v>
      </c>
      <c r="H14" s="103">
        <v>8.6</v>
      </c>
      <c r="I14" s="32"/>
      <c r="J14" s="102">
        <v>6000</v>
      </c>
      <c r="K14" s="31">
        <v>68181.818181818177</v>
      </c>
      <c r="L14" s="103">
        <v>8.8000000000000007</v>
      </c>
      <c r="M14" s="32"/>
      <c r="N14" s="102">
        <v>3900</v>
      </c>
      <c r="O14" s="31">
        <v>60000</v>
      </c>
      <c r="P14" s="103">
        <v>6.5</v>
      </c>
    </row>
    <row r="15" spans="1:16" s="29" customFormat="1" ht="15" customHeight="1">
      <c r="A15" s="33" t="s">
        <v>21</v>
      </c>
      <c r="B15" s="102">
        <v>3600</v>
      </c>
      <c r="C15" s="31">
        <v>65454.545454545456</v>
      </c>
      <c r="D15" s="103">
        <v>5.5</v>
      </c>
      <c r="E15" s="32"/>
      <c r="F15" s="102">
        <v>5600</v>
      </c>
      <c r="G15" s="31">
        <v>64367.816091954024</v>
      </c>
      <c r="H15" s="103">
        <v>8.6999999999999993</v>
      </c>
      <c r="I15" s="32"/>
      <c r="J15" s="102">
        <v>6300</v>
      </c>
      <c r="K15" s="31">
        <v>66315.789473684214</v>
      </c>
      <c r="L15" s="103">
        <v>9.5</v>
      </c>
      <c r="M15" s="32"/>
      <c r="N15" s="102">
        <v>7500</v>
      </c>
      <c r="O15" s="31">
        <v>68181.818181818177</v>
      </c>
      <c r="P15" s="103">
        <v>11</v>
      </c>
    </row>
    <row r="16" spans="1:16" s="29" customFormat="1" ht="15" customHeight="1">
      <c r="A16" s="33" t="s">
        <v>22</v>
      </c>
      <c r="B16" s="102">
        <v>3400</v>
      </c>
      <c r="C16" s="31">
        <v>54838.709677419356</v>
      </c>
      <c r="D16" s="103">
        <v>6.2</v>
      </c>
      <c r="E16" s="32"/>
      <c r="F16" s="102">
        <v>4200</v>
      </c>
      <c r="G16" s="31">
        <v>53164.556962025315</v>
      </c>
      <c r="H16" s="103">
        <v>7.9</v>
      </c>
      <c r="I16" s="32"/>
      <c r="J16" s="102">
        <v>3000</v>
      </c>
      <c r="K16" s="31">
        <v>56603.773584905663</v>
      </c>
      <c r="L16" s="103">
        <v>5.3</v>
      </c>
      <c r="M16" s="32"/>
      <c r="N16" s="102">
        <v>6500</v>
      </c>
      <c r="O16" s="31">
        <v>54166.666666666672</v>
      </c>
      <c r="P16" s="103">
        <v>12</v>
      </c>
    </row>
    <row r="17" spans="1:16" s="29" customFormat="1" ht="15" customHeight="1">
      <c r="A17" s="33" t="s">
        <v>23</v>
      </c>
      <c r="B17" s="102">
        <v>3900</v>
      </c>
      <c r="C17" s="31">
        <v>50649.35064935065</v>
      </c>
      <c r="D17" s="103">
        <v>7.7</v>
      </c>
      <c r="E17" s="32"/>
      <c r="F17" s="102">
        <v>2600</v>
      </c>
      <c r="G17" s="31">
        <v>50980.392156862748</v>
      </c>
      <c r="H17" s="103">
        <v>5.0999999999999996</v>
      </c>
      <c r="I17" s="32"/>
      <c r="J17" s="102">
        <v>2400</v>
      </c>
      <c r="K17" s="31">
        <v>52173.913043478264</v>
      </c>
      <c r="L17" s="103">
        <v>4.5999999999999996</v>
      </c>
      <c r="M17" s="32"/>
      <c r="N17" s="102">
        <v>3000</v>
      </c>
      <c r="O17" s="31">
        <v>50847.457627118638</v>
      </c>
      <c r="P17" s="103">
        <v>5.9</v>
      </c>
    </row>
    <row r="18" spans="1:16" s="29" customFormat="1" ht="15" customHeight="1">
      <c r="A18" s="33" t="s">
        <v>24</v>
      </c>
      <c r="B18" s="102">
        <v>4500</v>
      </c>
      <c r="C18" s="31">
        <v>50561.797752808983</v>
      </c>
      <c r="D18" s="103">
        <v>8.9</v>
      </c>
      <c r="E18" s="32"/>
      <c r="F18" s="102">
        <v>3900</v>
      </c>
      <c r="G18" s="31">
        <v>53424.65753424658</v>
      </c>
      <c r="H18" s="103">
        <v>7.3</v>
      </c>
      <c r="I18" s="32"/>
      <c r="J18" s="102">
        <v>3900</v>
      </c>
      <c r="K18" s="31">
        <v>52702.702702702692</v>
      </c>
      <c r="L18" s="103">
        <v>7.4</v>
      </c>
      <c r="M18" s="32"/>
      <c r="N18" s="102">
        <v>3800</v>
      </c>
      <c r="O18" s="31">
        <v>50000</v>
      </c>
      <c r="P18" s="103">
        <v>7.6</v>
      </c>
    </row>
    <row r="19" spans="1:16" s="29" customFormat="1" ht="15" customHeight="1">
      <c r="A19" s="33" t="s">
        <v>25</v>
      </c>
      <c r="B19" s="102">
        <v>4500</v>
      </c>
      <c r="C19" s="31">
        <v>44117.647058823532</v>
      </c>
      <c r="D19" s="103">
        <v>10.199999999999999</v>
      </c>
      <c r="E19" s="32"/>
      <c r="F19" s="102">
        <v>2300</v>
      </c>
      <c r="G19" s="31">
        <v>43396.226415094337</v>
      </c>
      <c r="H19" s="103">
        <v>5.3</v>
      </c>
      <c r="I19" s="32"/>
      <c r="J19" s="102">
        <v>2800</v>
      </c>
      <c r="K19" s="31">
        <v>43750</v>
      </c>
      <c r="L19" s="103">
        <v>6.4</v>
      </c>
      <c r="M19" s="32"/>
      <c r="N19" s="102">
        <v>3600</v>
      </c>
      <c r="O19" s="31">
        <v>43373.493975903613</v>
      </c>
      <c r="P19" s="103">
        <v>8.3000000000000007</v>
      </c>
    </row>
    <row r="20" spans="1:16" s="29" customFormat="1" ht="15" customHeight="1">
      <c r="A20" s="33" t="s">
        <v>126</v>
      </c>
      <c r="B20" s="102">
        <v>17200</v>
      </c>
      <c r="C20" s="31">
        <v>268750</v>
      </c>
      <c r="D20" s="103">
        <v>6.4</v>
      </c>
      <c r="E20" s="32"/>
      <c r="F20" s="102">
        <v>20700</v>
      </c>
      <c r="G20" s="31">
        <v>276000</v>
      </c>
      <c r="H20" s="103">
        <v>7.5</v>
      </c>
      <c r="I20" s="32"/>
      <c r="J20" s="102">
        <v>20500</v>
      </c>
      <c r="K20" s="31">
        <v>269736.84210526315</v>
      </c>
      <c r="L20" s="103">
        <v>7.6</v>
      </c>
      <c r="M20" s="32"/>
      <c r="N20" s="102">
        <v>26700</v>
      </c>
      <c r="O20" s="31">
        <v>272448.97959183675</v>
      </c>
      <c r="P20" s="103">
        <v>9.8000000000000007</v>
      </c>
    </row>
    <row r="21" spans="1:16" s="29" customFormat="1" ht="15" customHeight="1">
      <c r="A21" s="33" t="s">
        <v>26</v>
      </c>
      <c r="B21" s="102">
        <v>4900</v>
      </c>
      <c r="C21" s="31">
        <v>76562.5</v>
      </c>
      <c r="D21" s="103">
        <v>6.4</v>
      </c>
      <c r="E21" s="32"/>
      <c r="F21" s="102">
        <v>5100</v>
      </c>
      <c r="G21" s="31">
        <v>76119.402985074616</v>
      </c>
      <c r="H21" s="103">
        <v>6.7</v>
      </c>
      <c r="I21" s="32"/>
      <c r="J21" s="102">
        <v>5100</v>
      </c>
      <c r="K21" s="31">
        <v>76119.402985074616</v>
      </c>
      <c r="L21" s="103">
        <v>6.7</v>
      </c>
      <c r="M21" s="32"/>
      <c r="N21" s="102">
        <v>2700</v>
      </c>
      <c r="O21" s="31">
        <v>79411.76470588235</v>
      </c>
      <c r="P21" s="103">
        <v>3.4</v>
      </c>
    </row>
    <row r="22" spans="1:16" s="29" customFormat="1" ht="15" customHeight="1">
      <c r="A22" s="33" t="s">
        <v>27</v>
      </c>
      <c r="B22" s="102">
        <v>17100</v>
      </c>
      <c r="C22" s="31">
        <v>172727.27272727271</v>
      </c>
      <c r="D22" s="103">
        <v>9.9</v>
      </c>
      <c r="E22" s="32"/>
      <c r="F22" s="102">
        <v>13800</v>
      </c>
      <c r="G22" s="31">
        <v>174683.54430379748</v>
      </c>
      <c r="H22" s="103">
        <v>7.9</v>
      </c>
      <c r="I22" s="32"/>
      <c r="J22" s="102">
        <v>12200</v>
      </c>
      <c r="K22" s="31">
        <v>169444.44444444444</v>
      </c>
      <c r="L22" s="103">
        <v>7.2</v>
      </c>
      <c r="M22" s="32"/>
      <c r="N22" s="102">
        <v>16900</v>
      </c>
      <c r="O22" s="31">
        <v>162500</v>
      </c>
      <c r="P22" s="103">
        <v>10.4</v>
      </c>
    </row>
    <row r="23" spans="1:16" s="29" customFormat="1" ht="15" customHeight="1">
      <c r="A23" s="33" t="s">
        <v>28</v>
      </c>
      <c r="B23" s="102">
        <v>21800</v>
      </c>
      <c r="C23" s="31">
        <v>286842.10526315792</v>
      </c>
      <c r="D23" s="103">
        <v>7.6</v>
      </c>
      <c r="E23" s="32"/>
      <c r="F23" s="102">
        <v>24100</v>
      </c>
      <c r="G23" s="31">
        <v>280232.5581395349</v>
      </c>
      <c r="H23" s="103">
        <v>8.6</v>
      </c>
      <c r="I23" s="32"/>
      <c r="J23" s="102">
        <v>25500</v>
      </c>
      <c r="K23" s="31">
        <v>296511.62790697679</v>
      </c>
      <c r="L23" s="103">
        <v>8.6</v>
      </c>
      <c r="M23" s="32"/>
      <c r="N23" s="102">
        <v>19300</v>
      </c>
      <c r="O23" s="31">
        <v>306349.20634920633</v>
      </c>
      <c r="P23" s="103">
        <v>6.3</v>
      </c>
    </row>
    <row r="24" spans="1:16" s="29" customFormat="1" ht="15" customHeight="1">
      <c r="A24" s="33" t="s">
        <v>29</v>
      </c>
      <c r="B24" s="102">
        <v>9900</v>
      </c>
      <c r="C24" s="31">
        <v>119277.10843373493</v>
      </c>
      <c r="D24" s="103">
        <v>8.3000000000000007</v>
      </c>
      <c r="E24" s="32"/>
      <c r="F24" s="102">
        <v>9100</v>
      </c>
      <c r="G24" s="31">
        <v>118181.81818181818</v>
      </c>
      <c r="H24" s="103">
        <v>7.7</v>
      </c>
      <c r="I24" s="32"/>
      <c r="J24" s="102">
        <v>7000</v>
      </c>
      <c r="K24" s="31">
        <v>116666.66666666667</v>
      </c>
      <c r="L24" s="103">
        <v>6</v>
      </c>
      <c r="M24" s="32"/>
      <c r="N24" s="102">
        <v>5700</v>
      </c>
      <c r="O24" s="31">
        <v>116326.5306122449</v>
      </c>
      <c r="P24" s="103">
        <v>4.9000000000000004</v>
      </c>
    </row>
    <row r="25" spans="1:16" s="29" customFormat="1" ht="15" customHeight="1">
      <c r="A25" s="33" t="s">
        <v>30</v>
      </c>
      <c r="B25" s="102">
        <v>2900</v>
      </c>
      <c r="C25" s="31">
        <v>36250</v>
      </c>
      <c r="D25" s="103">
        <v>8</v>
      </c>
      <c r="E25" s="32"/>
      <c r="F25" s="102">
        <v>3400</v>
      </c>
      <c r="G25" s="31">
        <v>35789.473684210527</v>
      </c>
      <c r="H25" s="103">
        <v>9.5</v>
      </c>
      <c r="I25" s="32"/>
      <c r="J25" s="102">
        <v>2500</v>
      </c>
      <c r="K25" s="31">
        <v>33333.333333333336</v>
      </c>
      <c r="L25" s="103">
        <v>7.5</v>
      </c>
      <c r="M25" s="32"/>
      <c r="N25" s="102">
        <v>2400</v>
      </c>
      <c r="O25" s="31">
        <v>33333.333333333328</v>
      </c>
      <c r="P25" s="103">
        <v>7.2</v>
      </c>
    </row>
    <row r="26" spans="1:16" s="29" customFormat="1" ht="15" customHeight="1">
      <c r="A26" s="33" t="s">
        <v>31</v>
      </c>
      <c r="B26" s="102">
        <v>3100</v>
      </c>
      <c r="C26" s="31">
        <v>44285.714285714283</v>
      </c>
      <c r="D26" s="103">
        <v>7</v>
      </c>
      <c r="E26" s="32"/>
      <c r="F26" s="102">
        <v>3100</v>
      </c>
      <c r="G26" s="31">
        <v>46268.656716417907</v>
      </c>
      <c r="H26" s="103">
        <v>6.7</v>
      </c>
      <c r="I26" s="32"/>
      <c r="J26" s="102">
        <v>3500</v>
      </c>
      <c r="K26" s="31">
        <v>46666.666666666672</v>
      </c>
      <c r="L26" s="103">
        <v>7.5</v>
      </c>
      <c r="M26" s="32"/>
      <c r="N26" s="102">
        <v>3400</v>
      </c>
      <c r="O26" s="31">
        <v>43589.743589743586</v>
      </c>
      <c r="P26" s="103">
        <v>7.8</v>
      </c>
    </row>
    <row r="27" spans="1:16" s="29" customFormat="1" ht="15" customHeight="1">
      <c r="A27" s="33" t="s">
        <v>32</v>
      </c>
      <c r="B27" s="102">
        <v>3800</v>
      </c>
      <c r="C27" s="31">
        <v>45783.132530120478</v>
      </c>
      <c r="D27" s="103">
        <v>8.3000000000000007</v>
      </c>
      <c r="E27" s="32"/>
      <c r="F27" s="102">
        <v>2800</v>
      </c>
      <c r="G27" s="31">
        <v>45161.290322580644</v>
      </c>
      <c r="H27" s="103">
        <v>6.2</v>
      </c>
      <c r="I27" s="32"/>
      <c r="J27" s="102">
        <v>4100</v>
      </c>
      <c r="K27" s="31">
        <v>46590.909090909088</v>
      </c>
      <c r="L27" s="103">
        <v>8.8000000000000007</v>
      </c>
      <c r="M27" s="32"/>
      <c r="N27" s="102">
        <v>4800</v>
      </c>
      <c r="O27" s="31">
        <v>46153.846153846149</v>
      </c>
      <c r="P27" s="103">
        <v>10.4</v>
      </c>
    </row>
    <row r="28" spans="1:16" s="29" customFormat="1" ht="15" customHeight="1">
      <c r="A28" s="33" t="s">
        <v>33</v>
      </c>
      <c r="B28" s="102">
        <v>900</v>
      </c>
      <c r="C28" s="31">
        <v>12328.767123287673</v>
      </c>
      <c r="D28" s="103">
        <v>7.3</v>
      </c>
      <c r="E28" s="32"/>
      <c r="F28" s="102">
        <v>1700</v>
      </c>
      <c r="G28" s="31">
        <v>12592.592592592591</v>
      </c>
      <c r="H28" s="103">
        <v>13.5</v>
      </c>
      <c r="I28" s="32"/>
      <c r="J28" s="102">
        <v>1500</v>
      </c>
      <c r="K28" s="31">
        <v>13274.336283185841</v>
      </c>
      <c r="L28" s="103">
        <v>11.3</v>
      </c>
      <c r="M28" s="32"/>
      <c r="N28" s="102">
        <v>1700</v>
      </c>
      <c r="O28" s="31">
        <v>12592.592592592591</v>
      </c>
      <c r="P28" s="103">
        <v>13.5</v>
      </c>
    </row>
    <row r="29" spans="1:16" s="29" customFormat="1" ht="15" customHeight="1">
      <c r="A29" s="33" t="s">
        <v>34</v>
      </c>
      <c r="B29" s="102">
        <v>6700</v>
      </c>
      <c r="C29" s="31">
        <v>56779.661016949147</v>
      </c>
      <c r="D29" s="103">
        <v>11.8</v>
      </c>
      <c r="E29" s="32"/>
      <c r="F29" s="102">
        <v>7800</v>
      </c>
      <c r="G29" s="31">
        <v>59090.909090909088</v>
      </c>
      <c r="H29" s="103">
        <v>13.2</v>
      </c>
      <c r="I29" s="32"/>
      <c r="J29" s="102">
        <v>4600</v>
      </c>
      <c r="K29" s="31">
        <v>58227.848101265823</v>
      </c>
      <c r="L29" s="103">
        <v>7.9</v>
      </c>
      <c r="M29" s="32"/>
      <c r="N29" s="102">
        <v>6000</v>
      </c>
      <c r="O29" s="31">
        <v>56074.766355140186</v>
      </c>
      <c r="P29" s="103">
        <v>10.7</v>
      </c>
    </row>
    <row r="30" spans="1:16" s="29" customFormat="1" ht="15" customHeight="1">
      <c r="A30" s="33" t="s">
        <v>35</v>
      </c>
      <c r="B30" s="102">
        <v>8700</v>
      </c>
      <c r="C30" s="31">
        <v>161111.11111111109</v>
      </c>
      <c r="D30" s="103">
        <v>5.4</v>
      </c>
      <c r="E30" s="32"/>
      <c r="F30" s="102">
        <v>9300</v>
      </c>
      <c r="G30" s="31">
        <v>166071.42857142858</v>
      </c>
      <c r="H30" s="103">
        <v>5.6</v>
      </c>
      <c r="I30" s="32"/>
      <c r="J30" s="102">
        <v>7200</v>
      </c>
      <c r="K30" s="31">
        <v>163636.36363636362</v>
      </c>
      <c r="L30" s="103">
        <v>4.4000000000000004</v>
      </c>
      <c r="M30" s="32"/>
      <c r="N30" s="102">
        <v>13900</v>
      </c>
      <c r="O30" s="31">
        <v>152747.25274725276</v>
      </c>
      <c r="P30" s="103">
        <v>9.1</v>
      </c>
    </row>
    <row r="31" spans="1:16" s="29" customFormat="1" ht="15" customHeight="1">
      <c r="A31" s="33" t="s">
        <v>36</v>
      </c>
      <c r="B31" s="102">
        <v>1600</v>
      </c>
      <c r="C31" s="31">
        <v>11428.571428571428</v>
      </c>
      <c r="D31" s="103">
        <v>14</v>
      </c>
      <c r="E31" s="32"/>
      <c r="F31" s="102">
        <v>1300</v>
      </c>
      <c r="G31" s="31">
        <v>12149.532710280375</v>
      </c>
      <c r="H31" s="103">
        <v>10.7</v>
      </c>
      <c r="I31" s="32"/>
      <c r="J31" s="102">
        <v>1100</v>
      </c>
      <c r="K31" s="31">
        <v>11827.95698924731</v>
      </c>
      <c r="L31" s="103">
        <v>9.3000000000000007</v>
      </c>
      <c r="M31" s="32"/>
      <c r="N31" s="102">
        <v>1500</v>
      </c>
      <c r="O31" s="31">
        <v>10489.510489510489</v>
      </c>
      <c r="P31" s="103">
        <v>14.3</v>
      </c>
    </row>
    <row r="32" spans="1:16" s="29" customFormat="1" ht="15" customHeight="1">
      <c r="A32" s="33" t="s">
        <v>37</v>
      </c>
      <c r="B32" s="102">
        <v>6400</v>
      </c>
      <c r="C32" s="31">
        <v>71111.111111111109</v>
      </c>
      <c r="D32" s="103">
        <v>9</v>
      </c>
      <c r="E32" s="32"/>
      <c r="F32" s="102">
        <v>5000</v>
      </c>
      <c r="G32" s="31">
        <v>72463.768115942017</v>
      </c>
      <c r="H32" s="103">
        <v>6.9</v>
      </c>
      <c r="I32" s="32"/>
      <c r="J32" s="102">
        <v>6300</v>
      </c>
      <c r="K32" s="31">
        <v>78750</v>
      </c>
      <c r="L32" s="103">
        <v>8</v>
      </c>
      <c r="M32" s="32"/>
      <c r="N32" s="102">
        <v>4300</v>
      </c>
      <c r="O32" s="31">
        <v>70491.803278688531</v>
      </c>
      <c r="P32" s="103">
        <v>6.1</v>
      </c>
    </row>
    <row r="33" spans="1:17" s="29" customFormat="1" ht="15" customHeight="1">
      <c r="A33" s="33" t="s">
        <v>38</v>
      </c>
      <c r="B33" s="102">
        <v>8200</v>
      </c>
      <c r="C33" s="31">
        <v>86315.789473684214</v>
      </c>
      <c r="D33" s="103">
        <v>9.5</v>
      </c>
      <c r="E33" s="32"/>
      <c r="F33" s="102">
        <v>5900</v>
      </c>
      <c r="G33" s="31">
        <v>85507.246376811585</v>
      </c>
      <c r="H33" s="103">
        <v>6.9</v>
      </c>
      <c r="I33" s="32"/>
      <c r="J33" s="102">
        <v>7100</v>
      </c>
      <c r="K33" s="31">
        <v>86585.365853658543</v>
      </c>
      <c r="L33" s="103">
        <v>8.1999999999999993</v>
      </c>
      <c r="M33" s="32"/>
      <c r="N33" s="102">
        <v>8500</v>
      </c>
      <c r="O33" s="31">
        <v>89473.68421052632</v>
      </c>
      <c r="P33" s="103">
        <v>9.5</v>
      </c>
    </row>
    <row r="34" spans="1:17" s="29" customFormat="1" ht="15" customHeight="1">
      <c r="A34" s="33" t="s">
        <v>39</v>
      </c>
      <c r="B34" s="102">
        <v>7100</v>
      </c>
      <c r="C34" s="31">
        <v>53383.458646616542</v>
      </c>
      <c r="D34" s="103">
        <v>13.3</v>
      </c>
      <c r="E34" s="32"/>
      <c r="F34" s="102">
        <v>4400</v>
      </c>
      <c r="G34" s="31">
        <v>51162.79069767442</v>
      </c>
      <c r="H34" s="103">
        <v>8.6</v>
      </c>
      <c r="I34" s="32"/>
      <c r="J34" s="102">
        <v>4400</v>
      </c>
      <c r="K34" s="31">
        <v>53658.536585365859</v>
      </c>
      <c r="L34" s="103">
        <v>8.1999999999999993</v>
      </c>
      <c r="M34" s="32"/>
      <c r="N34" s="102">
        <v>6400</v>
      </c>
      <c r="O34" s="31">
        <v>54237.288135593219</v>
      </c>
      <c r="P34" s="103">
        <v>11.8</v>
      </c>
    </row>
    <row r="35" spans="1:17" s="29" customFormat="1" ht="15" customHeight="1">
      <c r="A35" s="33" t="s">
        <v>40</v>
      </c>
      <c r="B35" s="102">
        <v>1800</v>
      </c>
      <c r="C35" s="31">
        <v>12080.536912751679</v>
      </c>
      <c r="D35" s="103">
        <v>14.9</v>
      </c>
      <c r="E35" s="32"/>
      <c r="F35" s="102">
        <v>700</v>
      </c>
      <c r="G35" s="31">
        <v>13461.538461538461</v>
      </c>
      <c r="H35" s="103">
        <v>5.2</v>
      </c>
      <c r="I35" s="32"/>
      <c r="J35" s="102">
        <v>1500</v>
      </c>
      <c r="K35" s="31">
        <v>11538.461538461537</v>
      </c>
      <c r="L35" s="103">
        <v>13</v>
      </c>
      <c r="M35" s="32"/>
      <c r="N35" s="102">
        <v>1000</v>
      </c>
      <c r="O35" s="31">
        <v>12048.192771084337</v>
      </c>
      <c r="P35" s="103">
        <v>8.3000000000000007</v>
      </c>
    </row>
    <row r="36" spans="1:17" s="29" customFormat="1" ht="15" customHeight="1">
      <c r="A36" s="33" t="s">
        <v>41</v>
      </c>
      <c r="B36" s="102">
        <v>4000</v>
      </c>
      <c r="C36" s="31">
        <v>50632.911392405062</v>
      </c>
      <c r="D36" s="103">
        <v>7.9</v>
      </c>
      <c r="E36" s="32"/>
      <c r="F36" s="102">
        <v>4800</v>
      </c>
      <c r="G36" s="31">
        <v>47058.823529411769</v>
      </c>
      <c r="H36" s="103">
        <v>10.199999999999999</v>
      </c>
      <c r="I36" s="32"/>
      <c r="J36" s="102">
        <v>3200</v>
      </c>
      <c r="K36" s="31">
        <v>50000</v>
      </c>
      <c r="L36" s="103">
        <v>6.4</v>
      </c>
      <c r="M36" s="32"/>
      <c r="N36" s="102">
        <v>4700</v>
      </c>
      <c r="O36" s="31">
        <v>47959.183673469386</v>
      </c>
      <c r="P36" s="103">
        <v>9.8000000000000007</v>
      </c>
    </row>
    <row r="37" spans="1:17" s="29" customFormat="1" ht="15" customHeight="1">
      <c r="A37" s="33" t="s">
        <v>42</v>
      </c>
      <c r="B37" s="102">
        <v>9500</v>
      </c>
      <c r="C37" s="31">
        <v>153225.80645161291</v>
      </c>
      <c r="D37" s="103">
        <v>6.2</v>
      </c>
      <c r="E37" s="32"/>
      <c r="F37" s="102">
        <v>5900</v>
      </c>
      <c r="G37" s="31">
        <v>155263.15789473685</v>
      </c>
      <c r="H37" s="103">
        <v>3.8</v>
      </c>
      <c r="I37" s="32"/>
      <c r="J37" s="102">
        <v>6700</v>
      </c>
      <c r="K37" s="31">
        <v>152272.72727272726</v>
      </c>
      <c r="L37" s="103">
        <v>4.4000000000000004</v>
      </c>
      <c r="M37" s="32"/>
      <c r="N37" s="102">
        <v>11300</v>
      </c>
      <c r="O37" s="31">
        <v>154794.52054794523</v>
      </c>
      <c r="P37" s="103">
        <v>7.3</v>
      </c>
    </row>
    <row r="38" spans="1:17" s="29" customFormat="1" ht="15" customHeight="1">
      <c r="A38" s="33" t="s">
        <v>43</v>
      </c>
      <c r="B38" s="102">
        <v>2900</v>
      </c>
      <c r="C38" s="31">
        <v>44615.384615384617</v>
      </c>
      <c r="D38" s="103">
        <v>6.5</v>
      </c>
      <c r="E38" s="32"/>
      <c r="F38" s="102">
        <v>3000</v>
      </c>
      <c r="G38" s="31">
        <v>44117.647058823524</v>
      </c>
      <c r="H38" s="103">
        <v>6.8</v>
      </c>
      <c r="I38" s="32"/>
      <c r="J38" s="102">
        <v>3100</v>
      </c>
      <c r="K38" s="31">
        <v>45588.235294117643</v>
      </c>
      <c r="L38" s="103">
        <v>6.8</v>
      </c>
      <c r="M38" s="32"/>
      <c r="N38" s="102">
        <v>3200</v>
      </c>
      <c r="O38" s="31">
        <v>45070.42253521127</v>
      </c>
      <c r="P38" s="103">
        <v>7.1</v>
      </c>
    </row>
    <row r="39" spans="1:17" s="29" customFormat="1" ht="15" customHeight="1">
      <c r="A39" s="33" t="s">
        <v>44</v>
      </c>
      <c r="B39" s="102">
        <v>3200</v>
      </c>
      <c r="C39" s="31">
        <v>41025.641025641024</v>
      </c>
      <c r="D39" s="103">
        <v>7.8</v>
      </c>
      <c r="E39" s="32"/>
      <c r="F39" s="102">
        <v>2900</v>
      </c>
      <c r="G39" s="31">
        <v>40845.070422535216</v>
      </c>
      <c r="H39" s="103">
        <v>7.1</v>
      </c>
      <c r="I39" s="32"/>
      <c r="J39" s="102">
        <v>3400</v>
      </c>
      <c r="K39" s="31">
        <v>41975.308641975309</v>
      </c>
      <c r="L39" s="103">
        <v>8.1</v>
      </c>
      <c r="M39" s="32"/>
      <c r="N39" s="102">
        <v>2500</v>
      </c>
      <c r="O39" s="31">
        <v>41666.666666666672</v>
      </c>
      <c r="P39" s="103">
        <v>6</v>
      </c>
    </row>
    <row r="40" spans="1:17" s="29" customFormat="1" ht="15" customHeight="1">
      <c r="A40" s="30" t="s">
        <v>45</v>
      </c>
      <c r="B40" s="102">
        <v>7700</v>
      </c>
      <c r="C40" s="31">
        <v>90588.235294117636</v>
      </c>
      <c r="D40" s="103">
        <v>8.5</v>
      </c>
      <c r="E40" s="32"/>
      <c r="F40" s="102">
        <v>6000</v>
      </c>
      <c r="G40" s="31">
        <v>88235.294117647049</v>
      </c>
      <c r="H40" s="103">
        <v>6.8</v>
      </c>
      <c r="I40" s="32"/>
      <c r="J40" s="102">
        <v>3900</v>
      </c>
      <c r="K40" s="31">
        <v>92857.142857142855</v>
      </c>
      <c r="L40" s="103">
        <v>4.2</v>
      </c>
      <c r="M40" s="32"/>
      <c r="N40" s="102">
        <v>6100</v>
      </c>
      <c r="O40" s="31">
        <v>89705.882352941175</v>
      </c>
      <c r="P40" s="103">
        <v>6.8</v>
      </c>
    </row>
    <row r="41" spans="1:17" s="29" customFormat="1" ht="15" customHeight="1">
      <c r="A41" s="33"/>
      <c r="B41" s="102"/>
      <c r="C41" s="31"/>
      <c r="D41" s="103"/>
      <c r="E41" s="32"/>
      <c r="F41" s="102"/>
      <c r="G41" s="31"/>
      <c r="H41" s="103"/>
      <c r="I41" s="32"/>
      <c r="J41" s="102"/>
      <c r="K41" s="31"/>
      <c r="L41" s="103"/>
      <c r="M41" s="32"/>
      <c r="N41" s="102"/>
      <c r="O41" s="31"/>
      <c r="P41" s="103"/>
    </row>
    <row r="42" spans="1:17" s="29" customFormat="1" ht="15" customHeight="1">
      <c r="A42" s="33" t="s">
        <v>46</v>
      </c>
      <c r="B42" s="102">
        <v>208600</v>
      </c>
      <c r="C42" s="31">
        <v>2607500</v>
      </c>
      <c r="D42" s="103">
        <v>8</v>
      </c>
      <c r="E42" s="32"/>
      <c r="F42" s="102">
        <v>193500</v>
      </c>
      <c r="G42" s="31">
        <v>2614864.8648648644</v>
      </c>
      <c r="H42" s="103">
        <v>7.4</v>
      </c>
      <c r="I42" s="32"/>
      <c r="J42" s="102">
        <v>187400</v>
      </c>
      <c r="K42" s="31">
        <v>2639436.61971831</v>
      </c>
      <c r="L42" s="103">
        <v>7.1</v>
      </c>
      <c r="M42" s="32"/>
      <c r="N42" s="102">
        <v>210200</v>
      </c>
      <c r="O42" s="31">
        <v>2595061.7283950616</v>
      </c>
      <c r="P42" s="103">
        <v>8.1</v>
      </c>
    </row>
    <row r="43" spans="1:17" customFormat="1" ht="15">
      <c r="A43" s="10" t="s">
        <v>156</v>
      </c>
      <c r="B43" s="287" cm="1">
        <f t="array" ref="B43">SUM(SUMIFS(B$10:B$42,$A$10:$A$42,{"Aberdeen City","Aberdeenshire"}))</f>
        <v>12100</v>
      </c>
      <c r="C43" s="287" cm="1">
        <f t="array" ref="C43">SUM(SUMIFS(C$10:C$42,$A$10:$A$42,{"Aberdeen City","Aberdeenshire"}))</f>
        <v>137500</v>
      </c>
      <c r="D43" s="286">
        <f t="shared" ref="D43:D51" si="0">SUM(B43/C43)*100</f>
        <v>8.7999999999999989</v>
      </c>
      <c r="E43" s="15"/>
      <c r="F43" s="287" cm="1">
        <f t="array" ref="F43">SUM(SUMIFS(F$10:F$42,$A$10:$A$42,{"Aberdeen City","Aberdeenshire"}))</f>
        <v>7500</v>
      </c>
      <c r="G43" s="287" cm="1">
        <f t="array" ref="G43">SUM(SUMIFS(G$10:G$42,$A$10:$A$42,{"Aberdeen City","Aberdeenshire"}))</f>
        <v>131578.94736842104</v>
      </c>
      <c r="H43" s="286">
        <f t="shared" ref="H43:H51" si="1">SUM(F43/G43)*100</f>
        <v>5.7000000000000011</v>
      </c>
      <c r="I43" s="15"/>
      <c r="J43" s="287" cm="1">
        <f t="array" ref="J43">SUM(SUMIFS(J$10:J$42,$A$10:$A$42,{"Aberdeen City","Aberdeenshire"}))</f>
        <v>7900</v>
      </c>
      <c r="K43" s="287" cm="1">
        <f t="array" ref="K43">SUM(SUMIFS(K$10:K$42,$A$10:$A$42,{"Aberdeen City","Aberdeenshire"}))</f>
        <v>136206.89655172414</v>
      </c>
      <c r="L43" s="286">
        <f t="shared" ref="L43:L51" si="2">SUM(J43/K43)*100</f>
        <v>5.8</v>
      </c>
      <c r="M43" s="15"/>
      <c r="N43" s="287" cm="1">
        <f t="array" ref="N43">SUM(SUMIFS(N$10:N$42,$A$10:$A$42,{"Aberdeen City","Aberdeenshire"}))</f>
        <v>9600</v>
      </c>
      <c r="O43" s="287" cm="1">
        <f t="array" ref="O43">SUM(SUMIFS(O$10:O$42,$A$10:$A$42,{"Aberdeen City","Aberdeenshire"}))</f>
        <v>137142.85714285713</v>
      </c>
      <c r="P43" s="286">
        <f t="shared" ref="P43:P51" si="3">SUM(N43/O43)*100</f>
        <v>7.0000000000000009</v>
      </c>
      <c r="Q43" s="15"/>
    </row>
    <row r="44" spans="1:17" customFormat="1" ht="15">
      <c r="A44" s="10" t="s">
        <v>359</v>
      </c>
      <c r="B44" s="285" cm="1">
        <f t="array" ref="B44">SUM(SUMIFS(B$9:B$41,$A$9:$A$41,{"Falkirk","Stirling","Clackmannanshire"}))</f>
        <v>10700</v>
      </c>
      <c r="C44" s="285" cm="1">
        <f t="array" ref="C44">SUM(SUMIFS(C$9:C$41,$A$9:$A$41,{"Falkirk","Stirling","Clackmannanshire"}))</f>
        <v>144755.12038774235</v>
      </c>
      <c r="D44" s="288">
        <f t="shared" ref="D44" si="4">SUM(B44/C44)*100</f>
        <v>7.3917937903259556</v>
      </c>
      <c r="E44" s="7"/>
      <c r="F44" s="285" cm="1">
        <f t="array" ref="F44">SUM(SUMIFS(F$9:F$41,$A$9:$A$41,{"Falkirk","Stirling","Clackmannanshire"}))</f>
        <v>10000</v>
      </c>
      <c r="G44" s="285" cm="1">
        <f t="array" ref="G44">SUM(SUMIFS(G$9:G$41,$A$9:$A$41,{"Falkirk","Stirling","Clackmannanshire"}))</f>
        <v>144287.68295529054</v>
      </c>
      <c r="H44" s="288">
        <f t="shared" ref="H44" si="5">SUM(F44/G44)*100</f>
        <v>6.9305985065257678</v>
      </c>
      <c r="I44" s="7"/>
      <c r="J44" s="285" cm="1">
        <f t="array" ref="J44">SUM(SUMIFS(J$9:J$41,$A$9:$A$41,{"Falkirk","Stirling","Clackmannanshire"}))</f>
        <v>8900</v>
      </c>
      <c r="K44" s="285" cm="1">
        <f t="array" ref="K44">SUM(SUMIFS(K$9:K$41,$A$9:$A$41,{"Falkirk","Stirling","Clackmannanshire"}))</f>
        <v>146707.63827919227</v>
      </c>
      <c r="L44" s="288">
        <f t="shared" ref="L44" si="6">SUM(J44/K44)*100</f>
        <v>6.0664871334530224</v>
      </c>
      <c r="M44" s="7"/>
      <c r="N44" s="285" cm="1">
        <f t="array" ref="N44">SUM(SUMIFS(N$9:N$41,$A$9:$A$41,{"Falkirk","Stirling","Clackmannanshire"}))</f>
        <v>8500</v>
      </c>
      <c r="O44" s="285" cm="1">
        <f t="array" ref="O44">SUM(SUMIFS(O$9:O$41,$A$9:$A$41,{"Falkirk","Stirling","Clackmannanshire"}))</f>
        <v>147905.61066451704</v>
      </c>
      <c r="P44" s="288">
        <f t="shared" ref="P44" si="7">SUM(N44/O44)*100</f>
        <v>5.7469084247790292</v>
      </c>
      <c r="Q44" s="7"/>
    </row>
    <row r="45" spans="1:17" customFormat="1" ht="15">
      <c r="A45" s="10" t="s">
        <v>157</v>
      </c>
      <c r="B45" s="285" cm="1">
        <f t="array" ref="B45">SUM(SUMIFS(B$10:B$42,$A$10:$A$42,{"East Lothian","Edinburgh, City of","Fife","Midlothian","Scottish Borders","West Lothian"}))</f>
        <v>56700</v>
      </c>
      <c r="C45" s="285" cm="1">
        <f t="array" ref="C45">SUM(SUMIFS(C$10:C$42,$A$10:$A$42,{"East Lothian","Edinburgh, City of","Fife","Midlothian","Scottish Borders","West Lothian"}))</f>
        <v>680296.47870653018</v>
      </c>
      <c r="D45" s="286">
        <f t="shared" si="0"/>
        <v>8.3346014237506498</v>
      </c>
      <c r="E45" s="15"/>
      <c r="F45" s="285" cm="1">
        <f t="array" ref="F45">SUM(SUMIFS(F$10:F$42,$A$10:$A$42,{"East Lothian","Edinburgh, City of","Fife","Midlothian","Scottish Borders","West Lothian"}))</f>
        <v>51900</v>
      </c>
      <c r="G45" s="285" cm="1">
        <f t="array" ref="G45">SUM(SUMIFS(G$10:G$42,$A$10:$A$42,{"East Lothian","Edinburgh, City of","Fife","Midlothian","Scottish Borders","West Lothian"}))</f>
        <v>689774.94336978346</v>
      </c>
      <c r="H45" s="286">
        <f t="shared" si="1"/>
        <v>7.5241932892561998</v>
      </c>
      <c r="I45" s="15"/>
      <c r="J45" s="285" cm="1">
        <f t="array" ref="J45">SUM(SUMIFS(J$10:J$42,$A$10:$A$42,{"East Lothian","Edinburgh, City of","Fife","Midlothian","Scottish Borders","West Lothian"}))</f>
        <v>48400</v>
      </c>
      <c r="K45" s="285" cm="1">
        <f t="array" ref="K45">SUM(SUMIFS(K$10:K$42,$A$10:$A$42,{"East Lothian","Edinburgh, City of","Fife","Midlothian","Scottish Borders","West Lothian"}))</f>
        <v>685066.33536158572</v>
      </c>
      <c r="L45" s="286">
        <f t="shared" si="2"/>
        <v>7.0650092555568271</v>
      </c>
      <c r="M45" s="15"/>
      <c r="N45" s="285" cm="1">
        <f t="array" ref="N45">SUM(SUMIFS(N$10:N$42,$A$10:$A$42,{"East Lothian","Edinburgh, City of","Fife","Midlothian","Scottish Borders","West Lothian"}))</f>
        <v>63300</v>
      </c>
      <c r="O45" s="285" cm="1">
        <f t="array" ref="O45">SUM(SUMIFS(O$10:O$42,$A$10:$A$42,{"East Lothian","Edinburgh, City of","Fife","Midlothian","Scottish Borders","West Lothian"}))</f>
        <v>672481.89367011469</v>
      </c>
      <c r="P45" s="286">
        <f t="shared" si="3"/>
        <v>9.4128928370897889</v>
      </c>
      <c r="Q45" s="15"/>
    </row>
    <row r="46" spans="1:17" customFormat="1" ht="15">
      <c r="A46" s="10" t="s">
        <v>158</v>
      </c>
      <c r="B46" s="285" cm="1">
        <f t="array" ref="B46">SUM(SUMIFS(B$10:B$42,$A$10:$A$42,{"Angus","Dundee City","Fife","Perth and Kinross"}))</f>
        <v>31900</v>
      </c>
      <c r="C46" s="285" cm="1">
        <f t="array" ref="C46">SUM(SUMIFS(C$10:C$42,$A$10:$A$42,{"Angus","Dundee City","Fife","Perth and Kinross"}))</f>
        <v>362626.26262626261</v>
      </c>
      <c r="D46" s="286">
        <f t="shared" si="0"/>
        <v>8.7969359331476333</v>
      </c>
      <c r="E46" s="15"/>
      <c r="F46" s="285" cm="1">
        <f t="array" ref="F46">SUM(SUMIFS(F$10:F$42,$A$10:$A$42,{"Angus","Dundee City","Fife","Perth and Kinross"}))</f>
        <v>29400</v>
      </c>
      <c r="G46" s="285" cm="1">
        <f t="array" ref="G46">SUM(SUMIFS(G$10:G$42,$A$10:$A$42,{"Angus","Dundee City","Fife","Perth and Kinross"}))</f>
        <v>365862.95459865005</v>
      </c>
      <c r="H46" s="286">
        <f t="shared" si="1"/>
        <v>8.0357958165651571</v>
      </c>
      <c r="I46" s="15"/>
      <c r="J46" s="285" cm="1">
        <f t="array" ref="J46">SUM(SUMIFS(J$10:J$42,$A$10:$A$42,{"Angus","Dundee City","Fife","Perth and Kinross"}))</f>
        <v>30000</v>
      </c>
      <c r="K46" s="285" cm="1">
        <f t="array" ref="K46">SUM(SUMIFS(K$10:K$42,$A$10:$A$42,{"Angus","Dundee City","Fife","Perth and Kinross"}))</f>
        <v>368676.90058479528</v>
      </c>
      <c r="L46" s="286">
        <f t="shared" si="2"/>
        <v>8.1372063051452379</v>
      </c>
      <c r="M46" s="15"/>
      <c r="N46" s="285" cm="1">
        <f t="array" ref="N46">SUM(SUMIFS(N$10:N$42,$A$10:$A$42,{"Angus","Dundee City","Fife","Perth and Kinross"}))</f>
        <v>34100</v>
      </c>
      <c r="O46" s="285" cm="1">
        <f t="array" ref="O46">SUM(SUMIFS(O$10:O$42,$A$10:$A$42,{"Angus","Dundee City","Fife","Perth and Kinross"}))</f>
        <v>351640.91118013283</v>
      </c>
      <c r="P46" s="286">
        <f t="shared" si="3"/>
        <v>9.6973926854977943</v>
      </c>
      <c r="Q46" s="15"/>
    </row>
    <row r="47" spans="1:17" s="29" customFormat="1" ht="15" customHeight="1">
      <c r="A47" s="10" t="s">
        <v>246</v>
      </c>
      <c r="B47" s="285" cm="1">
        <f t="array" ref="B47">SUM(SUMIFS(B$9:B$41,$A$9:$A$41,{"Na h-Eileanan Siar","Argyll and Bute","Shetland Islands","Highland","Orkney Islands","Scottish Borders","Dumfries and Galloway","Aberdeenshire"}))</f>
        <v>41700</v>
      </c>
      <c r="C47" s="285">
        <f>SUM(SUMIFS(C$9:C$41,$A$9:$A$41,{"Na h-Eileanan Siar","Argyll and Bute","Shetland Islands","Highland","Orkney Islands","Scottish Borders","Dumfries and Galloway","Aberdeenshire"}))</f>
        <v>455208.96886075172</v>
      </c>
      <c r="D47" s="288">
        <f t="shared" ref="D47:D50" si="8">SUM(B47/C47)*100</f>
        <v>9.1606279428901196</v>
      </c>
      <c r="E47" s="7"/>
      <c r="F47" s="285">
        <f>SUM(SUMIFS(F$9:F$41,$A$9:$A$41,{"Na h-Eileanan Siar","Argyll and Bute","Shetland Islands","Highland","Orkney Islands","Scottish Borders","Dumfries and Galloway","Aberdeenshire"}))</f>
        <v>32900</v>
      </c>
      <c r="G47" s="285">
        <f>SUM(SUMIFS(G$9:G$41,$A$9:$A$41,{"Na h-Eileanan Siar","Argyll and Bute","Shetland Islands","Highland","Orkney Islands","Scottish Borders","Dumfries and Galloway","Aberdeenshire"}))</f>
        <v>444243.49908209254</v>
      </c>
      <c r="H47" s="288">
        <f t="shared" ref="H47:H50" si="9">SUM(F47/G47)*100</f>
        <v>7.4058483844960774</v>
      </c>
      <c r="I47" s="7"/>
      <c r="J47" s="285">
        <f>SUM(SUMIFS(J$9:J$41,$A$9:$A$41,{"Na h-Eileanan Siar","Argyll and Bute","Shetland Islands","Highland","Orkney Islands","Scottish Borders","Dumfries and Galloway","Aberdeenshire"}))</f>
        <v>32900</v>
      </c>
      <c r="K47" s="285">
        <f>SUM(SUMIFS(K$9:K$41,$A$9:$A$41,{"Na h-Eileanan Siar","Argyll and Bute","Shetland Islands","Highland","Orkney Islands","Scottish Borders","Dumfries and Galloway","Aberdeenshire"}))</f>
        <v>451127.40006919682</v>
      </c>
      <c r="L47" s="288">
        <f t="shared" ref="L47:L50" si="10">SUM(J47/K47)*100</f>
        <v>7.292840114556018</v>
      </c>
      <c r="M47" s="7"/>
      <c r="N47" s="285">
        <f>SUM(SUMIFS(N$9:N$41,$A$9:$A$41,{"Na h-Eileanan Siar","Argyll and Bute","Shetland Islands","Highland","Orkney Islands","Scottish Borders","Dumfries and Galloway","Aberdeenshire"}))</f>
        <v>32900</v>
      </c>
      <c r="O47" s="285">
        <f>SUM(SUMIFS(O$9:O$41,$A$9:$A$41,{"Na h-Eileanan Siar","Argyll and Bute","Shetland Islands","Highland","Orkney Islands","Scottish Borders","Dumfries and Galloway","Aberdeenshire"}))</f>
        <v>441108.57668215432</v>
      </c>
      <c r="P47" s="288">
        <f t="shared" ref="P47:P50" si="11">SUM(N47/O47)*100</f>
        <v>7.4584811402809024</v>
      </c>
      <c r="Q47" s="32"/>
    </row>
    <row r="48" spans="1:17" s="29" customFormat="1" ht="15" customHeight="1">
      <c r="A48" s="10" t="s">
        <v>247</v>
      </c>
      <c r="B48" s="285">
        <f>SUM(SUMIFS(B$9:B$41,$A$9:$A$41,{"Perth and Kinross","Stirling","Moray","South Ayrshire","East Ayrshire","East Lothian","North Ayrshire","Fife"}))</f>
        <v>48800</v>
      </c>
      <c r="C48" s="285">
        <f>SUM(SUMIFS(C$9:C$41,$A$9:$A$41,{"Perth and Kinross","Stirling","Moray","South Ayrshire","East Ayrshire","East Lothian","North Ayrshire","Fife"}))</f>
        <v>547049.98082347144</v>
      </c>
      <c r="D48" s="288">
        <f t="shared" si="8"/>
        <v>8.9205743004581812</v>
      </c>
      <c r="E48" s="7"/>
      <c r="F48" s="285">
        <f>SUM(SUMIFS(F$9:F$41,$A$9:$A$41,{"Perth and Kinross","Stirling","Moray","South Ayrshire","East Ayrshire","East Lothian","North Ayrshire","Fife"}))</f>
        <v>45300</v>
      </c>
      <c r="G48" s="285">
        <f>SUM(SUMIFS(G$9:G$41,$A$9:$A$41,{"Perth and Kinross","Stirling","Moray","South Ayrshire","East Ayrshire","East Lothian","North Ayrshire","Fife"}))</f>
        <v>549165.19691773644</v>
      </c>
      <c r="H48" s="288">
        <f t="shared" si="9"/>
        <v>8.2488839886890766</v>
      </c>
      <c r="I48" s="7"/>
      <c r="J48" s="285">
        <f>SUM(SUMIFS(J$9:J$41,$A$9:$A$41,{"Perth and Kinross","Stirling","Moray","South Ayrshire","East Ayrshire","East Lothian","North Ayrshire","Fife"}))</f>
        <v>40400</v>
      </c>
      <c r="K48" s="285">
        <f>SUM(SUMIFS(K$9:K$41,$A$9:$A$41,{"Perth and Kinross","Stirling","Moray","South Ayrshire","East Ayrshire","East Lothian","North Ayrshire","Fife"}))</f>
        <v>557907.91321834549</v>
      </c>
      <c r="L48" s="288">
        <f t="shared" si="10"/>
        <v>7.2413384077936289</v>
      </c>
      <c r="M48" s="7"/>
      <c r="N48" s="285">
        <f>SUM(SUMIFS(N$9:N$41,$A$9:$A$41,{"Perth and Kinross","Stirling","Moray","South Ayrshire","East Ayrshire","East Lothian","North Ayrshire","Fife"}))</f>
        <v>50200</v>
      </c>
      <c r="O48" s="285">
        <f>SUM(SUMIFS(O$9:O$41,$A$9:$A$41,{"Perth and Kinross","Stirling","Moray","South Ayrshire","East Ayrshire","East Lothian","North Ayrshire","Fife"}))</f>
        <v>532416.68866302213</v>
      </c>
      <c r="P48" s="288">
        <f t="shared" si="11"/>
        <v>9.4287051981897303</v>
      </c>
      <c r="Q48" s="32"/>
    </row>
    <row r="49" spans="1:17" s="29" customFormat="1" ht="15" customHeight="1">
      <c r="A49" s="10" t="s">
        <v>248</v>
      </c>
      <c r="B49" s="285">
        <f>SUM(SUMIFS(B$9:B$41,$A$9:$A$41,{"Angus","Clackmannanshire","Midlothian","South Lanarkshire","Inverclyde","Renfrewshire","West Lothian","East Renfrewshire"}))</f>
        <v>43600</v>
      </c>
      <c r="C49" s="285">
        <f>SUM(SUMIFS(C$9:C$41,$A$9:$A$41,{"Angus","Clackmannanshire","Midlothian","South Lanarkshire","Inverclyde","Renfrewshire","West Lothian","East Renfrewshire"}))</f>
        <v>531693.76166964357</v>
      </c>
      <c r="D49" s="288">
        <f t="shared" si="8"/>
        <v>8.2002090570116408</v>
      </c>
      <c r="E49" s="7"/>
      <c r="F49" s="285">
        <f>SUM(SUMIFS(F$9:F$41,$A$9:$A$41,{"Angus","Clackmannanshire","Midlothian","South Lanarkshire","Inverclyde","Renfrewshire","West Lothian","East Renfrewshire"}))</f>
        <v>33500</v>
      </c>
      <c r="G49" s="285">
        <f>SUM(SUMIFS(G$9:G$41,$A$9:$A$41,{"Angus","Clackmannanshire","Midlothian","South Lanarkshire","Inverclyde","Renfrewshire","West Lothian","East Renfrewshire"}))</f>
        <v>532858.51420326717</v>
      </c>
      <c r="H49" s="288">
        <f t="shared" si="9"/>
        <v>6.2868470911249998</v>
      </c>
      <c r="I49" s="7"/>
      <c r="J49" s="285">
        <f>SUM(SUMIFS(J$9:J$41,$A$9:$A$41,{"Angus","Clackmannanshire","Midlothian","South Lanarkshire","Inverclyde","Renfrewshire","West Lothian","East Renfrewshire"}))</f>
        <v>32400</v>
      </c>
      <c r="K49" s="285">
        <f>SUM(SUMIFS(K$9:K$41,$A$9:$A$41,{"Angus","Clackmannanshire","Midlothian","South Lanarkshire","Inverclyde","Renfrewshire","West Lothian","East Renfrewshire"}))</f>
        <v>534631.90265019529</v>
      </c>
      <c r="L49" s="288">
        <f t="shared" si="10"/>
        <v>6.060244411040884</v>
      </c>
      <c r="M49" s="7"/>
      <c r="N49" s="285">
        <f>SUM(SUMIFS(N$9:N$41,$A$9:$A$41,{"Angus","Clackmannanshire","Midlothian","South Lanarkshire","Inverclyde","Renfrewshire","West Lothian","East Renfrewshire"}))</f>
        <v>43300</v>
      </c>
      <c r="O49" s="285">
        <f>SUM(SUMIFS(O$9:O$41,$A$9:$A$41,{"Angus","Clackmannanshire","Midlothian","South Lanarkshire","Inverclyde","Renfrewshire","West Lothian","East Renfrewshire"}))</f>
        <v>528161.37115344289</v>
      </c>
      <c r="P49" s="288">
        <f t="shared" si="11"/>
        <v>8.1982519670906342</v>
      </c>
      <c r="Q49" s="32"/>
    </row>
    <row r="50" spans="1:17" s="29" customFormat="1" ht="15" customHeight="1">
      <c r="A50" s="10" t="s">
        <v>249</v>
      </c>
      <c r="B50" s="285">
        <f>SUM(SUMIFS(B$9:B$41,$A$9:$A$41,{"North Lanarkshire","Falkirk","East Dunbartonshire","Aberdeen City","Edinburgh, City of","West Dunbartonshire","Dundee City","Glasgow City"}))</f>
        <v>74500</v>
      </c>
      <c r="C50" s="285">
        <f>SUM(SUMIFS(C$9:C$41,$A$9:$A$41,{"North Lanarkshire","Falkirk","East Dunbartonshire","Aberdeen City","Edinburgh, City of","West Dunbartonshire","Dundee City","Glasgow City"}))</f>
        <v>1068289.9903459114</v>
      </c>
      <c r="D50" s="288">
        <f t="shared" si="8"/>
        <v>6.9737618692726837</v>
      </c>
      <c r="E50" s="7"/>
      <c r="F50" s="285">
        <f>SUM(SUMIFS(F$9:F$41,$A$9:$A$41,{"North Lanarkshire","Falkirk","East Dunbartonshire","Aberdeen City","Edinburgh, City of","West Dunbartonshire","Dundee City","Glasgow City"}))</f>
        <v>81700</v>
      </c>
      <c r="G50" s="285">
        <f>SUM(SUMIFS(G$9:G$41,$A$9:$A$41,{"North Lanarkshire","Falkirk","East Dunbartonshire","Aberdeen City","Edinburgh, City of","West Dunbartonshire","Dundee City","Glasgow City"}))</f>
        <v>1073366.6683673901</v>
      </c>
      <c r="H50" s="288">
        <f t="shared" si="9"/>
        <v>7.6115648461738763</v>
      </c>
      <c r="I50" s="7"/>
      <c r="J50" s="285">
        <f>SUM(SUMIFS(J$9:J$41,$A$9:$A$41,{"North Lanarkshire","Falkirk","East Dunbartonshire","Aberdeen City","Edinburgh, City of","West Dunbartonshire","Dundee City","Glasgow City"}))</f>
        <v>81800</v>
      </c>
      <c r="K50" s="285">
        <f>SUM(SUMIFS(K$9:K$41,$A$9:$A$41,{"North Lanarkshire","Falkirk","East Dunbartonshire","Aberdeen City","Edinburgh, City of","West Dunbartonshire","Dundee City","Glasgow City"}))</f>
        <v>1093135.9144594825</v>
      </c>
      <c r="L50" s="288">
        <f t="shared" si="10"/>
        <v>7.4830585033378245</v>
      </c>
      <c r="M50" s="7"/>
      <c r="N50" s="285">
        <f>SUM(SUMIFS(N$9:N$41,$A$9:$A$41,{"North Lanarkshire","Falkirk","East Dunbartonshire","Aberdeen City","Edinburgh, City of","West Dunbartonshire","Dundee City","Glasgow City"}))</f>
        <v>83700</v>
      </c>
      <c r="O50" s="285">
        <f>SUM(SUMIFS(O$9:O$41,$A$9:$A$41,{"North Lanarkshire","Falkirk","East Dunbartonshire","Aberdeen City","Edinburgh, City of","West Dunbartonshire","Dundee City","Glasgow City"}))</f>
        <v>1087367.4315840674</v>
      </c>
      <c r="P50" s="288">
        <f t="shared" si="11"/>
        <v>7.6974900635074732</v>
      </c>
      <c r="Q50" s="32"/>
    </row>
    <row r="51" spans="1:17" s="29" customFormat="1" ht="15" customHeight="1">
      <c r="A51" s="34" t="s">
        <v>48</v>
      </c>
      <c r="B51" s="299">
        <f>SUM(B39+B37+B33+B30+B25+B23+B19+B17)</f>
        <v>62700</v>
      </c>
      <c r="C51" s="299">
        <f>SUM(C39+C37+C33+C30+C25+C23+C19+C17)</f>
        <v>859537.45103338128</v>
      </c>
      <c r="D51" s="300">
        <f t="shared" si="0"/>
        <v>7.2946210691132478</v>
      </c>
      <c r="E51" s="32"/>
      <c r="F51" s="299">
        <f>SUM(F39+F37+F33+F30+F25+F23+F19+F17)</f>
        <v>56400</v>
      </c>
      <c r="G51" s="299">
        <f>SUM(G39+G37+G33+G30+G25+G23+G19+G17)</f>
        <v>858085.55366121477</v>
      </c>
      <c r="H51" s="300">
        <f t="shared" si="1"/>
        <v>6.5727711834043507</v>
      </c>
      <c r="I51" s="32"/>
      <c r="J51" s="299">
        <f>SUM(J39+J37+J33+J30+J25+J23+J19+J17)</f>
        <v>57600</v>
      </c>
      <c r="K51" s="299">
        <f>SUM(K39+K37+K33+K30+K25+K23+K19+K17)</f>
        <v>870238.63968851313</v>
      </c>
      <c r="L51" s="300">
        <f t="shared" si="2"/>
        <v>6.6188741079822577</v>
      </c>
      <c r="M51" s="32"/>
      <c r="N51" s="299">
        <f>SUM(N39+N37+N33+N30+N25+N23+N19+N17)</f>
        <v>64500</v>
      </c>
      <c r="O51" s="299">
        <f>SUM(O39+O37+O33+O30+O25+O23+O19+O17)</f>
        <v>872585.61545795284</v>
      </c>
      <c r="P51" s="300">
        <f t="shared" si="3"/>
        <v>7.391824808634845</v>
      </c>
    </row>
    <row r="52" spans="1:17" ht="15" customHeight="1">
      <c r="A52" s="28"/>
      <c r="B52" s="27"/>
      <c r="C52" s="27"/>
      <c r="D52" s="27"/>
      <c r="E52" s="27"/>
      <c r="F52" s="27"/>
      <c r="G52" s="27"/>
      <c r="H52" s="27"/>
      <c r="I52" s="27"/>
      <c r="J52" s="27"/>
      <c r="K52" s="27"/>
      <c r="L52" s="27"/>
      <c r="M52" s="27"/>
      <c r="N52" s="27"/>
      <c r="O52" s="27"/>
      <c r="P52" s="27"/>
    </row>
    <row r="53" spans="1:17" ht="15" customHeight="1">
      <c r="A53" s="40" t="s">
        <v>125</v>
      </c>
    </row>
    <row r="54" spans="1:17" ht="15" customHeight="1">
      <c r="A54" s="26" t="s">
        <v>124</v>
      </c>
    </row>
    <row r="55" spans="1:17" ht="15" customHeight="1">
      <c r="A55" s="41" t="s">
        <v>123</v>
      </c>
    </row>
    <row r="56" spans="1:17" ht="15" customHeight="1">
      <c r="A56" s="41" t="s">
        <v>122</v>
      </c>
    </row>
    <row r="57" spans="1:17" ht="15" customHeight="1">
      <c r="A57" s="41" t="s">
        <v>121</v>
      </c>
    </row>
    <row r="58" spans="1:17" ht="15" customHeight="1">
      <c r="A58" s="41" t="s">
        <v>120</v>
      </c>
    </row>
    <row r="59" spans="1:17" ht="15" customHeight="1">
      <c r="A59" s="41" t="s">
        <v>119</v>
      </c>
    </row>
    <row r="60" spans="1:17" ht="15" customHeight="1">
      <c r="A60" s="41" t="s">
        <v>118</v>
      </c>
    </row>
    <row r="61" spans="1:17" ht="15" customHeight="1">
      <c r="A61" s="41" t="s">
        <v>117</v>
      </c>
    </row>
    <row r="62" spans="1:17" ht="15" customHeight="1">
      <c r="A62" s="41" t="s">
        <v>116</v>
      </c>
    </row>
    <row r="63" spans="1:17" ht="15" customHeight="1">
      <c r="A63" s="41" t="s">
        <v>115</v>
      </c>
    </row>
    <row r="64" spans="1:17" ht="15" customHeight="1">
      <c r="A64" s="42" t="s">
        <v>114</v>
      </c>
    </row>
    <row r="65" spans="1:1" ht="15" customHeight="1">
      <c r="A65" s="42" t="s">
        <v>113</v>
      </c>
    </row>
    <row r="66" spans="1:1" ht="15" customHeight="1">
      <c r="A66" s="42" t="s">
        <v>112</v>
      </c>
    </row>
  </sheetData>
  <hyperlinks>
    <hyperlink ref="A1" location="Index!A1" display="Return to index" xr:uid="{00000000-0004-0000-4800-000000000000}"/>
  </hyperlinks>
  <pageMargins left="0.75" right="0.75" top="1" bottom="1" header="0.5" footer="0.5"/>
  <pageSetup paperSize="9" scale="55"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autoPageBreaks="0"/>
  </sheetPr>
  <dimension ref="A1:Q53"/>
  <sheetViews>
    <sheetView zoomScale="59" zoomScaleNormal="70" workbookViewId="0">
      <selection activeCell="T38" sqref="T38"/>
    </sheetView>
  </sheetViews>
  <sheetFormatPr defaultColWidth="8.7109375" defaultRowHeight="15"/>
  <cols>
    <col min="1" max="1" width="25" customWidth="1" collapsed="1"/>
    <col min="2" max="17" width="14" customWidth="1" collapsed="1"/>
  </cols>
  <sheetData>
    <row r="1" spans="1:17" ht="15.75">
      <c r="A1" s="1" t="s">
        <v>0</v>
      </c>
    </row>
    <row r="2" spans="1:17">
      <c r="A2" s="2" t="s">
        <v>107</v>
      </c>
    </row>
    <row r="4" spans="1:17">
      <c r="A4" s="10" t="s">
        <v>2</v>
      </c>
      <c r="B4" s="10" t="s">
        <v>3</v>
      </c>
    </row>
    <row r="5" spans="1:17">
      <c r="A5" s="10" t="s">
        <v>4</v>
      </c>
      <c r="B5" s="10" t="s">
        <v>110</v>
      </c>
    </row>
    <row r="7" spans="1:17" s="241" customFormat="1" ht="21.95" customHeight="1">
      <c r="A7" s="17" t="s">
        <v>7</v>
      </c>
      <c r="B7" s="473" t="s">
        <v>230</v>
      </c>
      <c r="C7" s="473"/>
      <c r="D7" s="473"/>
      <c r="E7" s="473"/>
      <c r="F7" s="473" t="s">
        <v>356</v>
      </c>
      <c r="G7" s="473"/>
      <c r="H7" s="473"/>
      <c r="I7" s="473"/>
      <c r="J7" s="478" t="s">
        <v>398</v>
      </c>
      <c r="K7" s="475"/>
      <c r="L7" s="475"/>
      <c r="M7" s="475"/>
      <c r="N7" s="478" t="s">
        <v>423</v>
      </c>
      <c r="O7" s="475"/>
      <c r="P7" s="475"/>
      <c r="Q7" s="475"/>
    </row>
    <row r="8" spans="1:17" s="241" customFormat="1" ht="26.1" customHeight="1">
      <c r="A8"/>
      <c r="B8" s="16" t="s">
        <v>8</v>
      </c>
      <c r="C8" s="16" t="s">
        <v>9</v>
      </c>
      <c r="D8" s="16" t="s">
        <v>10</v>
      </c>
      <c r="E8" s="16" t="s">
        <v>11</v>
      </c>
      <c r="F8" s="16" t="s">
        <v>8</v>
      </c>
      <c r="G8" s="16" t="s">
        <v>9</v>
      </c>
      <c r="H8" s="16" t="s">
        <v>10</v>
      </c>
      <c r="I8" s="16" t="s">
        <v>11</v>
      </c>
      <c r="J8" s="313" t="s">
        <v>8</v>
      </c>
      <c r="K8" s="313" t="s">
        <v>9</v>
      </c>
      <c r="L8" s="313" t="s">
        <v>10</v>
      </c>
      <c r="M8" s="313" t="s">
        <v>11</v>
      </c>
      <c r="N8" s="313" t="s">
        <v>8</v>
      </c>
      <c r="O8" s="313" t="s">
        <v>9</v>
      </c>
      <c r="P8" s="313" t="s">
        <v>10</v>
      </c>
      <c r="Q8" s="313" t="s">
        <v>11</v>
      </c>
    </row>
    <row r="9" spans="1:17" s="241" customFormat="1">
      <c r="A9" s="246" t="s">
        <v>15</v>
      </c>
      <c r="B9" s="241" t="s">
        <v>71</v>
      </c>
      <c r="C9" s="241" t="s">
        <v>71</v>
      </c>
      <c r="D9" s="241" t="s">
        <v>71</v>
      </c>
      <c r="E9" s="241" t="s">
        <v>71</v>
      </c>
      <c r="F9" s="241">
        <v>10300</v>
      </c>
      <c r="G9" s="241">
        <v>123500</v>
      </c>
      <c r="H9" s="241">
        <v>8.3000000000000007</v>
      </c>
      <c r="I9" s="241">
        <v>2.9</v>
      </c>
      <c r="J9" s="314">
        <v>7900</v>
      </c>
      <c r="K9" s="314">
        <v>116000</v>
      </c>
      <c r="L9" s="315">
        <v>6.8</v>
      </c>
      <c r="M9" s="315">
        <v>2.9</v>
      </c>
      <c r="N9" s="314">
        <v>8500</v>
      </c>
      <c r="O9" s="314">
        <v>119600</v>
      </c>
      <c r="P9" s="315">
        <v>7.1</v>
      </c>
      <c r="Q9" s="315">
        <v>3.4</v>
      </c>
    </row>
    <row r="10" spans="1:17" s="241" customFormat="1">
      <c r="A10" s="246" t="s">
        <v>16</v>
      </c>
      <c r="B10" s="241" t="s">
        <v>71</v>
      </c>
      <c r="C10" s="241" t="s">
        <v>71</v>
      </c>
      <c r="D10" s="241" t="s">
        <v>71</v>
      </c>
      <c r="E10" s="241" t="s">
        <v>71</v>
      </c>
      <c r="F10" s="241">
        <v>10000</v>
      </c>
      <c r="G10" s="241">
        <v>128700</v>
      </c>
      <c r="H10" s="241">
        <v>7.8</v>
      </c>
      <c r="I10" s="241">
        <v>2.7</v>
      </c>
      <c r="J10" s="314">
        <v>12600</v>
      </c>
      <c r="K10" s="314">
        <v>136800</v>
      </c>
      <c r="L10" s="315">
        <v>9.1999999999999993</v>
      </c>
      <c r="M10" s="315">
        <v>3.1</v>
      </c>
      <c r="N10" s="314">
        <v>14500</v>
      </c>
      <c r="O10" s="314">
        <v>150100</v>
      </c>
      <c r="P10" s="315">
        <v>9.6</v>
      </c>
      <c r="Q10" s="315">
        <v>3.8</v>
      </c>
    </row>
    <row r="11" spans="1:17" s="241" customFormat="1">
      <c r="A11" s="246" t="s">
        <v>17</v>
      </c>
      <c r="B11" s="241" t="s">
        <v>71</v>
      </c>
      <c r="C11" s="241" t="s">
        <v>71</v>
      </c>
      <c r="D11" s="241" t="s">
        <v>71</v>
      </c>
      <c r="E11" s="241" t="s">
        <v>71</v>
      </c>
      <c r="F11" s="241">
        <v>6300</v>
      </c>
      <c r="G11" s="241">
        <v>53700</v>
      </c>
      <c r="H11" s="241">
        <v>11.6</v>
      </c>
      <c r="I11" s="241">
        <v>3.5</v>
      </c>
      <c r="J11" s="314">
        <v>3700</v>
      </c>
      <c r="K11" s="314">
        <v>53500</v>
      </c>
      <c r="L11" s="315">
        <v>6.8</v>
      </c>
      <c r="M11" s="315">
        <v>2.8</v>
      </c>
      <c r="N11" s="314">
        <v>4400</v>
      </c>
      <c r="O11" s="314">
        <v>52200</v>
      </c>
      <c r="P11" s="315">
        <v>8.5</v>
      </c>
      <c r="Q11" s="315">
        <v>4.2</v>
      </c>
    </row>
    <row r="12" spans="1:17" s="241" customFormat="1">
      <c r="A12" s="246" t="s">
        <v>18</v>
      </c>
      <c r="B12" s="241" t="s">
        <v>71</v>
      </c>
      <c r="C12" s="241" t="s">
        <v>71</v>
      </c>
      <c r="D12" s="241" t="s">
        <v>71</v>
      </c>
      <c r="E12" s="241" t="s">
        <v>71</v>
      </c>
      <c r="F12" s="241">
        <v>4900</v>
      </c>
      <c r="G12" s="241">
        <v>37900</v>
      </c>
      <c r="H12" s="241">
        <v>12.9</v>
      </c>
      <c r="I12" s="241">
        <v>3.8</v>
      </c>
      <c r="J12" s="314">
        <v>4900</v>
      </c>
      <c r="K12" s="314">
        <v>39800</v>
      </c>
      <c r="L12" s="315">
        <v>12.4</v>
      </c>
      <c r="M12" s="315">
        <v>4</v>
      </c>
      <c r="N12" s="314">
        <v>2200</v>
      </c>
      <c r="O12" s="314">
        <v>35500</v>
      </c>
      <c r="P12" s="315">
        <v>6.2</v>
      </c>
      <c r="Q12" s="315">
        <v>4</v>
      </c>
    </row>
    <row r="13" spans="1:17" s="241" customFormat="1">
      <c r="A13" s="246" t="s">
        <v>126</v>
      </c>
      <c r="B13" s="241" t="s">
        <v>71</v>
      </c>
      <c r="C13" s="241" t="s">
        <v>71</v>
      </c>
      <c r="D13" s="241" t="s">
        <v>71</v>
      </c>
      <c r="E13" s="241" t="s">
        <v>71</v>
      </c>
      <c r="F13" s="241">
        <v>31400</v>
      </c>
      <c r="G13" s="241">
        <v>281800</v>
      </c>
      <c r="H13" s="241">
        <v>11.1</v>
      </c>
      <c r="I13" s="241">
        <v>2.8</v>
      </c>
      <c r="J13" s="314">
        <v>25600</v>
      </c>
      <c r="K13" s="314">
        <v>288900</v>
      </c>
      <c r="L13" s="315">
        <v>8.9</v>
      </c>
      <c r="M13" s="315">
        <v>2.8</v>
      </c>
      <c r="N13" s="314">
        <v>28100</v>
      </c>
      <c r="O13" s="314">
        <v>299100</v>
      </c>
      <c r="P13" s="315">
        <v>9.4</v>
      </c>
      <c r="Q13" s="315">
        <v>3.1</v>
      </c>
    </row>
    <row r="14" spans="1:17" s="241" customFormat="1">
      <c r="A14" s="246" t="s">
        <v>19</v>
      </c>
      <c r="B14" s="241" t="s">
        <v>71</v>
      </c>
      <c r="C14" s="241" t="s">
        <v>71</v>
      </c>
      <c r="D14" s="241" t="s">
        <v>71</v>
      </c>
      <c r="E14" s="241" t="s">
        <v>71</v>
      </c>
      <c r="F14" s="241">
        <v>2300</v>
      </c>
      <c r="G14" s="241">
        <v>23000</v>
      </c>
      <c r="H14" s="241">
        <v>10</v>
      </c>
      <c r="I14" s="241">
        <v>5.3</v>
      </c>
      <c r="J14" s="314">
        <v>2400</v>
      </c>
      <c r="K14" s="314">
        <v>21900</v>
      </c>
      <c r="L14" s="315">
        <v>10.8</v>
      </c>
      <c r="M14" s="315">
        <v>4.5</v>
      </c>
      <c r="N14" s="314">
        <v>1500</v>
      </c>
      <c r="O14" s="314">
        <v>22600</v>
      </c>
      <c r="P14" s="315">
        <v>6.4</v>
      </c>
      <c r="Q14" s="315">
        <v>4.0999999999999996</v>
      </c>
    </row>
    <row r="15" spans="1:17" s="241" customFormat="1">
      <c r="A15" s="246" t="s">
        <v>20</v>
      </c>
      <c r="B15" s="241" t="s">
        <v>71</v>
      </c>
      <c r="C15" s="241" t="s">
        <v>71</v>
      </c>
      <c r="D15" s="241" t="s">
        <v>71</v>
      </c>
      <c r="E15" s="241" t="s">
        <v>71</v>
      </c>
      <c r="F15" s="241">
        <v>5700</v>
      </c>
      <c r="G15" s="241">
        <v>61800</v>
      </c>
      <c r="H15" s="241">
        <v>9.1999999999999993</v>
      </c>
      <c r="I15" s="241">
        <v>3.1</v>
      </c>
      <c r="J15" s="314">
        <v>5300</v>
      </c>
      <c r="K15" s="314">
        <v>59500</v>
      </c>
      <c r="L15" s="315">
        <v>9</v>
      </c>
      <c r="M15" s="315">
        <v>3.4</v>
      </c>
      <c r="N15" s="314">
        <v>6600</v>
      </c>
      <c r="O15" s="314">
        <v>61100</v>
      </c>
      <c r="P15" s="315">
        <v>10.7</v>
      </c>
      <c r="Q15" s="315">
        <v>5</v>
      </c>
    </row>
    <row r="16" spans="1:17" s="241" customFormat="1">
      <c r="A16" s="246" t="s">
        <v>21</v>
      </c>
      <c r="B16" s="241" t="s">
        <v>71</v>
      </c>
      <c r="C16" s="241" t="s">
        <v>71</v>
      </c>
      <c r="D16" s="241" t="s">
        <v>71</v>
      </c>
      <c r="E16" s="241" t="s">
        <v>71</v>
      </c>
      <c r="F16" s="241">
        <v>5100</v>
      </c>
      <c r="G16" s="241">
        <v>69600</v>
      </c>
      <c r="H16" s="241">
        <v>7.4</v>
      </c>
      <c r="I16" s="241">
        <v>2.9</v>
      </c>
      <c r="J16" s="314">
        <v>5100</v>
      </c>
      <c r="K16" s="314">
        <v>67400</v>
      </c>
      <c r="L16" s="315">
        <v>7.6</v>
      </c>
      <c r="M16" s="315">
        <v>3</v>
      </c>
      <c r="N16" s="314">
        <v>2300</v>
      </c>
      <c r="O16" s="314">
        <v>62700</v>
      </c>
      <c r="P16" s="315">
        <v>3.7</v>
      </c>
      <c r="Q16" s="315" t="s">
        <v>12</v>
      </c>
    </row>
    <row r="17" spans="1:17" s="241" customFormat="1">
      <c r="A17" s="246" t="s">
        <v>22</v>
      </c>
      <c r="B17" s="241" t="s">
        <v>71</v>
      </c>
      <c r="C17" s="241" t="s">
        <v>71</v>
      </c>
      <c r="D17" s="241" t="s">
        <v>71</v>
      </c>
      <c r="E17" s="241" t="s">
        <v>71</v>
      </c>
      <c r="F17" s="241">
        <v>5000</v>
      </c>
      <c r="G17" s="241">
        <v>57600</v>
      </c>
      <c r="H17" s="241">
        <v>8.6</v>
      </c>
      <c r="I17" s="241">
        <v>3.1</v>
      </c>
      <c r="J17" s="314">
        <v>3400</v>
      </c>
      <c r="K17" s="314">
        <v>54500</v>
      </c>
      <c r="L17" s="315">
        <v>6.2</v>
      </c>
      <c r="M17" s="315">
        <v>2.7</v>
      </c>
      <c r="N17" s="314">
        <v>4300</v>
      </c>
      <c r="O17" s="314">
        <v>55600</v>
      </c>
      <c r="P17" s="315">
        <v>7.7</v>
      </c>
      <c r="Q17" s="315">
        <v>3.8</v>
      </c>
    </row>
    <row r="18" spans="1:17" s="241" customFormat="1">
      <c r="A18" s="246" t="s">
        <v>23</v>
      </c>
      <c r="B18" s="241" t="s">
        <v>71</v>
      </c>
      <c r="C18" s="241" t="s">
        <v>71</v>
      </c>
      <c r="D18" s="241" t="s">
        <v>71</v>
      </c>
      <c r="E18" s="241" t="s">
        <v>71</v>
      </c>
      <c r="F18" s="241">
        <v>4500</v>
      </c>
      <c r="G18" s="241">
        <v>48700</v>
      </c>
      <c r="H18" s="241">
        <v>9.1999999999999993</v>
      </c>
      <c r="I18" s="241">
        <v>2.8</v>
      </c>
      <c r="J18" s="314">
        <v>5300</v>
      </c>
      <c r="K18" s="314">
        <v>50800</v>
      </c>
      <c r="L18" s="315">
        <v>10.4</v>
      </c>
      <c r="M18" s="315">
        <v>3</v>
      </c>
      <c r="N18" s="314">
        <v>4300</v>
      </c>
      <c r="O18" s="314">
        <v>48000</v>
      </c>
      <c r="P18" s="315">
        <v>8.9</v>
      </c>
      <c r="Q18" s="315">
        <v>3.4</v>
      </c>
    </row>
    <row r="19" spans="1:17" s="241" customFormat="1">
      <c r="A19" s="246" t="s">
        <v>24</v>
      </c>
      <c r="B19" s="241" t="s">
        <v>71</v>
      </c>
      <c r="C19" s="241" t="s">
        <v>71</v>
      </c>
      <c r="D19" s="241" t="s">
        <v>71</v>
      </c>
      <c r="E19" s="241" t="s">
        <v>71</v>
      </c>
      <c r="F19" s="241">
        <v>6000</v>
      </c>
      <c r="G19" s="241">
        <v>54500</v>
      </c>
      <c r="H19" s="241">
        <v>10.9</v>
      </c>
      <c r="I19" s="241">
        <v>3.7</v>
      </c>
      <c r="J19" s="314">
        <v>5600</v>
      </c>
      <c r="K19" s="314">
        <v>52000</v>
      </c>
      <c r="L19" s="315">
        <v>10.7</v>
      </c>
      <c r="M19" s="315">
        <v>3.7</v>
      </c>
      <c r="N19" s="314">
        <v>5200</v>
      </c>
      <c r="O19" s="314">
        <v>54200</v>
      </c>
      <c r="P19" s="315">
        <v>9.6</v>
      </c>
      <c r="Q19" s="315">
        <v>4.2</v>
      </c>
    </row>
    <row r="20" spans="1:17" s="241" customFormat="1">
      <c r="A20" s="246" t="s">
        <v>25</v>
      </c>
      <c r="B20" s="241" t="s">
        <v>71</v>
      </c>
      <c r="C20" s="241" t="s">
        <v>71</v>
      </c>
      <c r="D20" s="241" t="s">
        <v>71</v>
      </c>
      <c r="E20" s="241" t="s">
        <v>71</v>
      </c>
      <c r="F20" s="241">
        <v>6000</v>
      </c>
      <c r="G20" s="241">
        <v>40200</v>
      </c>
      <c r="H20" s="241">
        <v>14.9</v>
      </c>
      <c r="I20" s="241">
        <v>4.0999999999999996</v>
      </c>
      <c r="J20" s="314">
        <v>7000</v>
      </c>
      <c r="K20" s="314">
        <v>45000</v>
      </c>
      <c r="L20" s="315">
        <v>15.5</v>
      </c>
      <c r="M20" s="315">
        <v>4.5</v>
      </c>
      <c r="N20" s="314">
        <v>5600</v>
      </c>
      <c r="O20" s="314">
        <v>43700</v>
      </c>
      <c r="P20" s="315">
        <v>12.8</v>
      </c>
      <c r="Q20" s="315">
        <v>5</v>
      </c>
    </row>
    <row r="21" spans="1:17" s="241" customFormat="1">
      <c r="A21" s="246" t="s">
        <v>26</v>
      </c>
      <c r="B21" s="241" t="s">
        <v>71</v>
      </c>
      <c r="C21" s="241" t="s">
        <v>71</v>
      </c>
      <c r="D21" s="241" t="s">
        <v>71</v>
      </c>
      <c r="E21" s="241" t="s">
        <v>71</v>
      </c>
      <c r="F21" s="241">
        <v>4300</v>
      </c>
      <c r="G21" s="241">
        <v>78900</v>
      </c>
      <c r="H21" s="241">
        <v>5.5</v>
      </c>
      <c r="I21" s="241">
        <v>2.6</v>
      </c>
      <c r="J21" s="314">
        <v>7400</v>
      </c>
      <c r="K21" s="314">
        <v>78500</v>
      </c>
      <c r="L21" s="315">
        <v>9.5</v>
      </c>
      <c r="M21" s="315">
        <v>3.3</v>
      </c>
      <c r="N21" s="314">
        <v>5000</v>
      </c>
      <c r="O21" s="314">
        <v>74800</v>
      </c>
      <c r="P21" s="315">
        <v>6.7</v>
      </c>
      <c r="Q21" s="315">
        <v>3.2</v>
      </c>
    </row>
    <row r="22" spans="1:17" s="241" customFormat="1">
      <c r="A22" s="246" t="s">
        <v>27</v>
      </c>
      <c r="B22" s="241" t="s">
        <v>71</v>
      </c>
      <c r="C22" s="241" t="s">
        <v>71</v>
      </c>
      <c r="D22" s="241" t="s">
        <v>71</v>
      </c>
      <c r="E22" s="241" t="s">
        <v>71</v>
      </c>
      <c r="F22" s="241">
        <v>12100</v>
      </c>
      <c r="G22" s="241">
        <v>156600</v>
      </c>
      <c r="H22" s="241">
        <v>7.7</v>
      </c>
      <c r="I22" s="241">
        <v>2.6</v>
      </c>
      <c r="J22" s="314">
        <v>18700</v>
      </c>
      <c r="K22" s="314">
        <v>174200</v>
      </c>
      <c r="L22" s="315">
        <v>10.8</v>
      </c>
      <c r="M22" s="315">
        <v>3</v>
      </c>
      <c r="N22" s="314">
        <v>11100</v>
      </c>
      <c r="O22" s="314">
        <v>172600</v>
      </c>
      <c r="P22" s="315">
        <v>6.4</v>
      </c>
      <c r="Q22" s="315">
        <v>2.5</v>
      </c>
    </row>
    <row r="23" spans="1:17" s="241" customFormat="1">
      <c r="A23" s="246" t="s">
        <v>28</v>
      </c>
      <c r="B23" s="241" t="s">
        <v>71</v>
      </c>
      <c r="C23" s="241" t="s">
        <v>71</v>
      </c>
      <c r="D23" s="241" t="s">
        <v>71</v>
      </c>
      <c r="E23" s="241" t="s">
        <v>71</v>
      </c>
      <c r="F23" s="241">
        <v>25000</v>
      </c>
      <c r="G23" s="241">
        <v>311900</v>
      </c>
      <c r="H23" s="241">
        <v>8</v>
      </c>
      <c r="I23" s="241">
        <v>2.4</v>
      </c>
      <c r="J23" s="314">
        <v>22000</v>
      </c>
      <c r="K23" s="314">
        <v>317100</v>
      </c>
      <c r="L23" s="315">
        <v>6.9</v>
      </c>
      <c r="M23" s="315">
        <v>2.4</v>
      </c>
      <c r="N23" s="314">
        <v>10500</v>
      </c>
      <c r="O23" s="314">
        <v>313200</v>
      </c>
      <c r="P23" s="315">
        <v>3.4</v>
      </c>
      <c r="Q23" s="315">
        <v>2.1</v>
      </c>
    </row>
    <row r="24" spans="1:17" s="241" customFormat="1">
      <c r="A24" s="246" t="s">
        <v>29</v>
      </c>
      <c r="B24" s="241" t="s">
        <v>71</v>
      </c>
      <c r="C24" s="241" t="s">
        <v>71</v>
      </c>
      <c r="D24" s="241" t="s">
        <v>71</v>
      </c>
      <c r="E24" s="241" t="s">
        <v>71</v>
      </c>
      <c r="F24" s="241">
        <v>10700</v>
      </c>
      <c r="G24" s="241">
        <v>111300</v>
      </c>
      <c r="H24" s="241">
        <v>9.6</v>
      </c>
      <c r="I24" s="241">
        <v>4</v>
      </c>
      <c r="J24" s="314">
        <v>11100</v>
      </c>
      <c r="K24" s="314">
        <v>107700</v>
      </c>
      <c r="L24" s="315">
        <v>10.3</v>
      </c>
      <c r="M24" s="315">
        <v>4.4000000000000004</v>
      </c>
      <c r="N24" s="314">
        <v>11600</v>
      </c>
      <c r="O24" s="314">
        <v>121600</v>
      </c>
      <c r="P24" s="315">
        <v>9.6</v>
      </c>
      <c r="Q24" s="315">
        <v>4.4000000000000004</v>
      </c>
    </row>
    <row r="25" spans="1:17" s="241" customFormat="1">
      <c r="A25" s="246" t="s">
        <v>30</v>
      </c>
      <c r="B25" s="241" t="s">
        <v>71</v>
      </c>
      <c r="C25" s="241" t="s">
        <v>71</v>
      </c>
      <c r="D25" s="241" t="s">
        <v>71</v>
      </c>
      <c r="E25" s="241" t="s">
        <v>71</v>
      </c>
      <c r="F25" s="241">
        <v>2000</v>
      </c>
      <c r="G25" s="241">
        <v>36800</v>
      </c>
      <c r="H25" s="241">
        <v>5.3</v>
      </c>
      <c r="I25" s="241">
        <v>2.6</v>
      </c>
      <c r="J25" s="314">
        <v>2300</v>
      </c>
      <c r="K25" s="314">
        <v>37000</v>
      </c>
      <c r="L25" s="315">
        <v>6.1</v>
      </c>
      <c r="M25" s="315">
        <v>3</v>
      </c>
      <c r="N25" s="314">
        <v>2400</v>
      </c>
      <c r="O25" s="314">
        <v>33800</v>
      </c>
      <c r="P25" s="315">
        <v>7</v>
      </c>
      <c r="Q25" s="315">
        <v>4.3</v>
      </c>
    </row>
    <row r="26" spans="1:17" s="241" customFormat="1">
      <c r="A26" s="246" t="s">
        <v>31</v>
      </c>
      <c r="B26" s="241" t="s">
        <v>71</v>
      </c>
      <c r="C26" s="241" t="s">
        <v>71</v>
      </c>
      <c r="D26" s="241" t="s">
        <v>71</v>
      </c>
      <c r="E26" s="241" t="s">
        <v>71</v>
      </c>
      <c r="F26" s="241">
        <v>4400</v>
      </c>
      <c r="G26" s="241">
        <v>48200</v>
      </c>
      <c r="H26" s="241">
        <v>9.1999999999999993</v>
      </c>
      <c r="I26" s="241">
        <v>3.5</v>
      </c>
      <c r="J26" s="314">
        <v>4800</v>
      </c>
      <c r="K26" s="314">
        <v>47200</v>
      </c>
      <c r="L26" s="315">
        <v>10.199999999999999</v>
      </c>
      <c r="M26" s="315">
        <v>4.0999999999999996</v>
      </c>
      <c r="N26" s="314">
        <v>3200</v>
      </c>
      <c r="O26" s="314">
        <v>50900</v>
      </c>
      <c r="P26" s="315">
        <v>6.3</v>
      </c>
      <c r="Q26" s="315">
        <v>3.8</v>
      </c>
    </row>
    <row r="27" spans="1:17" s="241" customFormat="1">
      <c r="A27" s="246" t="s">
        <v>32</v>
      </c>
      <c r="B27" s="241" t="s">
        <v>71</v>
      </c>
      <c r="C27" s="241" t="s">
        <v>71</v>
      </c>
      <c r="D27" s="241" t="s">
        <v>71</v>
      </c>
      <c r="E27" s="241" t="s">
        <v>71</v>
      </c>
      <c r="F27" s="241">
        <v>3700</v>
      </c>
      <c r="G27" s="241">
        <v>45300</v>
      </c>
      <c r="H27" s="241">
        <v>8.1999999999999993</v>
      </c>
      <c r="I27" s="241">
        <v>3.2</v>
      </c>
      <c r="J27" s="314">
        <v>5900</v>
      </c>
      <c r="K27" s="314">
        <v>47400</v>
      </c>
      <c r="L27" s="315">
        <v>12.5</v>
      </c>
      <c r="M27" s="315">
        <v>3.8</v>
      </c>
      <c r="N27" s="314">
        <v>3900</v>
      </c>
      <c r="O27" s="314">
        <v>45200</v>
      </c>
      <c r="P27" s="315">
        <v>8.6999999999999993</v>
      </c>
      <c r="Q27" s="315">
        <v>4</v>
      </c>
    </row>
    <row r="28" spans="1:17" s="241" customFormat="1">
      <c r="A28" s="246" t="s">
        <v>33</v>
      </c>
      <c r="B28" s="241" t="s">
        <v>71</v>
      </c>
      <c r="C28" s="241" t="s">
        <v>71</v>
      </c>
      <c r="D28" s="241" t="s">
        <v>71</v>
      </c>
      <c r="E28" s="241" t="s">
        <v>71</v>
      </c>
      <c r="F28" s="241">
        <v>900</v>
      </c>
      <c r="G28" s="241">
        <v>13100</v>
      </c>
      <c r="H28" s="241">
        <v>6.9</v>
      </c>
      <c r="I28" s="241">
        <v>3.9</v>
      </c>
      <c r="J28" s="314">
        <v>900</v>
      </c>
      <c r="K28" s="314">
        <v>13900</v>
      </c>
      <c r="L28" s="315">
        <v>6.3</v>
      </c>
      <c r="M28" s="315">
        <v>4.0999999999999996</v>
      </c>
      <c r="N28" s="314" t="s">
        <v>71</v>
      </c>
      <c r="O28" s="314">
        <v>12700</v>
      </c>
      <c r="P28" s="315" t="s">
        <v>71</v>
      </c>
      <c r="Q28" s="239" t="s">
        <v>71</v>
      </c>
    </row>
    <row r="29" spans="1:17" s="241" customFormat="1">
      <c r="A29" s="246" t="s">
        <v>34</v>
      </c>
      <c r="B29" s="241" t="s">
        <v>71</v>
      </c>
      <c r="C29" s="241" t="s">
        <v>71</v>
      </c>
      <c r="D29" s="241" t="s">
        <v>71</v>
      </c>
      <c r="E29" s="241" t="s">
        <v>71</v>
      </c>
      <c r="F29" s="241">
        <v>3300</v>
      </c>
      <c r="G29" s="241">
        <v>52900</v>
      </c>
      <c r="H29" s="241">
        <v>6.2</v>
      </c>
      <c r="I29" s="241">
        <v>2.8</v>
      </c>
      <c r="J29" s="314">
        <v>3100</v>
      </c>
      <c r="K29" s="314">
        <v>60200</v>
      </c>
      <c r="L29" s="315">
        <v>5.2</v>
      </c>
      <c r="M29" s="315">
        <v>2.5</v>
      </c>
      <c r="N29" s="314">
        <v>4400</v>
      </c>
      <c r="O29" s="314">
        <v>58300</v>
      </c>
      <c r="P29" s="315">
        <v>7.5</v>
      </c>
      <c r="Q29" s="315">
        <v>3.8</v>
      </c>
    </row>
    <row r="30" spans="1:17" s="241" customFormat="1">
      <c r="A30" s="246" t="s">
        <v>35</v>
      </c>
      <c r="B30" s="241" t="s">
        <v>71</v>
      </c>
      <c r="C30" s="241" t="s">
        <v>71</v>
      </c>
      <c r="D30" s="241" t="s">
        <v>71</v>
      </c>
      <c r="E30" s="241" t="s">
        <v>71</v>
      </c>
      <c r="F30" s="241">
        <v>8600</v>
      </c>
      <c r="G30" s="241">
        <v>153900</v>
      </c>
      <c r="H30" s="241">
        <v>5.6</v>
      </c>
      <c r="I30" s="241">
        <v>2.5</v>
      </c>
      <c r="J30" s="314">
        <v>9700</v>
      </c>
      <c r="K30" s="314">
        <v>152500</v>
      </c>
      <c r="L30" s="315">
        <v>6.3</v>
      </c>
      <c r="M30" s="315">
        <v>2.9</v>
      </c>
      <c r="N30" s="314">
        <v>11300</v>
      </c>
      <c r="O30" s="314">
        <v>160300</v>
      </c>
      <c r="P30" s="315">
        <v>7</v>
      </c>
      <c r="Q30" s="315">
        <v>3.5</v>
      </c>
    </row>
    <row r="31" spans="1:17" s="241" customFormat="1">
      <c r="A31" s="246" t="s">
        <v>36</v>
      </c>
      <c r="B31" s="241" t="s">
        <v>71</v>
      </c>
      <c r="C31" s="241" t="s">
        <v>71</v>
      </c>
      <c r="D31" s="241" t="s">
        <v>71</v>
      </c>
      <c r="E31" s="241" t="s">
        <v>71</v>
      </c>
      <c r="F31" s="241" t="s">
        <v>71</v>
      </c>
      <c r="G31" s="241">
        <v>10300</v>
      </c>
      <c r="H31" s="241" t="s">
        <v>71</v>
      </c>
      <c r="I31" s="241" t="s">
        <v>71</v>
      </c>
      <c r="J31" s="241" t="s">
        <v>71</v>
      </c>
      <c r="K31" s="241">
        <v>11500</v>
      </c>
      <c r="L31" s="241" t="s">
        <v>71</v>
      </c>
      <c r="M31" s="241" t="s">
        <v>71</v>
      </c>
      <c r="N31" s="241" t="s">
        <v>71</v>
      </c>
      <c r="O31" s="241">
        <v>14300</v>
      </c>
      <c r="P31" s="241" t="s">
        <v>71</v>
      </c>
      <c r="Q31" s="241" t="s">
        <v>71</v>
      </c>
    </row>
    <row r="32" spans="1:17" s="241" customFormat="1">
      <c r="A32" s="246" t="s">
        <v>37</v>
      </c>
      <c r="B32" s="241" t="s">
        <v>71</v>
      </c>
      <c r="C32" s="241" t="s">
        <v>71</v>
      </c>
      <c r="D32" s="241" t="s">
        <v>71</v>
      </c>
      <c r="E32" s="241" t="s">
        <v>71</v>
      </c>
      <c r="F32" s="241">
        <v>9500</v>
      </c>
      <c r="G32" s="241">
        <v>74300</v>
      </c>
      <c r="H32" s="241">
        <v>12.8</v>
      </c>
      <c r="I32" s="241">
        <v>3.3</v>
      </c>
      <c r="J32" s="314">
        <v>7100</v>
      </c>
      <c r="K32" s="314">
        <v>70300</v>
      </c>
      <c r="L32" s="315">
        <v>10.1</v>
      </c>
      <c r="M32" s="315">
        <v>3.3</v>
      </c>
      <c r="N32" s="314">
        <v>6700</v>
      </c>
      <c r="O32" s="314">
        <v>74300</v>
      </c>
      <c r="P32" s="315">
        <v>9</v>
      </c>
      <c r="Q32" s="315">
        <v>3.6</v>
      </c>
    </row>
    <row r="33" spans="1:17" s="241" customFormat="1">
      <c r="A33" s="246" t="s">
        <v>38</v>
      </c>
      <c r="B33" s="241" t="s">
        <v>71</v>
      </c>
      <c r="C33" s="241" t="s">
        <v>71</v>
      </c>
      <c r="D33" s="241" t="s">
        <v>71</v>
      </c>
      <c r="E33" s="241" t="s">
        <v>71</v>
      </c>
      <c r="F33" s="241">
        <v>9300</v>
      </c>
      <c r="G33" s="241">
        <v>86900</v>
      </c>
      <c r="H33" s="241">
        <v>10.8</v>
      </c>
      <c r="I33" s="241">
        <v>3.4</v>
      </c>
      <c r="J33" s="314">
        <v>6300</v>
      </c>
      <c r="K33" s="314">
        <v>83900</v>
      </c>
      <c r="L33" s="315">
        <v>7.6</v>
      </c>
      <c r="M33" s="315">
        <v>3.2</v>
      </c>
      <c r="N33" s="314">
        <v>5900</v>
      </c>
      <c r="O33" s="314">
        <v>89100</v>
      </c>
      <c r="P33" s="315">
        <v>6.6</v>
      </c>
      <c r="Q33" s="315">
        <v>3.3</v>
      </c>
    </row>
    <row r="34" spans="1:17" s="241" customFormat="1">
      <c r="A34" s="246" t="s">
        <v>39</v>
      </c>
      <c r="B34" s="241" t="s">
        <v>71</v>
      </c>
      <c r="C34" s="241" t="s">
        <v>71</v>
      </c>
      <c r="D34" s="241" t="s">
        <v>71</v>
      </c>
      <c r="E34" s="241" t="s">
        <v>71</v>
      </c>
      <c r="F34" s="241">
        <v>5600</v>
      </c>
      <c r="G34" s="241">
        <v>47800</v>
      </c>
      <c r="H34" s="241">
        <v>11.7</v>
      </c>
      <c r="I34" s="241">
        <v>3.8</v>
      </c>
      <c r="J34" s="314">
        <v>6300</v>
      </c>
      <c r="K34" s="314">
        <v>56000</v>
      </c>
      <c r="L34" s="315">
        <v>11.3</v>
      </c>
      <c r="M34" s="315">
        <v>3.4</v>
      </c>
      <c r="N34" s="314">
        <v>4700</v>
      </c>
      <c r="O34" s="314">
        <v>51500</v>
      </c>
      <c r="P34" s="315">
        <v>9.1</v>
      </c>
      <c r="Q34" s="315">
        <v>4.0999999999999996</v>
      </c>
    </row>
    <row r="35" spans="1:17" s="241" customFormat="1">
      <c r="A35" s="246" t="s">
        <v>40</v>
      </c>
      <c r="B35" s="241" t="s">
        <v>71</v>
      </c>
      <c r="C35" s="241" t="s">
        <v>71</v>
      </c>
      <c r="D35" s="241" t="s">
        <v>71</v>
      </c>
      <c r="E35" s="241" t="s">
        <v>71</v>
      </c>
      <c r="F35" s="241">
        <v>2100</v>
      </c>
      <c r="G35" s="241">
        <v>11600</v>
      </c>
      <c r="H35" s="241">
        <v>18.2</v>
      </c>
      <c r="I35" s="241" t="s">
        <v>12</v>
      </c>
      <c r="J35" s="314">
        <v>1200</v>
      </c>
      <c r="K35" s="314">
        <v>12800</v>
      </c>
      <c r="L35" s="315">
        <v>9.3000000000000007</v>
      </c>
      <c r="M35" s="239" t="s">
        <v>12</v>
      </c>
      <c r="N35" s="314" t="s">
        <v>71</v>
      </c>
      <c r="O35" s="314">
        <v>13400</v>
      </c>
      <c r="P35" s="315" t="s">
        <v>71</v>
      </c>
      <c r="Q35" s="314" t="s">
        <v>71</v>
      </c>
    </row>
    <row r="36" spans="1:17" s="241" customFormat="1">
      <c r="A36" s="246" t="s">
        <v>41</v>
      </c>
      <c r="B36" s="241" t="s">
        <v>71</v>
      </c>
      <c r="C36" s="241" t="s">
        <v>71</v>
      </c>
      <c r="D36" s="241" t="s">
        <v>71</v>
      </c>
      <c r="E36" s="241" t="s">
        <v>71</v>
      </c>
      <c r="F36" s="241">
        <v>3100</v>
      </c>
      <c r="G36" s="241">
        <v>47400</v>
      </c>
      <c r="H36" s="241">
        <v>6.6</v>
      </c>
      <c r="I36" s="241">
        <v>2.9</v>
      </c>
      <c r="J36" s="314">
        <v>4500</v>
      </c>
      <c r="K36" s="314">
        <v>45400</v>
      </c>
      <c r="L36" s="315">
        <v>10</v>
      </c>
      <c r="M36" s="315">
        <v>3.7</v>
      </c>
      <c r="N36" s="314">
        <v>4100</v>
      </c>
      <c r="O36" s="314">
        <v>44700</v>
      </c>
      <c r="P36" s="315">
        <v>9.1</v>
      </c>
      <c r="Q36" s="315">
        <v>4.4000000000000004</v>
      </c>
    </row>
    <row r="37" spans="1:17" s="241" customFormat="1">
      <c r="A37" s="242" t="s">
        <v>235</v>
      </c>
      <c r="B37" s="241" t="s">
        <v>71</v>
      </c>
      <c r="C37" s="241" t="s">
        <v>71</v>
      </c>
      <c r="D37" s="241" t="s">
        <v>71</v>
      </c>
      <c r="E37" s="241" t="s">
        <v>71</v>
      </c>
      <c r="F37" s="241">
        <f>SUM(F38,F30)</f>
        <v>13400</v>
      </c>
      <c r="G37" s="241">
        <f>SUM(G38,G30)</f>
        <v>199100</v>
      </c>
      <c r="H37" s="362">
        <f>100*(F37/G37)</f>
        <v>6.7302862882973375</v>
      </c>
      <c r="J37" s="241">
        <f>SUM(J38,J30)</f>
        <v>15900</v>
      </c>
      <c r="K37" s="241">
        <f>SUM(K38,K30)</f>
        <v>198600</v>
      </c>
      <c r="L37" s="362">
        <f>100*(J37/K37)</f>
        <v>8.0060422960725077</v>
      </c>
      <c r="M37" s="315"/>
      <c r="N37" s="241">
        <f>SUM(N38,N30)</f>
        <v>17100</v>
      </c>
      <c r="O37" s="241">
        <f>SUM(O38,O30)</f>
        <v>209500</v>
      </c>
      <c r="P37" s="362">
        <f>100*(N37/O37)</f>
        <v>8.1622911694510734</v>
      </c>
      <c r="Q37" s="315"/>
    </row>
    <row r="38" spans="1:17" s="241" customFormat="1">
      <c r="A38" s="246" t="s">
        <v>42</v>
      </c>
      <c r="B38" s="241" t="s">
        <v>71</v>
      </c>
      <c r="C38" s="241" t="s">
        <v>71</v>
      </c>
      <c r="D38" s="241" t="s">
        <v>71</v>
      </c>
      <c r="E38" s="241" t="s">
        <v>71</v>
      </c>
      <c r="F38" s="241">
        <v>4800</v>
      </c>
      <c r="G38" s="241">
        <v>45200</v>
      </c>
      <c r="H38" s="241">
        <v>10.6</v>
      </c>
      <c r="I38" s="241">
        <v>3.6</v>
      </c>
      <c r="J38" s="314">
        <v>6200</v>
      </c>
      <c r="K38" s="314">
        <v>46100</v>
      </c>
      <c r="L38" s="315">
        <v>13.4</v>
      </c>
      <c r="M38" s="315">
        <v>3.5</v>
      </c>
      <c r="N38" s="314">
        <v>5800</v>
      </c>
      <c r="O38" s="314">
        <v>49200</v>
      </c>
      <c r="P38" s="315">
        <v>11.8</v>
      </c>
      <c r="Q38" s="315">
        <v>3.7</v>
      </c>
    </row>
    <row r="39" spans="1:17" s="241" customFormat="1">
      <c r="A39" s="246" t="s">
        <v>43</v>
      </c>
      <c r="B39" s="241" t="s">
        <v>71</v>
      </c>
      <c r="C39" s="241" t="s">
        <v>71</v>
      </c>
      <c r="D39" s="241" t="s">
        <v>71</v>
      </c>
      <c r="E39" s="241" t="s">
        <v>71</v>
      </c>
      <c r="F39" s="241">
        <v>3300</v>
      </c>
      <c r="G39" s="241">
        <v>40600</v>
      </c>
      <c r="H39" s="241">
        <v>8.1</v>
      </c>
      <c r="I39" s="241">
        <v>3</v>
      </c>
      <c r="J39" s="314">
        <v>3500</v>
      </c>
      <c r="K39" s="314">
        <v>44200</v>
      </c>
      <c r="L39" s="315">
        <v>8</v>
      </c>
      <c r="M39" s="315">
        <v>3</v>
      </c>
      <c r="N39" s="314">
        <v>4400</v>
      </c>
      <c r="O39" s="314">
        <v>41200</v>
      </c>
      <c r="P39" s="315">
        <v>10.6</v>
      </c>
      <c r="Q39" s="315">
        <v>3.8</v>
      </c>
    </row>
    <row r="40" spans="1:17" s="241" customFormat="1">
      <c r="A40" s="246" t="s">
        <v>44</v>
      </c>
      <c r="B40" s="241" t="s">
        <v>71</v>
      </c>
      <c r="C40" s="241" t="s">
        <v>71</v>
      </c>
      <c r="D40" s="241" t="s">
        <v>71</v>
      </c>
      <c r="E40" s="241" t="s">
        <v>71</v>
      </c>
      <c r="F40" s="241">
        <v>8500</v>
      </c>
      <c r="G40" s="241">
        <v>88800</v>
      </c>
      <c r="H40" s="241">
        <v>9.5</v>
      </c>
      <c r="I40" s="241">
        <v>3.4</v>
      </c>
      <c r="J40" s="314">
        <v>6100</v>
      </c>
      <c r="K40" s="314">
        <v>91000</v>
      </c>
      <c r="L40" s="315">
        <v>6.7</v>
      </c>
      <c r="M40" s="315">
        <v>2.8</v>
      </c>
      <c r="N40" s="314">
        <v>7500</v>
      </c>
      <c r="O40" s="314">
        <v>90100</v>
      </c>
      <c r="P40" s="315">
        <v>8.3000000000000007</v>
      </c>
      <c r="Q40" s="315">
        <v>3.6</v>
      </c>
    </row>
    <row r="41" spans="1:17" s="241" customFormat="1">
      <c r="A41" s="246" t="s">
        <v>45</v>
      </c>
      <c r="B41" s="241" t="s">
        <v>71</v>
      </c>
      <c r="C41" s="241" t="s">
        <v>71</v>
      </c>
      <c r="D41" s="241" t="s">
        <v>71</v>
      </c>
      <c r="E41" s="241" t="s">
        <v>71</v>
      </c>
      <c r="F41" s="241" t="s">
        <v>71</v>
      </c>
      <c r="G41" s="241" t="s">
        <v>71</v>
      </c>
      <c r="H41" s="241" t="s">
        <v>71</v>
      </c>
      <c r="I41" s="241" t="s">
        <v>71</v>
      </c>
      <c r="J41" s="239">
        <v>8500</v>
      </c>
      <c r="K41" s="239">
        <v>91000</v>
      </c>
      <c r="L41" s="240">
        <v>9.3000000000000007</v>
      </c>
      <c r="M41" s="240">
        <v>3</v>
      </c>
      <c r="N41" s="239">
        <v>8500</v>
      </c>
      <c r="O41" s="239">
        <v>88400</v>
      </c>
      <c r="P41" s="240">
        <v>9.6</v>
      </c>
      <c r="Q41" s="240">
        <v>3.4</v>
      </c>
    </row>
    <row r="42" spans="1:17" s="241" customFormat="1">
      <c r="A42" s="246"/>
      <c r="J42" s="239"/>
      <c r="K42" s="239"/>
      <c r="L42" s="240"/>
      <c r="M42" s="240"/>
      <c r="N42" s="239"/>
      <c r="O42" s="239"/>
      <c r="P42" s="240"/>
      <c r="Q42" s="240"/>
    </row>
    <row r="43" spans="1:17" s="241" customFormat="1">
      <c r="A43" s="246" t="s">
        <v>46</v>
      </c>
      <c r="B43" s="241" t="s">
        <v>71</v>
      </c>
      <c r="C43" s="241" t="s">
        <v>71</v>
      </c>
      <c r="D43" s="241" t="s">
        <v>71</v>
      </c>
      <c r="E43" s="241" t="s">
        <v>71</v>
      </c>
      <c r="F43" s="241">
        <v>231100</v>
      </c>
      <c r="G43" s="241">
        <v>2601800</v>
      </c>
      <c r="H43" s="241">
        <v>8.9</v>
      </c>
      <c r="I43" s="241">
        <v>0.6</v>
      </c>
      <c r="J43" s="314">
        <v>232500</v>
      </c>
      <c r="K43" s="314">
        <v>2643900</v>
      </c>
      <c r="L43" s="315">
        <v>8.8000000000000007</v>
      </c>
      <c r="M43" s="315">
        <v>0.6</v>
      </c>
      <c r="N43" s="314">
        <v>204500</v>
      </c>
      <c r="O43" s="314">
        <v>2672600</v>
      </c>
      <c r="P43" s="315">
        <v>7.7</v>
      </c>
      <c r="Q43" s="315">
        <v>0.7</v>
      </c>
    </row>
    <row r="44" spans="1:17" s="241" customFormat="1">
      <c r="A44" s="246" t="s">
        <v>47</v>
      </c>
      <c r="B44" s="241" t="s">
        <v>71</v>
      </c>
      <c r="C44" s="241" t="s">
        <v>71</v>
      </c>
      <c r="D44" s="241" t="s">
        <v>71</v>
      </c>
      <c r="E44" s="241" t="s">
        <v>71</v>
      </c>
      <c r="F44" s="241">
        <v>3586700</v>
      </c>
      <c r="G44" s="241">
        <v>32172900</v>
      </c>
      <c r="H44" s="241">
        <v>11.1</v>
      </c>
      <c r="I44" s="241">
        <v>0.2</v>
      </c>
      <c r="J44" s="314">
        <v>3551100</v>
      </c>
      <c r="K44" s="314">
        <v>32680900</v>
      </c>
      <c r="L44" s="315">
        <v>10.9</v>
      </c>
      <c r="M44" s="315">
        <v>0.2</v>
      </c>
      <c r="N44" s="314">
        <v>3518900</v>
      </c>
      <c r="O44" s="314">
        <v>32965300</v>
      </c>
      <c r="P44" s="315">
        <v>10.7</v>
      </c>
      <c r="Q44" s="315">
        <v>0.2</v>
      </c>
    </row>
    <row r="45" spans="1:17">
      <c r="A45" s="10" t="s">
        <v>156</v>
      </c>
      <c r="B45" s="241" t="s">
        <v>71</v>
      </c>
      <c r="C45" s="241" t="s">
        <v>71</v>
      </c>
      <c r="D45" s="241" t="s">
        <v>71</v>
      </c>
      <c r="E45" s="241" t="s">
        <v>71</v>
      </c>
      <c r="F45" s="15" cm="1">
        <f t="array" ref="F45">SUM(SUMIFS(F$9:F$42,$A$9:$A$42,{"Aberdeen City","Aberdeenshire"}))</f>
        <v>20300</v>
      </c>
      <c r="G45" s="15" cm="1">
        <f t="array" ref="G45">SUM(SUMIFS(G$9:G$42,$A$9:$A$42,{"Aberdeen City","Aberdeenshire"}))</f>
        <v>252200</v>
      </c>
      <c r="H45" s="14">
        <f t="shared" ref="H45" si="0">SUM(F45/G45)*100</f>
        <v>8.0491673275178428</v>
      </c>
      <c r="I45" s="241" t="s">
        <v>71</v>
      </c>
      <c r="J45" s="15" cm="1">
        <f t="array" ref="J45">SUM(SUMIFS(J$9:J$42,$A$9:$A$42,{"Aberdeen City","Aberdeenshire"}))</f>
        <v>20500</v>
      </c>
      <c r="K45" s="15" cm="1">
        <f t="array" ref="K45">SUM(SUMIFS(K$9:K$42,$A$9:$A$42,{"Aberdeen City","Aberdeenshire"}))</f>
        <v>252800</v>
      </c>
      <c r="L45" s="14">
        <f t="shared" ref="L45" si="1">SUM(J45/K45)*100</f>
        <v>8.1091772151898738</v>
      </c>
      <c r="M45" s="15"/>
      <c r="N45" s="15" cm="1">
        <f t="array" ref="N45">SUM(SUMIFS(N$9:N$42,$A$9:$A$42,{"Aberdeen City","Aberdeenshire"}))</f>
        <v>23000</v>
      </c>
      <c r="O45" s="15" cm="1">
        <f t="array" ref="O45">SUM(SUMIFS(O$9:O$42,$A$9:$A$42,{"Aberdeen City","Aberdeenshire"}))</f>
        <v>269700</v>
      </c>
      <c r="P45" s="14">
        <f>SUM(N45/O45)*100</f>
        <v>8.5279940674823873</v>
      </c>
      <c r="Q45" s="15"/>
    </row>
    <row r="46" spans="1:17">
      <c r="A46" s="10" t="s">
        <v>359</v>
      </c>
      <c r="B46" s="241" t="s">
        <v>71</v>
      </c>
      <c r="C46" s="241" t="s">
        <v>71</v>
      </c>
      <c r="D46" s="241" t="s">
        <v>71</v>
      </c>
      <c r="E46" s="241" t="s">
        <v>71</v>
      </c>
      <c r="F46" s="125" cm="1">
        <f t="array" ref="F46">SUM(SUMIFS(F$9:F$41,$A$9:$A$41,{"Falkirk","Stirling","Clackmannanshire"}))</f>
        <v>9900</v>
      </c>
      <c r="G46" s="125" cm="1">
        <f t="array" ref="G46">SUM(SUMIFS(G$9:G$41,$A$9:$A$41,{"Falkirk","Stirling","Clackmannanshire"}))</f>
        <v>142500</v>
      </c>
      <c r="H46" s="316">
        <f>SUM(F46/G46)*100</f>
        <v>6.947368421052631</v>
      </c>
      <c r="I46" s="241" t="s">
        <v>71</v>
      </c>
      <c r="J46" s="125" cm="1">
        <f t="array" ref="J46">SUM(SUMIFS(J$9:J$41,$A$9:$A$41,{"Falkirk","Stirling","Clackmannanshire"}))</f>
        <v>13300</v>
      </c>
      <c r="K46" s="125" cm="1">
        <f t="array" ref="K46">SUM(SUMIFS(K$9:K$41,$A$9:$A$41,{"Falkirk","Stirling","Clackmannanshire"}))</f>
        <v>144600</v>
      </c>
      <c r="L46" s="316">
        <f>SUM(J46/K46)*100</f>
        <v>9.1977869986168752</v>
      </c>
      <c r="M46" s="14"/>
      <c r="N46" s="125" cm="1">
        <f t="array" ref="N46">SUM(SUMIFS(N$9:N$41,$A$9:$A$41,{"Falkirk","Stirling","Clackmannanshire"}))</f>
        <v>10900</v>
      </c>
      <c r="O46" s="125" cm="1">
        <f t="array" ref="O46">SUM(SUMIFS(O$9:O$41,$A$9:$A$41,{"Falkirk","Stirling","Clackmannanshire"}))</f>
        <v>138600</v>
      </c>
      <c r="P46" s="316">
        <f>SUM(N46/O46)*100</f>
        <v>7.8643578643578644</v>
      </c>
      <c r="Q46" s="14"/>
    </row>
    <row r="47" spans="1:17">
      <c r="A47" s="10" t="s">
        <v>157</v>
      </c>
      <c r="B47" s="241" t="s">
        <v>71</v>
      </c>
      <c r="C47" s="241" t="s">
        <v>71</v>
      </c>
      <c r="D47" s="241" t="s">
        <v>71</v>
      </c>
      <c r="E47" s="241" t="s">
        <v>71</v>
      </c>
      <c r="F47" s="125" cm="1">
        <f t="array" ref="F47">SUM(SUMIFS(F$9:F$42,$A$9:$A$42,{"East Lothian","Edinburgh, City of","Fife","Midlothian","Scottish Borders","West Lothian"}))</f>
        <v>59500</v>
      </c>
      <c r="G47" s="125" cm="1">
        <f t="array" ref="G47">SUM(SUMIFS(G$9:G$42,$A$9:$A$42,{"East Lothian","Edinburgh, City of","Fife","Midlothian","Scottish Borders","West Lothian"}))</f>
        <v>588900</v>
      </c>
      <c r="H47" s="14">
        <f t="shared" ref="H47:H48" si="2">SUM(F47/G47)*100</f>
        <v>10.103582951265071</v>
      </c>
      <c r="I47" s="241" t="s">
        <v>71</v>
      </c>
      <c r="J47" s="125" cm="1">
        <f t="array" ref="J47">SUM(SUMIFS(J$9:J$42,$A$9:$A$42,{"East Lothian","Edinburgh, City of","Fife","Midlothian","Scottish Borders","West Lothian"}))</f>
        <v>69500</v>
      </c>
      <c r="K47" s="125" cm="1">
        <f t="array" ref="K47">SUM(SUMIFS(K$9:K$42,$A$9:$A$42,{"East Lothian","Edinburgh, City of","Fife","Midlothian","Scottish Borders","West Lothian"}))</f>
        <v>709300</v>
      </c>
      <c r="L47" s="14">
        <f t="shared" ref="L47:L48" si="3">SUM(J47/K47)*100</f>
        <v>9.7983927816156786</v>
      </c>
      <c r="M47" s="15"/>
      <c r="N47" s="125" cm="1">
        <f t="array" ref="N47">SUM(SUMIFS(N$9:N$42,$A$9:$A$42,{"East Lothian","Edinburgh, City of","Fife","Midlothian","Scottish Borders","West Lothian"}))</f>
        <v>60800</v>
      </c>
      <c r="O47" s="125" cm="1">
        <f t="array" ref="O47">SUM(SUMIFS(O$9:O$42,$A$9:$A$42,{"East Lothian","Edinburgh, City of","Fife","Midlothian","Scottish Borders","West Lothian"}))</f>
        <v>716700</v>
      </c>
      <c r="P47" s="14">
        <f t="shared" ref="P47:P48" si="4">SUM(N47/O47)*100</f>
        <v>8.483326356913631</v>
      </c>
      <c r="Q47" s="15"/>
    </row>
    <row r="48" spans="1:17">
      <c r="A48" s="10" t="s">
        <v>158</v>
      </c>
      <c r="B48" s="241" t="s">
        <v>71</v>
      </c>
      <c r="C48" s="241" t="s">
        <v>71</v>
      </c>
      <c r="D48" s="241" t="s">
        <v>71</v>
      </c>
      <c r="E48" s="241" t="s">
        <v>71</v>
      </c>
      <c r="F48" s="125" cm="1">
        <f t="array" ref="F48">SUM(SUMIFS(F$9:F$42,$A$9:$A$42,{"Angus","Dundee City","Fife","Perth and Kinross"}))</f>
        <v>33000</v>
      </c>
      <c r="G48" s="125" cm="1">
        <f t="array" ref="G48">SUM(SUMIFS(G$9:G$42,$A$9:$A$42,{"Angus","Dundee City","Fife","Perth and Kinross"}))</f>
        <v>354200</v>
      </c>
      <c r="H48" s="14">
        <f t="shared" si="2"/>
        <v>9.316770186335404</v>
      </c>
      <c r="I48" s="241" t="s">
        <v>71</v>
      </c>
      <c r="J48" s="125" cm="1">
        <f t="array" ref="J48">SUM(SUMIFS(J$9:J$42,$A$9:$A$42,{"Angus","Dundee City","Fife","Perth and Kinross"}))</f>
        <v>34600</v>
      </c>
      <c r="K48" s="125" cm="1">
        <f t="array" ref="K48">SUM(SUMIFS(K$9:K$42,$A$9:$A$42,{"Angus","Dundee City","Fife","Perth and Kinross"}))</f>
        <v>365400</v>
      </c>
      <c r="L48" s="14">
        <f t="shared" si="3"/>
        <v>9.4690749863163663</v>
      </c>
      <c r="M48" s="15"/>
      <c r="N48" s="125" cm="1">
        <f t="array" ref="N48">SUM(SUMIFS(N$9:N$42,$A$9:$A$42,{"Angus","Dundee City","Fife","Perth and Kinross"}))</f>
        <v>24500</v>
      </c>
      <c r="O48" s="125" cm="1">
        <f t="array" ref="O48">SUM(SUMIFS(O$9:O$42,$A$9:$A$42,{"Angus","Dundee City","Fife","Perth and Kinross"}))</f>
        <v>361800</v>
      </c>
      <c r="P48" s="14">
        <f t="shared" si="4"/>
        <v>6.7716970702045325</v>
      </c>
      <c r="Q48" s="15"/>
    </row>
    <row r="49" spans="1:17">
      <c r="A49" s="10" t="s">
        <v>246</v>
      </c>
      <c r="B49" s="241" t="s">
        <v>71</v>
      </c>
      <c r="C49" s="241" t="s">
        <v>71</v>
      </c>
      <c r="D49" s="241" t="s">
        <v>71</v>
      </c>
      <c r="E49" s="241" t="s">
        <v>71</v>
      </c>
      <c r="F49" s="125">
        <f>SUM(SUMIFS(F$9:F$41,$A$9:$A$41,{"Na h-Eileanan Siar","Argyll and Bute","Shetland Islands","Highland","Orkney Islands","Scottish Borders","Dumfries and Galloway","Aberdeenshire"}))</f>
        <v>39900</v>
      </c>
      <c r="G49" s="125">
        <f>SUM(SUMIFS(G$9:G$41,$A$9:$A$41,{"Na h-Eileanan Siar","Argyll and Bute","Shetland Islands","Highland","Orkney Islands","Scottish Borders","Dumfries and Galloway","Aberdeenshire"}))</f>
        <v>422500</v>
      </c>
      <c r="H49" s="316">
        <f t="shared" ref="H49:H52" si="5">SUM(F49/G49)*100</f>
        <v>9.4437869822485219</v>
      </c>
      <c r="I49" s="241" t="s">
        <v>71</v>
      </c>
      <c r="J49" s="125">
        <f>SUM(SUMIFS(J$9:J$41,$A$9:$A$41,{"Na h-Eileanan Siar","Argyll and Bute","Shetland Islands","Highland","Orkney Islands","Scottish Borders","Dumfries and Galloway","Aberdeenshire"}))</f>
        <v>42300</v>
      </c>
      <c r="K49" s="125">
        <f>SUM(SUMIFS(K$9:K$41,$A$9:$A$41,{"Na h-Eileanan Siar","Argyll and Bute","Shetland Islands","Highland","Orkney Islands","Scottish Borders","Dumfries and Galloway","Aberdeenshire"}))</f>
        <v>438000</v>
      </c>
      <c r="L49" s="316">
        <f t="shared" ref="L49:L52" si="6">SUM(J49/K49)*100</f>
        <v>9.6575342465753433</v>
      </c>
      <c r="M49" s="14"/>
      <c r="N49" s="125">
        <f>SUM(SUMIFS(N$9:N$41,$A$9:$A$41,{"Na h-Eileanan Siar","Argyll and Bute","Shetland Islands","Highland","Orkney Islands","Scottish Borders","Dumfries and Galloway","Aberdeenshire"}))</f>
        <v>39600</v>
      </c>
      <c r="O49" s="125">
        <f>SUM(SUMIFS(O$9:O$41,$A$9:$A$41,{"Na h-Eileanan Siar","Argyll and Bute","Shetland Islands","Highland","Orkney Islands","Scottish Borders","Dumfries and Galloway","Aberdeenshire"}))</f>
        <v>460200</v>
      </c>
      <c r="P49" s="316">
        <f t="shared" ref="P49:P52" si="7">SUM(N49/O49)*100</f>
        <v>8.604954367666231</v>
      </c>
      <c r="Q49" s="14"/>
    </row>
    <row r="50" spans="1:17">
      <c r="A50" s="10" t="s">
        <v>247</v>
      </c>
      <c r="B50" s="241" t="s">
        <v>71</v>
      </c>
      <c r="C50" s="241" t="s">
        <v>71</v>
      </c>
      <c r="D50" s="241" t="s">
        <v>71</v>
      </c>
      <c r="E50" s="241" t="s">
        <v>71</v>
      </c>
      <c r="F50" s="125">
        <f>SUM(SUMIFS(F$9:F$41,$A$9:$A$41,{"Perth and Kinross","Stirling","Moray","South Ayrshire","East Ayrshire","East Lothian","North Ayrshire","Fife"}))</f>
        <v>46000</v>
      </c>
      <c r="G50" s="125">
        <f>SUM(SUMIFS(G$9:G$41,$A$9:$A$41,{"Perth and Kinross","Stirling","Moray","South Ayrshire","East Ayrshire","East Lothian","North Ayrshire","Fife"}))</f>
        <v>529200</v>
      </c>
      <c r="H50" s="316">
        <f t="shared" si="5"/>
        <v>8.6923658352229776</v>
      </c>
      <c r="I50" s="241" t="s">
        <v>71</v>
      </c>
      <c r="J50" s="125">
        <f>SUM(SUMIFS(J$9:J$41,$A$9:$A$41,{"Perth and Kinross","Stirling","Moray","South Ayrshire","East Ayrshire","East Lothian","North Ayrshire","Fife"}))</f>
        <v>51800</v>
      </c>
      <c r="K50" s="125">
        <f>SUM(SUMIFS(K$9:K$41,$A$9:$A$41,{"Perth and Kinross","Stirling","Moray","South Ayrshire","East Ayrshire","East Lothian","North Ayrshire","Fife"}))</f>
        <v>548200</v>
      </c>
      <c r="L50" s="316">
        <f t="shared" si="6"/>
        <v>9.4491061656329816</v>
      </c>
      <c r="M50" s="14"/>
      <c r="N50" s="125">
        <f>SUM(SUMIFS(N$9:N$41,$A$9:$A$41,{"Perth and Kinross","Stirling","Moray","South Ayrshire","East Ayrshire","East Lothian","North Ayrshire","Fife"}))</f>
        <v>44100</v>
      </c>
      <c r="O50" s="125">
        <f>SUM(SUMIFS(O$9:O$41,$A$9:$A$41,{"Perth and Kinross","Stirling","Moray","South Ayrshire","East Ayrshire","East Lothian","North Ayrshire","Fife"}))</f>
        <v>546100</v>
      </c>
      <c r="P50" s="316">
        <f t="shared" si="7"/>
        <v>8.0754440578648605</v>
      </c>
      <c r="Q50" s="14"/>
    </row>
    <row r="51" spans="1:17">
      <c r="A51" s="10" t="s">
        <v>248</v>
      </c>
      <c r="B51" s="241" t="s">
        <v>71</v>
      </c>
      <c r="C51" s="241" t="s">
        <v>71</v>
      </c>
      <c r="D51" s="241" t="s">
        <v>71</v>
      </c>
      <c r="E51" s="241" t="s">
        <v>71</v>
      </c>
      <c r="F51" s="125">
        <f>SUM(SUMIFS(F$9:F$41,$A$9:$A$41,{"Angus","Clackmannanshire","Midlothian","South Lanarkshire","Inverclyde","Renfrewshire","West Lothian","East Renfrewshire"}))</f>
        <v>35100</v>
      </c>
      <c r="G51" s="125">
        <f>SUM(SUMIFS(G$9:G$41,$A$9:$A$41,{"Angus","Clackmannanshire","Midlothian","South Lanarkshire","Inverclyde","Renfrewshire","West Lothian","East Renfrewshire"}))</f>
        <v>334000</v>
      </c>
      <c r="H51" s="316">
        <f t="shared" si="5"/>
        <v>10.508982035928144</v>
      </c>
      <c r="I51" s="241" t="s">
        <v>71</v>
      </c>
      <c r="J51" s="125">
        <f>SUM(SUMIFS(J$9:J$41,$A$9:$A$41,{"Angus","Clackmannanshire","Midlothian","South Lanarkshire","Inverclyde","Renfrewshire","West Lothian","East Renfrewshire"}))</f>
        <v>41200</v>
      </c>
      <c r="K51" s="125">
        <f>SUM(SUMIFS(K$9:K$41,$A$9:$A$41,{"Angus","Clackmannanshire","Midlothian","South Lanarkshire","Inverclyde","Renfrewshire","West Lothian","East Renfrewshire"}))</f>
        <v>425600</v>
      </c>
      <c r="L51" s="316">
        <f t="shared" si="6"/>
        <v>9.6804511278195484</v>
      </c>
      <c r="M51" s="14"/>
      <c r="N51" s="125">
        <f>SUM(SUMIFS(N$9:N$41,$A$9:$A$41,{"Angus","Clackmannanshire","Midlothian","South Lanarkshire","Inverclyde","Renfrewshire","West Lothian","East Renfrewshire"}))</f>
        <v>37300</v>
      </c>
      <c r="O51" s="125">
        <f>SUM(SUMIFS(O$9:O$41,$A$9:$A$41,{"Angus","Clackmannanshire","Midlothian","South Lanarkshire","Inverclyde","Renfrewshire","West Lothian","East Renfrewshire"}))</f>
        <v>429900</v>
      </c>
      <c r="P51" s="316">
        <f t="shared" si="7"/>
        <v>8.6764363805536178</v>
      </c>
      <c r="Q51" s="14"/>
    </row>
    <row r="52" spans="1:17">
      <c r="A52" s="10" t="s">
        <v>249</v>
      </c>
      <c r="B52" s="241" t="s">
        <v>71</v>
      </c>
      <c r="C52" s="241" t="s">
        <v>71</v>
      </c>
      <c r="D52" s="241" t="s">
        <v>71</v>
      </c>
      <c r="E52" s="241" t="s">
        <v>71</v>
      </c>
      <c r="F52" s="125">
        <f>SUM(SUMIFS(F$9:F$41,$A$9:$A$41,{"North Lanarkshire","Falkirk","East Dunbartonshire","Aberdeen City","Edinburgh, City of","West Dunbartonshire","Dundee City","Glasgow City"}))</f>
        <v>97700</v>
      </c>
      <c r="G52" s="125">
        <f>SUM(SUMIFS(G$9:G$41,$A$9:$A$41,{"North Lanarkshire","Falkirk","East Dunbartonshire","Aberdeen City","Edinburgh, City of","West Dunbartonshire","Dundee City","Glasgow City"}))</f>
        <v>1157100</v>
      </c>
      <c r="H52" s="316">
        <f t="shared" si="5"/>
        <v>8.4435225996024545</v>
      </c>
      <c r="I52" s="241" t="s">
        <v>71</v>
      </c>
      <c r="J52" s="125">
        <f>SUM(SUMIFS(J$9:J$41,$A$9:$A$41,{"North Lanarkshire","Falkirk","East Dunbartonshire","Aberdeen City","Edinburgh, City of","West Dunbartonshire","Dundee City","Glasgow City"}))</f>
        <v>89100</v>
      </c>
      <c r="K52" s="125">
        <f>SUM(SUMIFS(K$9:K$41,$A$9:$A$41,{"North Lanarkshire","Falkirk","East Dunbartonshire","Aberdeen City","Edinburgh, City of","West Dunbartonshire","Dundee City","Glasgow City"}))</f>
        <v>1162200</v>
      </c>
      <c r="L52" s="316">
        <f t="shared" si="6"/>
        <v>7.6664945792462564</v>
      </c>
      <c r="M52" s="14"/>
      <c r="N52" s="125">
        <f>SUM(SUMIFS(N$9:N$41,$A$9:$A$41,{"North Lanarkshire","Falkirk","East Dunbartonshire","Aberdeen City","Edinburgh, City of","West Dunbartonshire","Dundee City","Glasgow City"}))</f>
        <v>77500</v>
      </c>
      <c r="O52" s="125">
        <f>SUM(SUMIFS(O$9:O$41,$A$9:$A$41,{"North Lanarkshire","Falkirk","East Dunbartonshire","Aberdeen City","Edinburgh, City of","West Dunbartonshire","Dundee City","Glasgow City"}))</f>
        <v>1167800</v>
      </c>
      <c r="P52" s="316">
        <f t="shared" si="7"/>
        <v>6.636410344237027</v>
      </c>
      <c r="Q52" s="14"/>
    </row>
    <row r="53" spans="1:17" s="241" customFormat="1">
      <c r="A53" s="241" t="s">
        <v>48</v>
      </c>
      <c r="B53" s="241" t="s">
        <v>71</v>
      </c>
      <c r="C53" s="241" t="s">
        <v>71</v>
      </c>
      <c r="D53" s="241" t="s">
        <v>71</v>
      </c>
      <c r="E53" s="241" t="s">
        <v>71</v>
      </c>
      <c r="F53" s="241">
        <v>70900</v>
      </c>
      <c r="G53" s="241">
        <v>877900</v>
      </c>
      <c r="H53" s="241">
        <v>8.1</v>
      </c>
      <c r="I53" s="241">
        <v>1</v>
      </c>
      <c r="J53" s="314">
        <v>71900</v>
      </c>
      <c r="K53" s="314">
        <v>891600</v>
      </c>
      <c r="L53" s="315">
        <v>8.1</v>
      </c>
      <c r="M53" s="315">
        <v>1.1000000000000001</v>
      </c>
      <c r="N53" s="314">
        <v>57000</v>
      </c>
      <c r="O53" s="314">
        <v>886000</v>
      </c>
      <c r="P53" s="315">
        <v>6.4</v>
      </c>
      <c r="Q53" s="315">
        <v>1.1000000000000001</v>
      </c>
    </row>
  </sheetData>
  <mergeCells count="4">
    <mergeCell ref="B7:E7"/>
    <mergeCell ref="F7:I7"/>
    <mergeCell ref="J7:M7"/>
    <mergeCell ref="N7:Q7"/>
  </mergeCells>
  <conditionalFormatting sqref="A1:XFD1048576">
    <cfRule type="expression" dxfId="15"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36BC-E4F1-41CD-AA64-F2460F3AAC4F}">
  <sheetPr>
    <pageSetUpPr autoPageBreaks="0"/>
  </sheetPr>
  <dimension ref="A1:Q197"/>
  <sheetViews>
    <sheetView zoomScale="55" zoomScaleNormal="55" workbookViewId="0">
      <selection activeCell="T38" sqref="T38"/>
    </sheetView>
  </sheetViews>
  <sheetFormatPr defaultColWidth="8.7109375" defaultRowHeight="15"/>
  <cols>
    <col min="1" max="1" width="25" customWidth="1" collapsed="1"/>
    <col min="2" max="17" width="14" customWidth="1" collapsed="1"/>
  </cols>
  <sheetData>
    <row r="1" spans="1:17" ht="15.75">
      <c r="A1" s="24" t="s">
        <v>0</v>
      </c>
    </row>
    <row r="2" spans="1:17">
      <c r="A2" s="23" t="s">
        <v>107</v>
      </c>
    </row>
    <row r="4" spans="1:17">
      <c r="A4" s="22" t="s">
        <v>2</v>
      </c>
      <c r="B4" s="22" t="s">
        <v>3</v>
      </c>
    </row>
    <row r="5" spans="1:17">
      <c r="A5" s="22" t="s">
        <v>4</v>
      </c>
      <c r="B5" s="22" t="s">
        <v>110</v>
      </c>
    </row>
    <row r="7" spans="1:17" s="241" customFormat="1" ht="21.95" customHeight="1">
      <c r="A7" s="249" t="s">
        <v>7</v>
      </c>
      <c r="B7" s="277"/>
      <c r="C7" s="277"/>
      <c r="D7" s="277"/>
      <c r="E7" s="277"/>
      <c r="F7" s="277"/>
      <c r="G7" s="277"/>
      <c r="H7" s="250"/>
      <c r="I7" s="250"/>
      <c r="J7" s="277"/>
      <c r="K7" s="277"/>
      <c r="L7" s="277"/>
      <c r="M7" s="277"/>
      <c r="N7" s="277"/>
      <c r="O7" s="277"/>
      <c r="P7" s="277"/>
      <c r="Q7" s="277"/>
    </row>
    <row r="8" spans="1:17" s="241" customFormat="1" ht="26.1" customHeight="1">
      <c r="A8"/>
      <c r="B8" s="250" t="s">
        <v>8</v>
      </c>
      <c r="C8" s="250" t="s">
        <v>9</v>
      </c>
      <c r="D8" s="250" t="s">
        <v>10</v>
      </c>
      <c r="E8" s="250"/>
      <c r="F8" s="250"/>
      <c r="G8" s="278"/>
      <c r="K8" s="250"/>
      <c r="L8" s="250"/>
      <c r="M8" s="250"/>
      <c r="N8" s="250"/>
      <c r="O8" s="250"/>
      <c r="P8" s="250"/>
      <c r="Q8" s="250"/>
    </row>
    <row r="9" spans="1:17" s="241" customFormat="1">
      <c r="A9" s="251" t="s">
        <v>15</v>
      </c>
      <c r="B9" s="301">
        <f>C9*(D9/100)</f>
        <v>139672</v>
      </c>
      <c r="C9" s="252">
        <v>158000</v>
      </c>
      <c r="D9" s="248">
        <v>88.4</v>
      </c>
      <c r="E9" s="248"/>
      <c r="F9" s="252"/>
      <c r="G9" s="279"/>
      <c r="K9" s="250"/>
      <c r="L9" s="248"/>
      <c r="M9" s="248"/>
      <c r="N9" s="252"/>
      <c r="O9" s="252"/>
      <c r="P9" s="248"/>
      <c r="Q9" s="248"/>
    </row>
    <row r="10" spans="1:17" s="241" customFormat="1">
      <c r="A10" s="251" t="s">
        <v>16</v>
      </c>
      <c r="B10" s="301">
        <f t="shared" ref="B10:B40" si="0">C10*(D10/100)</f>
        <v>86829</v>
      </c>
      <c r="C10" s="252">
        <v>103000</v>
      </c>
      <c r="D10" s="248">
        <v>84.3</v>
      </c>
      <c r="E10" s="248"/>
      <c r="F10" s="252"/>
      <c r="G10" s="279"/>
      <c r="K10" s="250"/>
      <c r="L10" s="248"/>
      <c r="M10" s="248"/>
      <c r="N10" s="252"/>
      <c r="O10" s="252"/>
      <c r="P10" s="248"/>
      <c r="Q10" s="248"/>
    </row>
    <row r="11" spans="1:17" s="241" customFormat="1">
      <c r="A11" s="251" t="s">
        <v>17</v>
      </c>
      <c r="B11" s="301">
        <f t="shared" si="0"/>
        <v>27324</v>
      </c>
      <c r="C11" s="252">
        <v>36000</v>
      </c>
      <c r="D11" s="248">
        <v>75.900000000000006</v>
      </c>
      <c r="E11" s="248"/>
      <c r="F11" s="252"/>
      <c r="G11" s="279"/>
      <c r="K11" s="250"/>
      <c r="L11" s="248"/>
      <c r="M11" s="248"/>
      <c r="N11" s="252"/>
      <c r="O11" s="252"/>
      <c r="P11" s="248"/>
      <c r="Q11" s="248"/>
    </row>
    <row r="12" spans="1:17" s="241" customFormat="1">
      <c r="A12" s="251" t="s">
        <v>18</v>
      </c>
      <c r="B12" s="301">
        <f t="shared" si="0"/>
        <v>30118.000000000004</v>
      </c>
      <c r="C12" s="252">
        <v>37000</v>
      </c>
      <c r="D12" s="248">
        <v>81.400000000000006</v>
      </c>
      <c r="E12" s="248"/>
      <c r="F12" s="252"/>
      <c r="G12" s="279"/>
      <c r="K12" s="250"/>
      <c r="L12" s="248"/>
      <c r="M12" s="248"/>
      <c r="N12" s="252"/>
      <c r="O12" s="252"/>
      <c r="P12" s="248"/>
      <c r="Q12" s="248"/>
    </row>
    <row r="13" spans="1:17" s="241" customFormat="1">
      <c r="A13" s="251" t="s">
        <v>126</v>
      </c>
      <c r="B13" s="301">
        <f t="shared" si="0"/>
        <v>298328</v>
      </c>
      <c r="C13" s="252">
        <v>356000</v>
      </c>
      <c r="D13" s="248">
        <v>83.8</v>
      </c>
      <c r="E13" s="248"/>
      <c r="F13" s="252"/>
      <c r="G13" s="279"/>
      <c r="K13" s="250"/>
      <c r="L13" s="248"/>
      <c r="M13" s="248"/>
      <c r="N13" s="252"/>
      <c r="O13" s="252"/>
      <c r="P13" s="248"/>
      <c r="Q13" s="248"/>
    </row>
    <row r="14" spans="1:17" s="241" customFormat="1">
      <c r="A14" s="251" t="s">
        <v>19</v>
      </c>
      <c r="B14" s="301">
        <f t="shared" si="0"/>
        <v>13095</v>
      </c>
      <c r="C14" s="252">
        <v>15000</v>
      </c>
      <c r="D14" s="248">
        <v>87.3</v>
      </c>
      <c r="E14" s="248"/>
      <c r="F14" s="252"/>
      <c r="G14" s="279"/>
      <c r="K14" s="250"/>
      <c r="L14" s="248"/>
      <c r="M14" s="252"/>
      <c r="N14" s="252"/>
      <c r="O14" s="252"/>
      <c r="P14" s="248"/>
      <c r="Q14" s="248"/>
    </row>
    <row r="15" spans="1:17" s="241" customFormat="1">
      <c r="A15" s="251" t="s">
        <v>20</v>
      </c>
      <c r="B15" s="301">
        <f t="shared" si="0"/>
        <v>46632</v>
      </c>
      <c r="C15" s="252">
        <v>58000</v>
      </c>
      <c r="D15" s="248">
        <v>80.400000000000006</v>
      </c>
      <c r="E15" s="248"/>
      <c r="F15" s="252"/>
      <c r="G15" s="279"/>
      <c r="K15" s="250"/>
      <c r="L15" s="248"/>
      <c r="M15" s="248"/>
      <c r="N15" s="252"/>
      <c r="O15" s="252"/>
      <c r="P15" s="248"/>
      <c r="Q15" s="248"/>
    </row>
    <row r="16" spans="1:17" s="241" customFormat="1">
      <c r="A16" s="251" t="s">
        <v>21</v>
      </c>
      <c r="B16" s="301">
        <f t="shared" si="0"/>
        <v>62928</v>
      </c>
      <c r="C16" s="252">
        <v>76000</v>
      </c>
      <c r="D16" s="248">
        <v>82.8</v>
      </c>
      <c r="E16" s="248"/>
      <c r="F16" s="252"/>
      <c r="G16" s="279"/>
      <c r="K16" s="250"/>
      <c r="L16" s="248"/>
      <c r="M16" s="248"/>
      <c r="N16" s="252"/>
      <c r="O16" s="252"/>
      <c r="P16" s="248"/>
      <c r="Q16" s="248"/>
    </row>
    <row r="17" spans="1:17" s="241" customFormat="1">
      <c r="A17" s="251" t="s">
        <v>22</v>
      </c>
      <c r="B17" s="301">
        <f t="shared" si="0"/>
        <v>34686</v>
      </c>
      <c r="C17" s="252">
        <v>41000</v>
      </c>
      <c r="D17" s="248">
        <v>84.6</v>
      </c>
      <c r="E17" s="248"/>
      <c r="F17" s="252"/>
      <c r="G17" s="279"/>
      <c r="H17" s="248"/>
      <c r="I17" s="248"/>
      <c r="J17" s="10"/>
      <c r="K17" s="250"/>
      <c r="L17" s="248"/>
      <c r="M17" s="248"/>
      <c r="N17" s="252"/>
      <c r="O17" s="252"/>
      <c r="P17" s="248"/>
      <c r="Q17" s="248"/>
    </row>
    <row r="18" spans="1:17" s="241" customFormat="1">
      <c r="A18" s="251" t="s">
        <v>23</v>
      </c>
      <c r="B18" s="301">
        <f t="shared" si="0"/>
        <v>22646</v>
      </c>
      <c r="C18" s="252">
        <v>26000</v>
      </c>
      <c r="D18" s="248">
        <v>87.1</v>
      </c>
      <c r="E18" s="248"/>
      <c r="F18" s="252"/>
      <c r="G18" s="278"/>
      <c r="H18" s="248"/>
      <c r="I18" s="248"/>
      <c r="J18" s="283"/>
      <c r="K18" s="250"/>
      <c r="L18" s="248"/>
      <c r="M18" s="248"/>
      <c r="N18" s="252"/>
      <c r="O18" s="252"/>
      <c r="P18" s="248"/>
      <c r="Q18" s="248"/>
    </row>
    <row r="19" spans="1:17" s="241" customFormat="1">
      <c r="A19" s="251" t="s">
        <v>24</v>
      </c>
      <c r="B19" s="301">
        <f t="shared" si="0"/>
        <v>28446</v>
      </c>
      <c r="C19" s="252">
        <v>33000</v>
      </c>
      <c r="D19" s="248">
        <v>86.2</v>
      </c>
      <c r="E19" s="248"/>
      <c r="F19" s="252"/>
      <c r="G19" s="280"/>
      <c r="I19" s="248"/>
      <c r="J19" s="283"/>
      <c r="K19" s="250"/>
      <c r="L19" s="248"/>
      <c r="M19" s="248"/>
      <c r="N19" s="252"/>
      <c r="O19" s="252"/>
      <c r="P19" s="248"/>
      <c r="Q19" s="248"/>
    </row>
    <row r="20" spans="1:17" s="241" customFormat="1">
      <c r="A20" s="251" t="s">
        <v>25</v>
      </c>
      <c r="B20" s="301">
        <f t="shared" si="0"/>
        <v>18502</v>
      </c>
      <c r="C20" s="252">
        <v>22000</v>
      </c>
      <c r="D20" s="248">
        <v>84.1</v>
      </c>
      <c r="E20" s="248"/>
      <c r="F20" s="252"/>
      <c r="G20" s="280"/>
      <c r="I20" s="248"/>
      <c r="J20" s="283"/>
      <c r="K20" s="250"/>
      <c r="L20" s="248"/>
      <c r="M20" s="248"/>
      <c r="N20" s="252"/>
      <c r="O20" s="252"/>
      <c r="P20" s="248"/>
      <c r="Q20" s="248"/>
    </row>
    <row r="21" spans="1:17" s="241" customFormat="1">
      <c r="A21" s="251" t="s">
        <v>26</v>
      </c>
      <c r="B21" s="301">
        <f t="shared" si="0"/>
        <v>58893</v>
      </c>
      <c r="C21" s="252">
        <v>67000</v>
      </c>
      <c r="D21" s="248">
        <v>87.9</v>
      </c>
      <c r="E21" s="248"/>
      <c r="F21" s="252"/>
      <c r="G21" s="280"/>
      <c r="I21" s="248"/>
      <c r="J21" s="283"/>
      <c r="K21" s="250"/>
      <c r="L21" s="248"/>
      <c r="M21" s="248"/>
      <c r="N21" s="252"/>
      <c r="O21" s="252"/>
      <c r="P21" s="248"/>
      <c r="Q21" s="248"/>
    </row>
    <row r="22" spans="1:17" s="241" customFormat="1">
      <c r="A22" s="251" t="s">
        <v>27</v>
      </c>
      <c r="B22" s="301">
        <f t="shared" si="0"/>
        <v>113162</v>
      </c>
      <c r="C22" s="252">
        <v>137000</v>
      </c>
      <c r="D22" s="248">
        <v>82.6</v>
      </c>
      <c r="E22" s="248"/>
      <c r="F22" s="252"/>
      <c r="G22" s="280"/>
      <c r="I22" s="248"/>
      <c r="J22" s="252"/>
      <c r="K22" s="250"/>
      <c r="L22" s="248"/>
      <c r="M22" s="248"/>
      <c r="N22" s="252"/>
      <c r="O22" s="252"/>
      <c r="P22" s="248"/>
      <c r="Q22" s="248"/>
    </row>
    <row r="23" spans="1:17" s="241" customFormat="1">
      <c r="A23" s="251" t="s">
        <v>28</v>
      </c>
      <c r="B23" s="301">
        <f t="shared" si="0"/>
        <v>344745</v>
      </c>
      <c r="C23" s="252">
        <v>423000</v>
      </c>
      <c r="D23" s="248">
        <v>81.5</v>
      </c>
      <c r="E23" s="248"/>
      <c r="F23" s="252"/>
      <c r="G23" s="280"/>
      <c r="I23" s="248"/>
      <c r="J23" s="10"/>
      <c r="K23" s="250"/>
      <c r="L23" s="248"/>
      <c r="M23" s="248"/>
      <c r="N23" s="252"/>
      <c r="O23" s="252"/>
      <c r="P23" s="248"/>
      <c r="Q23" s="248"/>
    </row>
    <row r="24" spans="1:17" s="241" customFormat="1">
      <c r="A24" s="251" t="s">
        <v>29</v>
      </c>
      <c r="B24" s="301">
        <f t="shared" si="0"/>
        <v>93408.000000000015</v>
      </c>
      <c r="C24" s="252">
        <v>112000</v>
      </c>
      <c r="D24" s="248">
        <v>83.4</v>
      </c>
      <c r="E24" s="248"/>
      <c r="F24" s="252"/>
      <c r="G24" s="280"/>
      <c r="I24" s="248"/>
      <c r="J24" s="251"/>
      <c r="K24" s="250"/>
      <c r="L24" s="248"/>
      <c r="M24" s="248"/>
      <c r="N24" s="252"/>
      <c r="O24" s="252"/>
      <c r="P24" s="248"/>
      <c r="Q24" s="248"/>
    </row>
    <row r="25" spans="1:17" s="241" customFormat="1">
      <c r="A25" s="251" t="s">
        <v>30</v>
      </c>
      <c r="B25" s="301">
        <f t="shared" si="0"/>
        <v>22256</v>
      </c>
      <c r="C25" s="252">
        <v>26000</v>
      </c>
      <c r="D25" s="248">
        <v>85.6</v>
      </c>
      <c r="E25" s="248"/>
      <c r="F25" s="252"/>
      <c r="G25" s="280"/>
      <c r="I25" s="248"/>
      <c r="J25" s="283"/>
      <c r="K25" s="250"/>
      <c r="L25" s="248"/>
      <c r="M25" s="248"/>
      <c r="N25" s="252"/>
      <c r="O25" s="252"/>
      <c r="P25" s="248"/>
      <c r="Q25" s="248"/>
    </row>
    <row r="26" spans="1:17" s="241" customFormat="1">
      <c r="A26" s="251" t="s">
        <v>31</v>
      </c>
      <c r="B26" s="301">
        <f t="shared" si="0"/>
        <v>28710</v>
      </c>
      <c r="C26" s="252">
        <v>33000</v>
      </c>
      <c r="D26" s="248">
        <v>87</v>
      </c>
      <c r="E26" s="248"/>
      <c r="F26" s="252"/>
      <c r="G26" s="280"/>
      <c r="I26" s="248"/>
      <c r="J26" s="283"/>
      <c r="K26" s="250"/>
      <c r="L26" s="248"/>
      <c r="M26" s="248"/>
      <c r="N26" s="252"/>
      <c r="O26" s="252"/>
      <c r="P26" s="248"/>
      <c r="Q26" s="248"/>
    </row>
    <row r="27" spans="1:17" s="241" customFormat="1">
      <c r="A27" s="251" t="s">
        <v>32</v>
      </c>
      <c r="B27" s="301">
        <f t="shared" si="0"/>
        <v>29520</v>
      </c>
      <c r="C27" s="252">
        <v>36000</v>
      </c>
      <c r="D27" s="248">
        <v>82</v>
      </c>
      <c r="E27" s="248"/>
      <c r="F27" s="252"/>
      <c r="G27" s="279"/>
      <c r="H27" s="248"/>
      <c r="I27" s="248"/>
      <c r="J27" s="283"/>
      <c r="K27" s="250"/>
      <c r="L27" s="248"/>
      <c r="M27" s="248"/>
      <c r="N27" s="252"/>
      <c r="O27" s="252"/>
      <c r="P27" s="248"/>
      <c r="Q27" s="248"/>
    </row>
    <row r="28" spans="1:17" s="241" customFormat="1">
      <c r="A28" s="251" t="s">
        <v>33</v>
      </c>
      <c r="B28" s="241" t="s">
        <v>71</v>
      </c>
      <c r="C28" s="239" t="s">
        <v>71</v>
      </c>
      <c r="D28" s="240" t="s">
        <v>71</v>
      </c>
      <c r="E28" s="248"/>
      <c r="F28" s="252"/>
      <c r="G28" s="278"/>
      <c r="H28" s="248"/>
      <c r="I28" s="248"/>
      <c r="J28" s="283"/>
      <c r="K28" s="250"/>
      <c r="L28" s="248"/>
      <c r="M28" s="248"/>
      <c r="N28" s="252"/>
      <c r="O28" s="252"/>
      <c r="P28" s="248"/>
      <c r="Q28" s="248"/>
    </row>
    <row r="29" spans="1:17" s="241" customFormat="1">
      <c r="A29" s="251" t="s">
        <v>34</v>
      </c>
      <c r="B29" s="301">
        <f t="shared" si="0"/>
        <v>34727</v>
      </c>
      <c r="C29" s="252">
        <v>41000</v>
      </c>
      <c r="D29" s="248">
        <v>84.7</v>
      </c>
      <c r="E29" s="248"/>
      <c r="F29" s="252"/>
      <c r="G29" s="280"/>
      <c r="I29" s="248"/>
      <c r="J29" s="283"/>
      <c r="K29" s="250"/>
      <c r="L29" s="248"/>
      <c r="M29" s="248"/>
      <c r="N29" s="252"/>
      <c r="O29" s="252"/>
      <c r="P29" s="248"/>
      <c r="Q29" s="248"/>
    </row>
    <row r="30" spans="1:17" s="241" customFormat="1">
      <c r="A30" s="251" t="s">
        <v>35</v>
      </c>
      <c r="B30" s="301">
        <f t="shared" si="0"/>
        <v>116848</v>
      </c>
      <c r="C30" s="252">
        <v>134000</v>
      </c>
      <c r="D30" s="248">
        <v>87.2</v>
      </c>
      <c r="E30" s="248"/>
      <c r="F30" s="252"/>
      <c r="G30" s="280"/>
      <c r="I30" s="248"/>
      <c r="J30" s="282"/>
      <c r="K30" s="252"/>
      <c r="L30" s="248"/>
      <c r="M30" s="248"/>
      <c r="N30" s="252"/>
      <c r="O30" s="252"/>
      <c r="P30" s="248"/>
      <c r="Q30" s="248"/>
    </row>
    <row r="31" spans="1:17" s="241" customFormat="1">
      <c r="A31" s="251" t="s">
        <v>36</v>
      </c>
      <c r="B31" s="241" t="s">
        <v>71</v>
      </c>
      <c r="C31" s="239" t="s">
        <v>71</v>
      </c>
      <c r="D31" s="240" t="s">
        <v>71</v>
      </c>
      <c r="E31" s="248"/>
      <c r="F31" s="252"/>
      <c r="G31" s="280"/>
      <c r="I31" s="252"/>
      <c r="J31" s="252"/>
      <c r="K31" s="252"/>
      <c r="L31" s="248"/>
      <c r="M31" s="252"/>
      <c r="N31" s="252"/>
      <c r="O31" s="252"/>
      <c r="P31" s="248"/>
      <c r="Q31" s="252"/>
    </row>
    <row r="32" spans="1:17" s="241" customFormat="1">
      <c r="A32" s="251" t="s">
        <v>37</v>
      </c>
      <c r="B32" s="301">
        <f t="shared" si="0"/>
        <v>48960</v>
      </c>
      <c r="C32" s="252">
        <v>64000</v>
      </c>
      <c r="D32" s="248">
        <v>76.5</v>
      </c>
      <c r="E32" s="248"/>
      <c r="F32" s="252"/>
      <c r="G32" s="280"/>
      <c r="I32" s="248"/>
      <c r="J32" s="252"/>
      <c r="K32" s="252"/>
      <c r="L32" s="248"/>
      <c r="M32" s="248"/>
      <c r="N32" s="252"/>
      <c r="O32" s="252"/>
      <c r="P32" s="248"/>
      <c r="Q32" s="248"/>
    </row>
    <row r="33" spans="1:17" s="241" customFormat="1">
      <c r="A33" s="251" t="s">
        <v>38</v>
      </c>
      <c r="B33" s="301">
        <f t="shared" si="0"/>
        <v>69388</v>
      </c>
      <c r="C33" s="252">
        <v>83000</v>
      </c>
      <c r="D33" s="248">
        <v>83.6</v>
      </c>
      <c r="E33" s="248"/>
      <c r="F33" s="252"/>
      <c r="G33" s="280"/>
      <c r="I33" s="248"/>
      <c r="J33" s="252"/>
      <c r="K33" s="252"/>
      <c r="L33" s="248"/>
      <c r="M33" s="248"/>
      <c r="N33" s="252"/>
      <c r="O33" s="252"/>
      <c r="P33" s="248"/>
      <c r="Q33" s="248"/>
    </row>
    <row r="34" spans="1:17" s="241" customFormat="1">
      <c r="A34" s="251" t="s">
        <v>39</v>
      </c>
      <c r="B34" s="301">
        <f t="shared" si="0"/>
        <v>35364</v>
      </c>
      <c r="C34" s="252">
        <v>42000</v>
      </c>
      <c r="D34" s="248">
        <v>84.2</v>
      </c>
      <c r="E34" s="248"/>
      <c r="F34" s="252"/>
      <c r="G34" s="280"/>
      <c r="I34" s="248"/>
      <c r="J34" s="252"/>
      <c r="K34" s="252"/>
      <c r="L34" s="248"/>
      <c r="M34" s="248"/>
      <c r="N34" s="252"/>
      <c r="O34" s="252"/>
      <c r="P34" s="248"/>
      <c r="Q34" s="248"/>
    </row>
    <row r="35" spans="1:17" s="241" customFormat="1">
      <c r="A35" s="251" t="s">
        <v>40</v>
      </c>
      <c r="B35" s="241" t="s">
        <v>71</v>
      </c>
      <c r="C35" s="239" t="s">
        <v>71</v>
      </c>
      <c r="D35" s="240" t="s">
        <v>71</v>
      </c>
      <c r="E35" s="252"/>
      <c r="F35" s="252"/>
      <c r="G35" s="280"/>
      <c r="I35" s="248"/>
      <c r="J35" s="252"/>
      <c r="K35" s="252"/>
      <c r="L35" s="248"/>
      <c r="M35" s="248"/>
      <c r="N35" s="252"/>
      <c r="O35" s="252"/>
      <c r="P35" s="248"/>
      <c r="Q35" s="252"/>
    </row>
    <row r="36" spans="1:17" s="241" customFormat="1">
      <c r="A36" s="251" t="s">
        <v>41</v>
      </c>
      <c r="B36" s="301">
        <f t="shared" si="0"/>
        <v>38548</v>
      </c>
      <c r="C36" s="252">
        <v>46000</v>
      </c>
      <c r="D36" s="248">
        <v>83.8</v>
      </c>
      <c r="E36" s="248"/>
      <c r="F36" s="252"/>
      <c r="G36" s="280"/>
      <c r="I36" s="248"/>
      <c r="J36" s="252"/>
      <c r="K36" s="252"/>
      <c r="L36" s="248"/>
      <c r="M36" s="248"/>
      <c r="N36" s="252"/>
      <c r="O36" s="252"/>
      <c r="P36" s="248"/>
      <c r="Q36" s="248"/>
    </row>
    <row r="37" spans="1:17" s="241" customFormat="1">
      <c r="A37" s="251" t="s">
        <v>42</v>
      </c>
      <c r="B37" s="301">
        <f t="shared" si="0"/>
        <v>103054</v>
      </c>
      <c r="C37" s="252">
        <v>119000</v>
      </c>
      <c r="D37" s="248">
        <v>86.6</v>
      </c>
      <c r="E37" s="244"/>
      <c r="F37" s="243"/>
      <c r="G37" s="281"/>
      <c r="H37" s="244"/>
      <c r="I37" s="244"/>
      <c r="J37" s="243"/>
      <c r="K37" s="243"/>
      <c r="L37" s="244"/>
      <c r="M37" s="244"/>
      <c r="N37" s="243"/>
      <c r="O37" s="243"/>
      <c r="P37" s="244"/>
      <c r="Q37" s="244"/>
    </row>
    <row r="38" spans="1:17" s="241" customFormat="1">
      <c r="A38" s="251" t="s">
        <v>43</v>
      </c>
      <c r="B38" s="301">
        <f t="shared" si="0"/>
        <v>40710</v>
      </c>
      <c r="C38" s="252">
        <v>46000</v>
      </c>
      <c r="D38" s="248">
        <v>88.5</v>
      </c>
      <c r="E38" s="248"/>
      <c r="F38" s="252"/>
      <c r="G38" s="278"/>
      <c r="H38" s="248"/>
      <c r="I38" s="248"/>
      <c r="J38" s="252"/>
      <c r="K38" s="252"/>
      <c r="L38" s="248"/>
      <c r="M38" s="248"/>
      <c r="N38" s="252"/>
      <c r="O38" s="252"/>
      <c r="P38" s="248"/>
      <c r="Q38" s="248"/>
    </row>
    <row r="39" spans="1:17" s="241" customFormat="1">
      <c r="A39" s="251" t="s">
        <v>44</v>
      </c>
      <c r="B39" s="301">
        <f t="shared" si="0"/>
        <v>27951</v>
      </c>
      <c r="C39" s="252">
        <v>33000</v>
      </c>
      <c r="D39" s="248">
        <v>84.7</v>
      </c>
      <c r="E39" s="248"/>
      <c r="F39" s="252"/>
      <c r="G39" s="279"/>
      <c r="I39" s="248"/>
      <c r="J39" s="252"/>
      <c r="K39" s="252"/>
      <c r="L39" s="248"/>
      <c r="M39" s="248"/>
      <c r="N39" s="252"/>
      <c r="O39" s="252"/>
      <c r="P39" s="248"/>
      <c r="Q39" s="248"/>
    </row>
    <row r="40" spans="1:17" s="241" customFormat="1">
      <c r="A40" s="251" t="s">
        <v>45</v>
      </c>
      <c r="B40" s="301">
        <f t="shared" si="0"/>
        <v>71379</v>
      </c>
      <c r="C40" s="252">
        <v>77000</v>
      </c>
      <c r="D40" s="248">
        <v>92.7</v>
      </c>
      <c r="E40" s="248"/>
      <c r="F40" s="252"/>
      <c r="G40" s="279"/>
      <c r="I40" s="248"/>
      <c r="J40" s="252"/>
      <c r="K40" s="252"/>
      <c r="L40" s="248"/>
      <c r="M40" s="248"/>
      <c r="N40" s="252"/>
      <c r="O40" s="252"/>
      <c r="P40" s="248"/>
      <c r="Q40" s="248"/>
    </row>
    <row r="41" spans="1:17" s="241" customFormat="1">
      <c r="A41" s="251"/>
      <c r="C41" s="252"/>
      <c r="D41" s="248"/>
      <c r="E41" s="248"/>
      <c r="F41" s="252"/>
      <c r="G41" s="279"/>
      <c r="I41" s="248"/>
      <c r="J41" s="252"/>
      <c r="K41" s="252"/>
      <c r="L41" s="248"/>
      <c r="M41" s="248"/>
      <c r="N41" s="252"/>
      <c r="O41" s="252"/>
      <c r="P41" s="248"/>
      <c r="Q41" s="248"/>
    </row>
    <row r="42" spans="1:17" s="241" customFormat="1">
      <c r="A42" s="251" t="s">
        <v>46</v>
      </c>
      <c r="B42" s="241" t="s">
        <v>71</v>
      </c>
      <c r="C42" s="252">
        <v>2520000</v>
      </c>
      <c r="D42" s="240" t="s">
        <v>71</v>
      </c>
      <c r="E42" s="248"/>
      <c r="F42" s="252"/>
      <c r="G42" s="279"/>
      <c r="I42" s="248"/>
      <c r="J42" s="252"/>
      <c r="K42" s="252"/>
      <c r="L42" s="248"/>
      <c r="M42" s="248"/>
      <c r="N42" s="252"/>
      <c r="O42" s="252"/>
      <c r="P42" s="248"/>
      <c r="Q42" s="248"/>
    </row>
    <row r="43" spans="1:17" s="241" customFormat="1">
      <c r="A43" s="246" t="s">
        <v>173</v>
      </c>
      <c r="B43" s="241" t="s">
        <v>71</v>
      </c>
      <c r="C43" s="252">
        <v>30381000</v>
      </c>
      <c r="D43" s="240" t="s">
        <v>71</v>
      </c>
      <c r="E43" s="248"/>
      <c r="F43" s="252"/>
      <c r="G43" s="279"/>
      <c r="I43" s="248"/>
      <c r="J43" s="252"/>
      <c r="K43" s="252"/>
      <c r="L43" s="248"/>
      <c r="M43" s="248"/>
      <c r="N43" s="252"/>
      <c r="O43" s="252"/>
      <c r="P43" s="248"/>
      <c r="Q43" s="248"/>
    </row>
    <row r="44" spans="1:17">
      <c r="A44" s="10" t="s">
        <v>246</v>
      </c>
      <c r="B44" s="241" t="s">
        <v>71</v>
      </c>
      <c r="C44" s="239" t="s">
        <v>71</v>
      </c>
      <c r="D44" s="248">
        <v>84.033333333333346</v>
      </c>
      <c r="E44" s="15"/>
      <c r="F44" s="47"/>
      <c r="G44" s="279"/>
      <c r="H44" s="241"/>
      <c r="I44" s="15"/>
      <c r="J44" s="47"/>
      <c r="K44" s="47"/>
      <c r="L44" s="14"/>
      <c r="M44" s="15"/>
      <c r="N44" s="47"/>
      <c r="O44" s="47"/>
      <c r="P44" s="14"/>
      <c r="Q44" s="15"/>
    </row>
    <row r="45" spans="1:17">
      <c r="A45" s="10" t="s">
        <v>247</v>
      </c>
      <c r="B45" s="241" t="s">
        <v>71</v>
      </c>
      <c r="C45" s="239" t="s">
        <v>71</v>
      </c>
      <c r="D45" s="248">
        <v>83.575000000000003</v>
      </c>
      <c r="E45" s="7"/>
      <c r="F45" s="47"/>
      <c r="G45" s="279"/>
      <c r="H45" s="241"/>
      <c r="I45" s="7"/>
      <c r="J45" s="47"/>
      <c r="K45" s="47"/>
      <c r="L45" s="13"/>
      <c r="M45" s="7"/>
      <c r="N45" s="47"/>
      <c r="O45" s="47"/>
      <c r="P45" s="13"/>
      <c r="Q45" s="7"/>
    </row>
    <row r="46" spans="1:17">
      <c r="A46" s="10" t="s">
        <v>248</v>
      </c>
      <c r="B46" s="241" t="s">
        <v>71</v>
      </c>
      <c r="C46" s="239" t="s">
        <v>71</v>
      </c>
      <c r="D46" s="248">
        <v>85.612499999999997</v>
      </c>
      <c r="E46" s="7"/>
      <c r="F46" s="47"/>
      <c r="G46" s="279"/>
      <c r="H46" s="241"/>
      <c r="I46" s="7"/>
      <c r="J46" s="47"/>
      <c r="K46" s="47"/>
      <c r="L46" s="13"/>
      <c r="M46" s="7"/>
      <c r="N46" s="47"/>
      <c r="O46" s="47"/>
      <c r="P46" s="13"/>
      <c r="Q46" s="7"/>
    </row>
    <row r="47" spans="1:17">
      <c r="A47" s="10" t="s">
        <v>249</v>
      </c>
      <c r="B47" s="241" t="s">
        <v>71</v>
      </c>
      <c r="C47" s="239" t="s">
        <v>71</v>
      </c>
      <c r="D47" s="248">
        <v>84.442857142857136</v>
      </c>
      <c r="E47" s="7"/>
      <c r="F47" s="47"/>
      <c r="G47" s="47"/>
      <c r="H47" s="13"/>
      <c r="I47" s="7"/>
      <c r="J47" s="47"/>
      <c r="K47" s="47"/>
      <c r="L47" s="13"/>
      <c r="M47" s="7"/>
      <c r="N47" s="47"/>
      <c r="O47" s="47"/>
      <c r="P47" s="13"/>
      <c r="Q47" s="7"/>
    </row>
    <row r="48" spans="1:17">
      <c r="A48" s="242" t="s">
        <v>48</v>
      </c>
      <c r="B48" s="301">
        <f>SUM(B18,B20,B23,B25,B30,B33,B37,B39)</f>
        <v>725390</v>
      </c>
      <c r="C48" s="252">
        <v>867000</v>
      </c>
      <c r="D48" s="248">
        <v>83.666666666666671</v>
      </c>
      <c r="E48" s="7"/>
      <c r="F48" s="47"/>
      <c r="G48" s="47"/>
      <c r="H48" s="13"/>
      <c r="I48" s="7"/>
      <c r="J48" s="47"/>
      <c r="K48" s="47"/>
      <c r="L48" s="13"/>
      <c r="M48" s="7"/>
      <c r="N48" s="47"/>
      <c r="O48" s="47"/>
      <c r="P48" s="13"/>
      <c r="Q48" s="7"/>
    </row>
    <row r="49" spans="1:17" s="10" customFormat="1" ht="12.75">
      <c r="A49" s="10" t="s">
        <v>156</v>
      </c>
      <c r="B49" s="10" t="s">
        <v>71</v>
      </c>
      <c r="C49" s="10" t="s">
        <v>71</v>
      </c>
      <c r="D49" s="10">
        <v>86.35</v>
      </c>
    </row>
    <row r="50" spans="1:17" s="10" customFormat="1" ht="12.75">
      <c r="A50" s="10" t="s">
        <v>359</v>
      </c>
      <c r="B50" s="10" t="s">
        <v>71</v>
      </c>
      <c r="C50" s="10" t="s">
        <v>71</v>
      </c>
      <c r="D50" s="10">
        <v>87.90000000000002</v>
      </c>
    </row>
    <row r="51" spans="1:17" s="10" customFormat="1" ht="12.75">
      <c r="A51" s="10" t="s">
        <v>157</v>
      </c>
      <c r="B51" s="10" t="s">
        <v>71</v>
      </c>
      <c r="C51" s="10" t="s">
        <v>71</v>
      </c>
      <c r="D51" s="10">
        <v>86.083333333333329</v>
      </c>
    </row>
    <row r="52" spans="1:17" s="10" customFormat="1" ht="12.75">
      <c r="A52" s="10" t="s">
        <v>158</v>
      </c>
      <c r="B52" s="10" t="s">
        <v>71</v>
      </c>
      <c r="C52" s="10" t="s">
        <v>71</v>
      </c>
      <c r="D52" s="10">
        <v>79.449999999999989</v>
      </c>
    </row>
    <row r="53" spans="1:17" s="241" customFormat="1">
      <c r="A53"/>
      <c r="B53"/>
      <c r="C53"/>
      <c r="D53"/>
      <c r="E53" s="244"/>
      <c r="F53" s="243"/>
      <c r="G53" s="243"/>
      <c r="H53" s="244"/>
      <c r="I53" s="244"/>
      <c r="J53" s="243"/>
      <c r="K53" s="243"/>
      <c r="L53" s="244"/>
      <c r="M53" s="244"/>
      <c r="N53" s="243"/>
      <c r="O53" s="243"/>
      <c r="P53" s="244"/>
      <c r="Q53" s="244"/>
    </row>
    <row r="54" spans="1:17">
      <c r="A54" s="23" t="s">
        <v>13</v>
      </c>
    </row>
    <row r="194" spans="8:8">
      <c r="H194" s="251"/>
    </row>
    <row r="197" spans="8:8">
      <c r="H197" s="251"/>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1F58-AA38-49EF-B7E1-FE47F56CDA6F}">
  <sheetPr>
    <pageSetUpPr autoPageBreaks="0"/>
  </sheetPr>
  <dimension ref="A1:H54"/>
  <sheetViews>
    <sheetView zoomScale="55" zoomScaleNormal="55" workbookViewId="0">
      <selection activeCell="T38" sqref="T38"/>
    </sheetView>
  </sheetViews>
  <sheetFormatPr defaultColWidth="8.7109375" defaultRowHeight="15"/>
  <cols>
    <col min="1" max="1" width="25" customWidth="1" collapsed="1"/>
    <col min="2" max="8" width="14" customWidth="1" collapsed="1"/>
  </cols>
  <sheetData>
    <row r="1" spans="1:8" ht="15.75">
      <c r="A1" s="24" t="s">
        <v>0</v>
      </c>
    </row>
    <row r="2" spans="1:8">
      <c r="A2" s="23" t="s">
        <v>107</v>
      </c>
    </row>
    <row r="4" spans="1:8">
      <c r="A4" s="22" t="s">
        <v>2</v>
      </c>
      <c r="B4" s="22" t="s">
        <v>3</v>
      </c>
    </row>
    <row r="5" spans="1:8">
      <c r="A5" s="22" t="s">
        <v>4</v>
      </c>
      <c r="B5" s="22" t="s">
        <v>110</v>
      </c>
    </row>
    <row r="7" spans="1:8" s="241" customFormat="1" ht="21.95" customHeight="1">
      <c r="A7" s="249" t="s">
        <v>7</v>
      </c>
      <c r="B7" s="277"/>
      <c r="C7" s="277"/>
      <c r="D7" s="277"/>
      <c r="E7" s="277"/>
      <c r="F7" s="277"/>
      <c r="G7" s="277"/>
      <c r="H7" s="277"/>
    </row>
    <row r="8" spans="1:8" s="241" customFormat="1" ht="26.1" customHeight="1">
      <c r="A8"/>
      <c r="B8" s="250" t="s">
        <v>8</v>
      </c>
      <c r="C8" s="250" t="s">
        <v>9</v>
      </c>
      <c r="D8" s="250" t="s">
        <v>10</v>
      </c>
      <c r="E8" s="250"/>
      <c r="F8" s="250"/>
      <c r="G8" s="250"/>
      <c r="H8" s="250"/>
    </row>
    <row r="9" spans="1:8" s="241" customFormat="1">
      <c r="A9" s="251" t="s">
        <v>15</v>
      </c>
      <c r="B9" s="241">
        <v>17222</v>
      </c>
      <c r="C9" s="252">
        <v>158000</v>
      </c>
      <c r="D9" s="248">
        <v>10.9</v>
      </c>
      <c r="E9" s="248"/>
      <c r="F9" s="252"/>
      <c r="G9" s="248"/>
      <c r="H9" s="248"/>
    </row>
    <row r="10" spans="1:8" s="241" customFormat="1">
      <c r="A10" s="251" t="s">
        <v>16</v>
      </c>
      <c r="B10" s="241">
        <v>13699</v>
      </c>
      <c r="C10" s="252">
        <v>103000</v>
      </c>
      <c r="D10" s="248">
        <v>13.3</v>
      </c>
      <c r="E10" s="248"/>
      <c r="F10" s="252"/>
      <c r="G10" s="248"/>
      <c r="H10" s="248"/>
    </row>
    <row r="11" spans="1:8" s="241" customFormat="1">
      <c r="A11" s="251" t="s">
        <v>17</v>
      </c>
      <c r="B11" s="241">
        <v>5796</v>
      </c>
      <c r="C11" s="252">
        <v>36000</v>
      </c>
      <c r="D11" s="248">
        <v>16.100000000000001</v>
      </c>
      <c r="E11" s="248"/>
      <c r="F11" s="252"/>
      <c r="G11" s="248"/>
      <c r="H11" s="248"/>
    </row>
    <row r="12" spans="1:8" s="241" customFormat="1">
      <c r="A12" s="251" t="s">
        <v>18</v>
      </c>
      <c r="B12" s="241">
        <v>6475</v>
      </c>
      <c r="C12" s="252">
        <v>37000</v>
      </c>
      <c r="D12" s="248">
        <v>17.5</v>
      </c>
      <c r="E12" s="248"/>
      <c r="F12" s="252"/>
      <c r="G12" s="248"/>
      <c r="H12" s="248"/>
    </row>
    <row r="13" spans="1:8" s="241" customFormat="1">
      <c r="A13" s="251" t="s">
        <v>126</v>
      </c>
      <c r="B13" s="241">
        <v>23140</v>
      </c>
      <c r="C13" s="252">
        <v>356000</v>
      </c>
      <c r="D13" s="248">
        <v>6.5</v>
      </c>
      <c r="E13" s="248"/>
      <c r="F13" s="252"/>
      <c r="G13" s="248"/>
      <c r="H13" s="248"/>
    </row>
    <row r="14" spans="1:8" s="241" customFormat="1">
      <c r="A14" s="251" t="s">
        <v>19</v>
      </c>
      <c r="B14" s="241">
        <v>1620.0000000000002</v>
      </c>
      <c r="C14" s="252">
        <v>15000</v>
      </c>
      <c r="D14" s="248">
        <v>10.8</v>
      </c>
      <c r="E14" s="248"/>
      <c r="F14" s="252"/>
      <c r="G14" s="248"/>
      <c r="H14" s="252"/>
    </row>
    <row r="15" spans="1:8" s="241" customFormat="1">
      <c r="A15" s="251" t="s">
        <v>20</v>
      </c>
      <c r="B15" s="241">
        <v>12180</v>
      </c>
      <c r="C15" s="252">
        <v>58000</v>
      </c>
      <c r="D15" s="248">
        <v>21</v>
      </c>
      <c r="E15" s="248"/>
      <c r="F15" s="252"/>
      <c r="G15" s="248"/>
      <c r="H15" s="248"/>
    </row>
    <row r="16" spans="1:8" s="241" customFormat="1">
      <c r="A16" s="251" t="s">
        <v>21</v>
      </c>
      <c r="B16" s="241">
        <v>11780</v>
      </c>
      <c r="C16" s="252">
        <v>76000</v>
      </c>
      <c r="D16" s="248">
        <v>15.5</v>
      </c>
      <c r="E16" s="248"/>
      <c r="F16" s="252"/>
      <c r="G16" s="248"/>
      <c r="H16" s="248"/>
    </row>
    <row r="17" spans="1:8" s="241" customFormat="1">
      <c r="A17" s="251" t="s">
        <v>22</v>
      </c>
      <c r="B17" s="241">
        <v>6437</v>
      </c>
      <c r="C17" s="252">
        <v>41000</v>
      </c>
      <c r="D17" s="248">
        <v>15.7</v>
      </c>
      <c r="E17" s="248"/>
      <c r="F17" s="252"/>
      <c r="G17" s="248"/>
      <c r="H17" s="248"/>
    </row>
    <row r="18" spans="1:8" s="241" customFormat="1">
      <c r="A18" s="251" t="s">
        <v>23</v>
      </c>
      <c r="B18" s="241">
        <v>2392</v>
      </c>
      <c r="C18" s="252">
        <v>26000</v>
      </c>
      <c r="D18" s="248">
        <v>9.1999999999999993</v>
      </c>
      <c r="E18" s="248"/>
      <c r="F18" s="252"/>
      <c r="G18" s="248"/>
      <c r="H18" s="248"/>
    </row>
    <row r="19" spans="1:8" s="241" customFormat="1">
      <c r="A19" s="251" t="s">
        <v>24</v>
      </c>
      <c r="B19" s="241">
        <v>4125</v>
      </c>
      <c r="C19" s="252">
        <v>33000</v>
      </c>
      <c r="D19" s="248">
        <v>12.5</v>
      </c>
      <c r="E19" s="248"/>
      <c r="F19" s="252"/>
      <c r="G19" s="248"/>
      <c r="H19" s="248"/>
    </row>
    <row r="20" spans="1:8" s="241" customFormat="1">
      <c r="A20" s="251" t="s">
        <v>25</v>
      </c>
      <c r="B20" s="241">
        <v>1386</v>
      </c>
      <c r="C20" s="252">
        <v>22000</v>
      </c>
      <c r="D20" s="248">
        <v>6.3</v>
      </c>
      <c r="E20" s="248"/>
      <c r="F20" s="252"/>
      <c r="G20" s="248"/>
      <c r="H20" s="248"/>
    </row>
    <row r="21" spans="1:8" s="241" customFormat="1">
      <c r="A21" s="251" t="s">
        <v>26</v>
      </c>
      <c r="B21" s="241">
        <v>9849</v>
      </c>
      <c r="C21" s="252">
        <v>67000</v>
      </c>
      <c r="D21" s="248">
        <v>14.7</v>
      </c>
      <c r="E21" s="248"/>
      <c r="F21" s="252"/>
      <c r="G21" s="248"/>
      <c r="H21" s="248"/>
    </row>
    <row r="22" spans="1:8" s="241" customFormat="1">
      <c r="A22" s="251" t="s">
        <v>27</v>
      </c>
      <c r="B22" s="241">
        <v>19591.000000000004</v>
      </c>
      <c r="C22" s="252">
        <v>137000</v>
      </c>
      <c r="D22" s="248">
        <v>14.3</v>
      </c>
      <c r="E22" s="248"/>
      <c r="F22" s="252"/>
      <c r="G22" s="248"/>
      <c r="H22" s="248"/>
    </row>
    <row r="23" spans="1:8" s="241" customFormat="1">
      <c r="A23" s="251" t="s">
        <v>28</v>
      </c>
      <c r="B23" s="241">
        <v>31302.000000000004</v>
      </c>
      <c r="C23" s="252">
        <v>423000</v>
      </c>
      <c r="D23" s="248">
        <v>7.4</v>
      </c>
      <c r="E23" s="248"/>
      <c r="F23" s="252"/>
      <c r="G23" s="248"/>
      <c r="H23" s="248"/>
    </row>
    <row r="24" spans="1:8" s="241" customFormat="1">
      <c r="A24" s="251" t="s">
        <v>29</v>
      </c>
      <c r="B24" s="241">
        <v>12768</v>
      </c>
      <c r="C24" s="252">
        <v>112000</v>
      </c>
      <c r="D24" s="248">
        <v>11.4</v>
      </c>
      <c r="E24" s="248"/>
      <c r="F24" s="252"/>
      <c r="G24" s="248"/>
      <c r="H24" s="248"/>
    </row>
    <row r="25" spans="1:8" s="241" customFormat="1">
      <c r="A25" s="251" t="s">
        <v>30</v>
      </c>
      <c r="B25" s="241">
        <v>3510.0000000000005</v>
      </c>
      <c r="C25" s="252">
        <v>26000</v>
      </c>
      <c r="D25" s="248">
        <v>13.5</v>
      </c>
      <c r="E25" s="248"/>
      <c r="F25" s="252"/>
      <c r="G25" s="248"/>
      <c r="H25" s="248"/>
    </row>
    <row r="26" spans="1:8" s="241" customFormat="1">
      <c r="A26" s="251" t="s">
        <v>31</v>
      </c>
      <c r="B26" s="241">
        <v>3663</v>
      </c>
      <c r="C26" s="252">
        <v>33000</v>
      </c>
      <c r="D26" s="248">
        <v>11.1</v>
      </c>
      <c r="E26" s="248"/>
      <c r="F26" s="252"/>
      <c r="G26" s="248"/>
      <c r="H26" s="248"/>
    </row>
    <row r="27" spans="1:8" s="241" customFormat="1">
      <c r="A27" s="251" t="s">
        <v>32</v>
      </c>
      <c r="B27" s="241">
        <v>5004</v>
      </c>
      <c r="C27" s="252">
        <v>36000</v>
      </c>
      <c r="D27" s="248">
        <v>13.9</v>
      </c>
      <c r="E27" s="248"/>
      <c r="F27" s="252"/>
      <c r="G27" s="248"/>
      <c r="H27" s="248"/>
    </row>
    <row r="28" spans="1:8" s="241" customFormat="1">
      <c r="A28" s="251" t="s">
        <v>33</v>
      </c>
      <c r="B28" s="241" t="s">
        <v>71</v>
      </c>
      <c r="C28" s="239" t="s">
        <v>71</v>
      </c>
      <c r="D28" s="240" t="s">
        <v>71</v>
      </c>
      <c r="E28" s="248"/>
      <c r="F28" s="252"/>
      <c r="G28" s="248"/>
      <c r="H28" s="248"/>
    </row>
    <row r="29" spans="1:8" s="241" customFormat="1">
      <c r="A29" s="251" t="s">
        <v>34</v>
      </c>
      <c r="B29" s="241">
        <v>4674</v>
      </c>
      <c r="C29" s="252">
        <v>41000</v>
      </c>
      <c r="D29" s="248">
        <v>11.4</v>
      </c>
      <c r="E29" s="248"/>
      <c r="F29" s="252"/>
      <c r="G29" s="248"/>
      <c r="H29" s="248"/>
    </row>
    <row r="30" spans="1:8" s="241" customFormat="1">
      <c r="A30" s="251" t="s">
        <v>35</v>
      </c>
      <c r="B30" s="241">
        <v>16348</v>
      </c>
      <c r="C30" s="252">
        <v>134000</v>
      </c>
      <c r="D30" s="248">
        <v>12.2</v>
      </c>
      <c r="E30" s="248"/>
      <c r="F30" s="252"/>
      <c r="G30" s="248"/>
      <c r="H30" s="248"/>
    </row>
    <row r="31" spans="1:8" s="241" customFormat="1">
      <c r="A31" s="251" t="s">
        <v>36</v>
      </c>
      <c r="B31" s="241" t="s">
        <v>71</v>
      </c>
      <c r="C31" s="239" t="s">
        <v>71</v>
      </c>
      <c r="D31" s="240" t="s">
        <v>71</v>
      </c>
      <c r="E31" s="248"/>
      <c r="F31" s="252"/>
      <c r="G31" s="248"/>
      <c r="H31" s="252"/>
    </row>
    <row r="32" spans="1:8" s="241" customFormat="1">
      <c r="A32" s="251" t="s">
        <v>37</v>
      </c>
      <c r="B32" s="241">
        <v>10560</v>
      </c>
      <c r="C32" s="252">
        <v>64000</v>
      </c>
      <c r="D32" s="248">
        <v>16.5</v>
      </c>
      <c r="E32" s="248"/>
      <c r="F32" s="252"/>
      <c r="G32" s="248"/>
      <c r="H32" s="248"/>
    </row>
    <row r="33" spans="1:8" s="241" customFormat="1">
      <c r="A33" s="251" t="s">
        <v>38</v>
      </c>
      <c r="B33" s="241">
        <v>8134</v>
      </c>
      <c r="C33" s="252">
        <v>83000</v>
      </c>
      <c r="D33" s="248">
        <v>9.8000000000000007</v>
      </c>
      <c r="E33" s="248"/>
      <c r="F33" s="252"/>
      <c r="G33" s="248"/>
      <c r="H33" s="248"/>
    </row>
    <row r="34" spans="1:8" s="241" customFormat="1">
      <c r="A34" s="251" t="s">
        <v>39</v>
      </c>
      <c r="B34" s="241">
        <v>5124</v>
      </c>
      <c r="C34" s="252">
        <v>42000</v>
      </c>
      <c r="D34" s="248">
        <v>12.2</v>
      </c>
      <c r="E34" s="248"/>
      <c r="F34" s="252"/>
      <c r="G34" s="248"/>
      <c r="H34" s="248"/>
    </row>
    <row r="35" spans="1:8" s="241" customFormat="1">
      <c r="A35" s="251" t="s">
        <v>40</v>
      </c>
      <c r="B35" s="241" t="s">
        <v>71</v>
      </c>
      <c r="C35" s="239" t="s">
        <v>71</v>
      </c>
      <c r="D35" s="240" t="s">
        <v>71</v>
      </c>
      <c r="E35" s="252"/>
      <c r="F35" s="252"/>
      <c r="G35" s="248"/>
      <c r="H35" s="248"/>
    </row>
    <row r="36" spans="1:8" s="241" customFormat="1">
      <c r="A36" s="251" t="s">
        <v>41</v>
      </c>
      <c r="B36" s="241">
        <v>5704</v>
      </c>
      <c r="C36" s="252">
        <v>46000</v>
      </c>
      <c r="D36" s="248">
        <v>12.4</v>
      </c>
      <c r="E36" s="248"/>
      <c r="F36" s="252"/>
      <c r="G36" s="248"/>
      <c r="H36" s="248"/>
    </row>
    <row r="37" spans="1:8" s="241" customFormat="1">
      <c r="A37" s="251" t="s">
        <v>42</v>
      </c>
      <c r="B37" s="241">
        <v>11781</v>
      </c>
      <c r="C37" s="252">
        <v>119000</v>
      </c>
      <c r="D37" s="248">
        <v>9.9</v>
      </c>
      <c r="E37" s="244"/>
      <c r="F37" s="243"/>
      <c r="G37" s="244"/>
      <c r="H37" s="244"/>
    </row>
    <row r="38" spans="1:8" s="241" customFormat="1">
      <c r="A38" s="251" t="s">
        <v>43</v>
      </c>
      <c r="B38" s="241">
        <v>6624.0000000000009</v>
      </c>
      <c r="C38" s="252">
        <v>46000</v>
      </c>
      <c r="D38" s="248">
        <v>14.4</v>
      </c>
      <c r="E38" s="248"/>
      <c r="F38" s="252"/>
      <c r="G38" s="248"/>
      <c r="H38" s="248"/>
    </row>
    <row r="39" spans="1:8" s="241" customFormat="1">
      <c r="A39" s="251" t="s">
        <v>44</v>
      </c>
      <c r="B39" s="241">
        <v>4389</v>
      </c>
      <c r="C39" s="252">
        <v>33000</v>
      </c>
      <c r="D39" s="248">
        <v>13.3</v>
      </c>
      <c r="E39" s="248"/>
      <c r="F39" s="252"/>
      <c r="G39" s="248"/>
      <c r="H39" s="248"/>
    </row>
    <row r="40" spans="1:8" s="241" customFormat="1">
      <c r="A40" s="251" t="s">
        <v>45</v>
      </c>
      <c r="B40" s="241">
        <v>8932</v>
      </c>
      <c r="C40" s="252">
        <v>77000</v>
      </c>
      <c r="D40" s="248">
        <v>11.6</v>
      </c>
      <c r="E40" s="248"/>
      <c r="F40" s="252"/>
      <c r="G40" s="248"/>
      <c r="H40" s="248"/>
    </row>
    <row r="41" spans="1:8" s="241" customFormat="1">
      <c r="A41" s="251"/>
      <c r="C41" s="252"/>
      <c r="D41" s="248"/>
      <c r="E41" s="248"/>
      <c r="F41" s="252"/>
      <c r="G41" s="248"/>
      <c r="H41" s="248"/>
    </row>
    <row r="42" spans="1:8" s="241" customFormat="1">
      <c r="A42" s="251" t="s">
        <v>46</v>
      </c>
      <c r="B42" s="241" t="s">
        <v>71</v>
      </c>
      <c r="C42" s="252">
        <v>2520000</v>
      </c>
      <c r="D42" s="240" t="s">
        <v>71</v>
      </c>
      <c r="E42" s="248"/>
      <c r="F42" s="252"/>
      <c r="G42" s="248"/>
      <c r="H42" s="248"/>
    </row>
    <row r="43" spans="1:8" s="241" customFormat="1">
      <c r="A43" s="246" t="s">
        <v>173</v>
      </c>
      <c r="B43" s="241" t="s">
        <v>71</v>
      </c>
      <c r="C43" s="252">
        <v>30381000</v>
      </c>
      <c r="D43" s="240" t="s">
        <v>71</v>
      </c>
      <c r="E43" s="248"/>
      <c r="F43" s="252"/>
      <c r="G43" s="248"/>
      <c r="H43" s="248"/>
    </row>
    <row r="44" spans="1:8">
      <c r="A44" s="10" t="s">
        <v>246</v>
      </c>
      <c r="B44" s="241" t="s">
        <v>71</v>
      </c>
      <c r="C44" s="239" t="s">
        <v>71</v>
      </c>
      <c r="D44" s="248">
        <v>10.45</v>
      </c>
      <c r="E44" s="15"/>
      <c r="F44" s="47"/>
      <c r="G44" s="14"/>
      <c r="H44" s="15"/>
    </row>
    <row r="45" spans="1:8">
      <c r="A45" s="10" t="s">
        <v>247</v>
      </c>
      <c r="B45" s="241" t="s">
        <v>71</v>
      </c>
      <c r="C45" s="239" t="s">
        <v>71</v>
      </c>
      <c r="D45" s="248">
        <v>13.637499999999999</v>
      </c>
      <c r="E45" s="7"/>
      <c r="F45" s="47"/>
      <c r="G45" s="13"/>
      <c r="H45" s="7"/>
    </row>
    <row r="46" spans="1:8">
      <c r="A46" s="10" t="s">
        <v>248</v>
      </c>
      <c r="B46" s="241" t="s">
        <v>71</v>
      </c>
      <c r="C46" s="239" t="s">
        <v>71</v>
      </c>
      <c r="D46" s="248">
        <v>13.0625</v>
      </c>
      <c r="E46" s="7"/>
      <c r="F46" s="47"/>
      <c r="G46" s="13"/>
      <c r="H46" s="7"/>
    </row>
    <row r="47" spans="1:8">
      <c r="A47" s="10" t="s">
        <v>249</v>
      </c>
      <c r="B47" s="241" t="s">
        <v>71</v>
      </c>
      <c r="C47" s="239" t="s">
        <v>71</v>
      </c>
      <c r="D47" s="248">
        <v>12.714285714285714</v>
      </c>
      <c r="E47" s="7"/>
      <c r="F47" s="47"/>
      <c r="G47" s="13"/>
      <c r="H47" s="7"/>
    </row>
    <row r="48" spans="1:8">
      <c r="A48" s="242" t="s">
        <v>48</v>
      </c>
      <c r="B48" s="241">
        <v>79242</v>
      </c>
      <c r="C48" s="252">
        <v>867000</v>
      </c>
      <c r="D48" s="248">
        <v>9.1397923875432525</v>
      </c>
      <c r="E48" s="7"/>
      <c r="F48" s="47"/>
      <c r="G48" s="13"/>
      <c r="H48" s="7"/>
    </row>
    <row r="49" spans="1:8" s="10" customFormat="1" ht="12.75">
      <c r="A49" s="10" t="s">
        <v>156</v>
      </c>
      <c r="B49" s="10" t="s">
        <v>71</v>
      </c>
      <c r="C49" s="10" t="s">
        <v>71</v>
      </c>
      <c r="D49" s="10">
        <v>12.100000000000001</v>
      </c>
    </row>
    <row r="50" spans="1:8" s="10" customFormat="1" ht="12.75">
      <c r="A50" s="10" t="s">
        <v>359</v>
      </c>
      <c r="B50" s="10" t="s">
        <v>71</v>
      </c>
      <c r="C50" s="10" t="s">
        <v>71</v>
      </c>
      <c r="D50" s="10">
        <v>13.300000000000002</v>
      </c>
    </row>
    <row r="51" spans="1:8" s="10" customFormat="1" ht="12.75">
      <c r="A51" s="10" t="s">
        <v>157</v>
      </c>
      <c r="B51" s="10" t="s">
        <v>71</v>
      </c>
      <c r="C51" s="10" t="s">
        <v>71</v>
      </c>
      <c r="D51" s="10">
        <v>11.366666666666665</v>
      </c>
    </row>
    <row r="52" spans="1:8" s="10" customFormat="1" ht="12.75">
      <c r="A52" s="10" t="s">
        <v>158</v>
      </c>
      <c r="B52" s="10" t="s">
        <v>71</v>
      </c>
      <c r="C52" s="10" t="s">
        <v>71</v>
      </c>
      <c r="D52" s="10">
        <v>15.600000000000001</v>
      </c>
    </row>
    <row r="53" spans="1:8" s="241" customFormat="1">
      <c r="A53"/>
      <c r="B53"/>
      <c r="C53"/>
      <c r="D53"/>
      <c r="E53" s="244"/>
      <c r="F53" s="243"/>
      <c r="G53" s="244"/>
      <c r="H53" s="244"/>
    </row>
    <row r="54" spans="1:8">
      <c r="A54" s="23" t="s">
        <v>13</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D9292-7F57-4DB4-850B-B9CF1789E9F6}">
  <sheetPr>
    <pageSetUpPr autoPageBreaks="0"/>
  </sheetPr>
  <dimension ref="A1:F54"/>
  <sheetViews>
    <sheetView topLeftCell="A13" zoomScale="55" zoomScaleNormal="55" workbookViewId="0">
      <selection activeCell="T38" sqref="T38"/>
    </sheetView>
  </sheetViews>
  <sheetFormatPr defaultColWidth="8.7109375" defaultRowHeight="15"/>
  <cols>
    <col min="1" max="1" width="25" customWidth="1" collapsed="1"/>
    <col min="2" max="6" width="14" customWidth="1" collapsed="1"/>
  </cols>
  <sheetData>
    <row r="1" spans="1:6" ht="15.75">
      <c r="A1" s="24" t="s">
        <v>0</v>
      </c>
    </row>
    <row r="2" spans="1:6">
      <c r="A2" s="23" t="s">
        <v>107</v>
      </c>
    </row>
    <row r="4" spans="1:6">
      <c r="A4" s="22" t="s">
        <v>2</v>
      </c>
      <c r="B4" s="22" t="s">
        <v>3</v>
      </c>
    </row>
    <row r="5" spans="1:6">
      <c r="A5" s="22" t="s">
        <v>4</v>
      </c>
      <c r="B5" s="22" t="s">
        <v>110</v>
      </c>
    </row>
    <row r="7" spans="1:6" s="241" customFormat="1" ht="21.95" customHeight="1">
      <c r="A7" s="249" t="s">
        <v>7</v>
      </c>
      <c r="B7" s="277"/>
      <c r="C7" s="277"/>
      <c r="D7" s="277"/>
      <c r="E7" s="277"/>
      <c r="F7" s="277"/>
    </row>
    <row r="8" spans="1:6" s="241" customFormat="1" ht="26.1" customHeight="1">
      <c r="A8"/>
      <c r="B8" s="250" t="s">
        <v>8</v>
      </c>
      <c r="C8" s="250" t="s">
        <v>9</v>
      </c>
      <c r="D8" s="250" t="s">
        <v>10</v>
      </c>
      <c r="E8" s="250"/>
      <c r="F8" s="250"/>
    </row>
    <row r="9" spans="1:6" s="241" customFormat="1">
      <c r="A9" s="251" t="s">
        <v>15</v>
      </c>
      <c r="B9" s="301">
        <f>C9*(D9/100)</f>
        <v>4740</v>
      </c>
      <c r="C9" s="252">
        <v>158000</v>
      </c>
      <c r="D9" s="248">
        <v>3</v>
      </c>
      <c r="E9" s="248"/>
      <c r="F9" s="252"/>
    </row>
    <row r="10" spans="1:6" s="241" customFormat="1">
      <c r="A10" s="251" t="s">
        <v>16</v>
      </c>
      <c r="B10" s="301">
        <f t="shared" ref="B10:B40" si="0">C10*(D10/100)</f>
        <v>2472</v>
      </c>
      <c r="C10" s="252">
        <v>103000</v>
      </c>
      <c r="D10" s="248">
        <v>2.4</v>
      </c>
      <c r="E10" s="248"/>
      <c r="F10" s="252"/>
    </row>
    <row r="11" spans="1:6" s="241" customFormat="1">
      <c r="A11" s="251" t="s">
        <v>17</v>
      </c>
      <c r="B11" s="301">
        <f t="shared" si="0"/>
        <v>1152</v>
      </c>
      <c r="C11" s="252">
        <v>36000</v>
      </c>
      <c r="D11" s="248">
        <v>3.2</v>
      </c>
      <c r="E11" s="248"/>
      <c r="F11" s="252"/>
    </row>
    <row r="12" spans="1:6" s="241" customFormat="1">
      <c r="A12" s="251" t="s">
        <v>18</v>
      </c>
      <c r="B12" s="301">
        <f t="shared" si="0"/>
        <v>925</v>
      </c>
      <c r="C12" s="252">
        <v>37000</v>
      </c>
      <c r="D12" s="248">
        <v>2.5</v>
      </c>
      <c r="E12" s="248"/>
      <c r="F12" s="252"/>
    </row>
    <row r="13" spans="1:6" s="241" customFormat="1">
      <c r="A13" s="251" t="s">
        <v>126</v>
      </c>
      <c r="B13" s="301">
        <f t="shared" si="0"/>
        <v>6408.0000000000009</v>
      </c>
      <c r="C13" s="252">
        <v>356000</v>
      </c>
      <c r="D13" s="248">
        <v>1.8</v>
      </c>
      <c r="E13" s="248"/>
      <c r="F13" s="252"/>
    </row>
    <row r="14" spans="1:6" s="241" customFormat="1">
      <c r="A14" s="251" t="s">
        <v>19</v>
      </c>
      <c r="B14" s="241" t="s">
        <v>12</v>
      </c>
      <c r="C14" s="252">
        <v>15000</v>
      </c>
      <c r="D14" s="248" t="s">
        <v>12</v>
      </c>
      <c r="E14" s="248"/>
      <c r="F14" s="252"/>
    </row>
    <row r="15" spans="1:6" s="241" customFormat="1">
      <c r="A15" s="251" t="s">
        <v>20</v>
      </c>
      <c r="B15" s="301">
        <f t="shared" si="0"/>
        <v>1392</v>
      </c>
      <c r="C15" s="252">
        <v>58000</v>
      </c>
      <c r="D15" s="248">
        <v>2.4</v>
      </c>
      <c r="E15" s="248"/>
      <c r="F15" s="252"/>
    </row>
    <row r="16" spans="1:6" s="241" customFormat="1">
      <c r="A16" s="251" t="s">
        <v>21</v>
      </c>
      <c r="B16" s="301">
        <f t="shared" si="0"/>
        <v>1748</v>
      </c>
      <c r="C16" s="252">
        <v>76000</v>
      </c>
      <c r="D16" s="248">
        <v>2.2999999999999998</v>
      </c>
      <c r="E16" s="248"/>
      <c r="F16" s="252"/>
    </row>
    <row r="17" spans="1:6" s="241" customFormat="1">
      <c r="A17" s="251" t="s">
        <v>22</v>
      </c>
      <c r="B17" s="301">
        <f t="shared" si="0"/>
        <v>1394</v>
      </c>
      <c r="C17" s="252">
        <v>41000</v>
      </c>
      <c r="D17" s="248">
        <v>3.4</v>
      </c>
      <c r="E17" s="248"/>
      <c r="F17" s="252"/>
    </row>
    <row r="18" spans="1:6" s="241" customFormat="1">
      <c r="A18" s="251" t="s">
        <v>23</v>
      </c>
      <c r="B18" s="301">
        <f t="shared" si="0"/>
        <v>1144.0000000000002</v>
      </c>
      <c r="C18" s="252">
        <v>26000</v>
      </c>
      <c r="D18" s="248">
        <v>4.4000000000000004</v>
      </c>
      <c r="E18" s="248"/>
      <c r="F18" s="252"/>
    </row>
    <row r="19" spans="1:6" s="241" customFormat="1">
      <c r="A19" s="251" t="s">
        <v>24</v>
      </c>
      <c r="B19" s="301">
        <f t="shared" si="0"/>
        <v>891.00000000000011</v>
      </c>
      <c r="C19" s="252">
        <v>33000</v>
      </c>
      <c r="D19" s="248">
        <v>2.7</v>
      </c>
      <c r="E19" s="248"/>
      <c r="F19" s="252"/>
    </row>
    <row r="20" spans="1:6" s="241" customFormat="1">
      <c r="A20" s="251" t="s">
        <v>25</v>
      </c>
      <c r="B20" s="301">
        <f t="shared" si="0"/>
        <v>396.00000000000006</v>
      </c>
      <c r="C20" s="252">
        <v>22000</v>
      </c>
      <c r="D20" s="248">
        <v>1.8</v>
      </c>
      <c r="E20" s="248"/>
      <c r="F20" s="252"/>
    </row>
    <row r="21" spans="1:6" s="241" customFormat="1">
      <c r="A21" s="251" t="s">
        <v>26</v>
      </c>
      <c r="B21" s="301">
        <f t="shared" si="0"/>
        <v>1675</v>
      </c>
      <c r="C21" s="252">
        <v>67000</v>
      </c>
      <c r="D21" s="248">
        <v>2.5</v>
      </c>
      <c r="E21" s="248"/>
      <c r="F21" s="252"/>
    </row>
    <row r="22" spans="1:6" s="241" customFormat="1">
      <c r="A22" s="251" t="s">
        <v>27</v>
      </c>
      <c r="B22" s="301">
        <f t="shared" si="0"/>
        <v>5754</v>
      </c>
      <c r="C22" s="252">
        <v>137000</v>
      </c>
      <c r="D22" s="248">
        <v>4.2</v>
      </c>
      <c r="E22" s="248"/>
      <c r="F22" s="252"/>
    </row>
    <row r="23" spans="1:6" s="241" customFormat="1">
      <c r="A23" s="251" t="s">
        <v>28</v>
      </c>
      <c r="B23" s="301">
        <f t="shared" si="0"/>
        <v>5921.9999999999991</v>
      </c>
      <c r="C23" s="252">
        <v>423000</v>
      </c>
      <c r="D23" s="248">
        <v>1.4</v>
      </c>
      <c r="E23" s="248"/>
      <c r="F23" s="252"/>
    </row>
    <row r="24" spans="1:6" s="241" customFormat="1">
      <c r="A24" s="251" t="s">
        <v>29</v>
      </c>
      <c r="B24" s="301">
        <f t="shared" si="0"/>
        <v>4144.0000000000009</v>
      </c>
      <c r="C24" s="252">
        <v>112000</v>
      </c>
      <c r="D24" s="248">
        <v>3.7</v>
      </c>
      <c r="E24" s="248"/>
      <c r="F24" s="252"/>
    </row>
    <row r="25" spans="1:6" s="241" customFormat="1">
      <c r="A25" s="251" t="s">
        <v>30</v>
      </c>
      <c r="B25" s="301">
        <f t="shared" si="0"/>
        <v>260</v>
      </c>
      <c r="C25" s="252">
        <v>26000</v>
      </c>
      <c r="D25" s="248">
        <v>1</v>
      </c>
      <c r="E25" s="248"/>
      <c r="F25" s="252"/>
    </row>
    <row r="26" spans="1:6" s="241" customFormat="1">
      <c r="A26" s="251" t="s">
        <v>31</v>
      </c>
      <c r="B26" s="241" t="s">
        <v>71</v>
      </c>
      <c r="C26" s="252">
        <v>33000</v>
      </c>
      <c r="D26" s="240" t="s">
        <v>71</v>
      </c>
      <c r="E26" s="248"/>
      <c r="F26" s="252"/>
    </row>
    <row r="27" spans="1:6" s="241" customFormat="1">
      <c r="A27" s="251" t="s">
        <v>32</v>
      </c>
      <c r="B27" s="301">
        <f t="shared" si="0"/>
        <v>1007.9999999999999</v>
      </c>
      <c r="C27" s="252">
        <v>36000</v>
      </c>
      <c r="D27" s="248">
        <v>2.8</v>
      </c>
      <c r="E27" s="248"/>
      <c r="F27" s="252"/>
    </row>
    <row r="28" spans="1:6" s="241" customFormat="1">
      <c r="A28" s="251" t="s">
        <v>33</v>
      </c>
      <c r="B28" s="241" t="s">
        <v>71</v>
      </c>
      <c r="C28" s="239" t="s">
        <v>71</v>
      </c>
      <c r="D28" s="240" t="s">
        <v>71</v>
      </c>
      <c r="E28" s="248"/>
      <c r="F28" s="252"/>
    </row>
    <row r="29" spans="1:6" s="241" customFormat="1">
      <c r="A29" s="251" t="s">
        <v>34</v>
      </c>
      <c r="B29" s="301">
        <f t="shared" si="0"/>
        <v>656</v>
      </c>
      <c r="C29" s="252">
        <v>41000</v>
      </c>
      <c r="D29" s="248">
        <v>1.6</v>
      </c>
      <c r="E29" s="248"/>
      <c r="F29" s="252"/>
    </row>
    <row r="30" spans="1:6" s="241" customFormat="1">
      <c r="A30" s="251" t="s">
        <v>35</v>
      </c>
      <c r="B30" s="301">
        <f t="shared" si="0"/>
        <v>1875.9999999999998</v>
      </c>
      <c r="C30" s="252">
        <v>134000</v>
      </c>
      <c r="D30" s="248">
        <v>1.4</v>
      </c>
      <c r="E30" s="248"/>
      <c r="F30" s="252"/>
    </row>
    <row r="31" spans="1:6" s="241" customFormat="1">
      <c r="A31" s="251" t="s">
        <v>36</v>
      </c>
      <c r="B31" s="241" t="s">
        <v>71</v>
      </c>
      <c r="C31" s="239" t="s">
        <v>71</v>
      </c>
      <c r="D31" s="240" t="s">
        <v>71</v>
      </c>
      <c r="E31" s="248"/>
      <c r="F31" s="252"/>
    </row>
    <row r="32" spans="1:6" s="241" customFormat="1">
      <c r="A32" s="251" t="s">
        <v>37</v>
      </c>
      <c r="B32" s="301">
        <f t="shared" si="0"/>
        <v>1280</v>
      </c>
      <c r="C32" s="252">
        <v>64000</v>
      </c>
      <c r="D32" s="248">
        <v>2</v>
      </c>
      <c r="E32" s="248"/>
      <c r="F32" s="252"/>
    </row>
    <row r="33" spans="1:6" s="241" customFormat="1">
      <c r="A33" s="251" t="s">
        <v>38</v>
      </c>
      <c r="B33" s="301">
        <f t="shared" si="0"/>
        <v>1743</v>
      </c>
      <c r="C33" s="252">
        <v>83000</v>
      </c>
      <c r="D33" s="248">
        <v>2.1</v>
      </c>
      <c r="E33" s="248"/>
      <c r="F33" s="252"/>
    </row>
    <row r="34" spans="1:6" s="241" customFormat="1">
      <c r="A34" s="251" t="s">
        <v>39</v>
      </c>
      <c r="B34" s="301">
        <f t="shared" si="0"/>
        <v>714</v>
      </c>
      <c r="C34" s="252">
        <v>42000</v>
      </c>
      <c r="D34" s="248">
        <v>1.7</v>
      </c>
      <c r="E34" s="248"/>
      <c r="F34" s="252"/>
    </row>
    <row r="35" spans="1:6" s="241" customFormat="1">
      <c r="A35" s="251" t="s">
        <v>40</v>
      </c>
      <c r="B35" s="241" t="s">
        <v>71</v>
      </c>
      <c r="C35" s="239" t="s">
        <v>71</v>
      </c>
      <c r="D35" s="240" t="s">
        <v>71</v>
      </c>
      <c r="E35" s="252"/>
      <c r="F35" s="252"/>
    </row>
    <row r="36" spans="1:6" s="241" customFormat="1">
      <c r="A36" s="251" t="s">
        <v>41</v>
      </c>
      <c r="B36" s="301">
        <f t="shared" si="0"/>
        <v>1564</v>
      </c>
      <c r="C36" s="252">
        <v>46000</v>
      </c>
      <c r="D36" s="248">
        <v>3.4</v>
      </c>
      <c r="E36" s="248"/>
      <c r="F36" s="252"/>
    </row>
    <row r="37" spans="1:6" s="241" customFormat="1">
      <c r="A37" s="251" t="s">
        <v>42</v>
      </c>
      <c r="B37" s="301">
        <f t="shared" si="0"/>
        <v>952</v>
      </c>
      <c r="C37" s="252">
        <v>119000</v>
      </c>
      <c r="D37" s="248">
        <v>0.8</v>
      </c>
      <c r="E37" s="244"/>
      <c r="F37" s="243"/>
    </row>
    <row r="38" spans="1:6" s="241" customFormat="1">
      <c r="A38" s="251" t="s">
        <v>43</v>
      </c>
      <c r="B38" s="301">
        <f t="shared" si="0"/>
        <v>1150</v>
      </c>
      <c r="C38" s="252">
        <v>46000</v>
      </c>
      <c r="D38" s="248">
        <v>2.5</v>
      </c>
      <c r="E38" s="248"/>
      <c r="F38" s="252"/>
    </row>
    <row r="39" spans="1:6" s="241" customFormat="1">
      <c r="A39" s="251" t="s">
        <v>44</v>
      </c>
      <c r="B39" s="301">
        <f t="shared" si="0"/>
        <v>759</v>
      </c>
      <c r="C39" s="252">
        <v>33000</v>
      </c>
      <c r="D39" s="248">
        <v>2.2999999999999998</v>
      </c>
      <c r="E39" s="248"/>
      <c r="F39" s="252"/>
    </row>
    <row r="40" spans="1:6" s="241" customFormat="1">
      <c r="A40" s="251" t="s">
        <v>45</v>
      </c>
      <c r="B40" s="301">
        <f t="shared" si="0"/>
        <v>693.00000000000011</v>
      </c>
      <c r="C40" s="252">
        <v>77000</v>
      </c>
      <c r="D40" s="248">
        <v>0.9</v>
      </c>
      <c r="E40" s="248"/>
      <c r="F40" s="252"/>
    </row>
    <row r="41" spans="1:6" s="241" customFormat="1">
      <c r="A41" s="251"/>
      <c r="B41" s="241" t="s">
        <v>71</v>
      </c>
      <c r="C41" s="239" t="s">
        <v>71</v>
      </c>
      <c r="D41" s="240" t="s">
        <v>71</v>
      </c>
      <c r="E41" s="248"/>
      <c r="F41" s="252"/>
    </row>
    <row r="42" spans="1:6" s="241" customFormat="1">
      <c r="A42" s="251" t="s">
        <v>46</v>
      </c>
      <c r="B42" s="241" t="s">
        <v>71</v>
      </c>
      <c r="C42" s="252">
        <v>2520000</v>
      </c>
      <c r="D42" s="240" t="s">
        <v>71</v>
      </c>
      <c r="E42" s="248"/>
      <c r="F42" s="252"/>
    </row>
    <row r="43" spans="1:6" s="241" customFormat="1">
      <c r="A43" s="246" t="s">
        <v>173</v>
      </c>
      <c r="B43" s="241" t="s">
        <v>71</v>
      </c>
      <c r="C43" s="252">
        <v>30381000</v>
      </c>
      <c r="D43" s="240" t="s">
        <v>71</v>
      </c>
      <c r="E43" s="248"/>
      <c r="F43" s="252"/>
    </row>
    <row r="44" spans="1:6">
      <c r="A44" s="10" t="s">
        <v>246</v>
      </c>
      <c r="B44" s="241" t="s">
        <v>71</v>
      </c>
      <c r="C44" s="239" t="s">
        <v>71</v>
      </c>
      <c r="D44" s="248">
        <v>2.5666666666666669</v>
      </c>
      <c r="E44" s="15"/>
      <c r="F44" s="47"/>
    </row>
    <row r="45" spans="1:6">
      <c r="A45" s="10" t="s">
        <v>247</v>
      </c>
      <c r="B45" s="241" t="s">
        <v>71</v>
      </c>
      <c r="C45" s="239" t="s">
        <v>71</v>
      </c>
      <c r="D45" s="248">
        <v>2.7285714285714282</v>
      </c>
      <c r="E45" s="7"/>
      <c r="F45" s="47"/>
    </row>
    <row r="46" spans="1:6">
      <c r="A46" s="10" t="s">
        <v>248</v>
      </c>
      <c r="B46" s="241" t="s">
        <v>71</v>
      </c>
      <c r="C46" s="239" t="s">
        <v>71</v>
      </c>
      <c r="D46" s="248">
        <v>2.3285714285714292</v>
      </c>
      <c r="E46" s="7"/>
      <c r="F46" s="47"/>
    </row>
    <row r="47" spans="1:6">
      <c r="A47" s="10" t="s">
        <v>249</v>
      </c>
      <c r="B47" s="241" t="s">
        <v>71</v>
      </c>
      <c r="C47" s="239" t="s">
        <v>71</v>
      </c>
      <c r="D47" s="248">
        <v>1.9142857142857144</v>
      </c>
      <c r="E47" s="7"/>
      <c r="F47" s="47"/>
    </row>
    <row r="48" spans="1:6">
      <c r="A48" s="242" t="s">
        <v>48</v>
      </c>
      <c r="B48" s="301">
        <f>SUM(B18,B20,B23,B25,B30,B33,B37,B39)</f>
        <v>13051.999999999998</v>
      </c>
      <c r="C48" s="252">
        <v>867000</v>
      </c>
      <c r="D48" s="248">
        <v>1.5054209919261821</v>
      </c>
      <c r="E48" s="7"/>
      <c r="F48" s="47"/>
    </row>
    <row r="49" spans="1:6" s="10" customFormat="1" ht="12.75">
      <c r="A49" s="10" t="s">
        <v>156</v>
      </c>
      <c r="B49" s="10" t="s">
        <v>71</v>
      </c>
      <c r="C49" s="10" t="s">
        <v>71</v>
      </c>
      <c r="D49" s="10">
        <v>2.7</v>
      </c>
    </row>
    <row r="50" spans="1:6" s="10" customFormat="1" ht="12.75">
      <c r="A50" s="10" t="s">
        <v>359</v>
      </c>
      <c r="B50" s="10" t="s">
        <v>71</v>
      </c>
      <c r="C50" s="10" t="s">
        <v>71</v>
      </c>
      <c r="D50" s="10">
        <v>2.5</v>
      </c>
    </row>
    <row r="51" spans="1:6" s="10" customFormat="1" ht="12.75">
      <c r="A51" s="10" t="s">
        <v>157</v>
      </c>
      <c r="B51" s="10" t="s">
        <v>71</v>
      </c>
      <c r="C51" s="10" t="s">
        <v>71</v>
      </c>
      <c r="D51" s="10">
        <v>2.2599999999999998</v>
      </c>
    </row>
    <row r="52" spans="1:6" s="10" customFormat="1" ht="12.75">
      <c r="A52" s="10" t="s">
        <v>158</v>
      </c>
      <c r="B52" s="10" t="s">
        <v>71</v>
      </c>
      <c r="C52" s="10" t="s">
        <v>71</v>
      </c>
      <c r="D52" s="10">
        <v>2.9249999999999998</v>
      </c>
    </row>
    <row r="53" spans="1:6" s="241" customFormat="1">
      <c r="A53"/>
      <c r="B53"/>
      <c r="C53"/>
      <c r="D53"/>
      <c r="E53" s="244"/>
      <c r="F53" s="243"/>
    </row>
    <row r="54" spans="1:6">
      <c r="A54" s="23" t="s">
        <v>13</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B1:L24"/>
  <sheetViews>
    <sheetView zoomScale="90" zoomScaleNormal="90" workbookViewId="0">
      <selection activeCell="F24" sqref="F24"/>
    </sheetView>
  </sheetViews>
  <sheetFormatPr defaultColWidth="9.140625" defaultRowHeight="12"/>
  <cols>
    <col min="1" max="1" width="9.140625" style="145"/>
    <col min="2" max="2" width="31.85546875" style="145" bestFit="1" customWidth="1"/>
    <col min="3" max="3" width="24" style="145" customWidth="1" collapsed="1"/>
    <col min="4" max="7" width="14" style="145" customWidth="1" collapsed="1"/>
    <col min="8" max="12" width="14" style="145" customWidth="1"/>
    <col min="13" max="16384" width="9.140625" style="145"/>
  </cols>
  <sheetData>
    <row r="1" spans="2:12">
      <c r="C1" s="170" t="str">
        <f>CONCATENATE(C2,D1,C6)</f>
        <v>% Children in Child Poverty after Housing Costs - LGBF Family Group 1</v>
      </c>
      <c r="D1" s="170" t="s">
        <v>290</v>
      </c>
    </row>
    <row r="2" spans="2:12" ht="12.75">
      <c r="B2" s="171" t="s">
        <v>49</v>
      </c>
      <c r="C2" s="172" t="s">
        <v>350</v>
      </c>
      <c r="E2" s="173"/>
      <c r="F2" s="467" t="s">
        <v>216</v>
      </c>
      <c r="G2" s="468"/>
    </row>
    <row r="3" spans="2:12" ht="12.75">
      <c r="B3" s="171" t="s">
        <v>50</v>
      </c>
      <c r="C3" s="309" t="s">
        <v>61</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t="s">
        <v>182</v>
      </c>
      <c r="E6" s="181" t="s">
        <v>355</v>
      </c>
      <c r="F6" s="181" t="s">
        <v>393</v>
      </c>
      <c r="G6" s="181" t="s">
        <v>441</v>
      </c>
      <c r="H6" s="181" t="s">
        <v>489</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East Renfrewshire</v>
      </c>
      <c r="D7" s="217">
        <f>VLOOKUP($C7,'Raw - Child Poverty'!$A:$Q,4,FALSE)</f>
        <v>15.768469870090485</v>
      </c>
      <c r="E7" s="217">
        <f>VLOOKUP($C7,'Raw - Child Poverty'!$A:$Q,8,FALSE)</f>
        <v>12.794038653373718</v>
      </c>
      <c r="F7" s="217">
        <f>VLOOKUP($C7,'Raw - Child Poverty'!$A:$Q,12,FALSE)</f>
        <v>14.437636733055115</v>
      </c>
      <c r="G7" s="217">
        <f>VLOOKUP($C7,'Raw - Child Poverty'!$A:$Q,16,FALSE)</f>
        <v>14.000661671161652</v>
      </c>
      <c r="H7" s="218">
        <f>VLOOKUP(C7,'Raw - Child Poverty'!A:Q,14,FALSE)</f>
        <v>3247</v>
      </c>
      <c r="I7" s="219">
        <f>IFERROR(SUM(G7-D7),"-")</f>
        <v>-1.767808198928833</v>
      </c>
      <c r="J7" s="220">
        <f>IFERROR(SUM(VLOOKUP(C7,'Raw - Child Poverty'!A:Q,14,FALSE)-VLOOKUP(C7,'Raw - Child Poverty'!A:Q,2,FALSE)),"-")</f>
        <v>-402</v>
      </c>
      <c r="K7" s="221" t="str">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
      </c>
      <c r="L7" s="222" t="str">
        <f>IF(K7=""," ",IF($K$5="LGBF Family Group Average",SUM(MROUND(SUM(SUM(VLOOKUP(C$18,'Raw - Child Poverty'!A:Q,16,FALSE)*VLOOKUP(C7,'Raw - Child Poverty'!A:Q,15,FALSE))/100),100)-MROUND(SUM(SUM(VLOOKUP(C7,'Raw - Child Poverty'!A:Q,16,FALSE)*VLOOKUP(C7,'Raw - Child Poverty'!A:Q,15,FALSE))/100),100)),IF($K$5="City Region Comparator",SUM(MROUND(SUM(SUM(VLOOKUP(C$19,'Raw - Child Poverty'!A:Q,16,FALSE)*VLOOKUP(C7,'Raw - Child Poverty'!A:Q,15,FALSE))/100),100)-MROUND(SUM(SUM(VLOOKUP(C7,'Raw - Child Poverty'!A:Q,16,FALSE)*VLOOKUP(C7,'Raw - Child Poverty'!A:Q,15,FALSE))/100),100)),IF($K$5="Scotland",SUM(MROUND(SUM(SUM(VLOOKUP(C$20,'Raw - Child Poverty'!A:Q,16,FALSE)*VLOOKUP(C7,'Raw - Child Poverty'!A:Q,15,FALSE))/100),100)-MROUND(SUM(SUM(VLOOKUP(C7,'Raw - Child Poverty'!A:Q,16,FALSE)*VLOOKUP(C7,'Raw - Child Poverty'!A:Q,15,FALSE))/100),100)),IF($K$5="United Kingdom",SUM(MROUND(SUM(SUM(VLOOKUP(C$21,'Raw - Child Poverty'!A:Q,16,FALSE)*VLOOKUP(C7,'Raw - Child Poverty'!A:Q,15,FALSE))/100),100)-MROUND(SUM(SUM(VLOOKUP(C7,'Raw - Child Poverty'!A:Q,16,FALSE)*VLOOKUP(C7,'Raw - Child Poverty'!A:Q,15,FALSE))/100),100)),SUM(MROUND(SUM(SUM(VLOOKUP(C$17,'Raw - Child Poverty'!A:Q,16,FALSE)*VLOOKUP(C7,'Raw - Child Poverty'!A:Q,15,FALSE))/100),100)-MROUND(SUM(SUM(VLOOKUP(C7,'Raw - Child Poverty'!A:Q,16,FALSE)*VLOOKUP(C7,'Raw - Child Poverty'!A:Q,15,FALSE))/100),100)))))))</f>
        <v xml:space="preserve"> </v>
      </c>
    </row>
    <row r="8" spans="2:12" s="137" customFormat="1" ht="19.5" customHeight="1">
      <c r="B8" s="216" t="s">
        <v>153</v>
      </c>
      <c r="C8" s="216" t="str">
        <f>IF(C$6="LGBF Family Group 1",Lookups!B29,IF(C$6="LGBF Family Group 2",Lookups!C29,IF(C$6="LGBF Family Group 3",Lookups!D29,Lookups!E29)))</f>
        <v>East Dunbartonshire</v>
      </c>
      <c r="D8" s="217">
        <f>VLOOKUP($C8,'Raw - Child Poverty'!$A:$Q,4,FALSE)</f>
        <v>16.277055442333221</v>
      </c>
      <c r="E8" s="217">
        <f>VLOOKUP($C8,'Raw - Child Poverty'!$A:$Q,8,FALSE)</f>
        <v>12.495581805706024</v>
      </c>
      <c r="F8" s="217">
        <f>VLOOKUP($C8,'Raw - Child Poverty'!$A:$Q,12,FALSE)</f>
        <v>14.937171339988708</v>
      </c>
      <c r="G8" s="217">
        <f>VLOOKUP($C8,'Raw - Child Poverty'!$A:$Q,16,FALSE)</f>
        <v>15.729714930057526</v>
      </c>
      <c r="H8" s="218">
        <f>VLOOKUP(C8,'Raw - Child Poverty'!A:Q,14,FALSE)</f>
        <v>3440</v>
      </c>
      <c r="I8" s="219">
        <f t="shared" ref="I8:I14" si="1">IFERROR(SUM(G8-D8),"-")</f>
        <v>-0.5473405122756958</v>
      </c>
      <c r="J8" s="220">
        <f>IFERROR(SUM(VLOOKUP(C8,'Raw - Child Poverty'!A:Q,14,FALSE)-VLOOKUP(C8,'Raw - Child Poverty'!A:Q,2,FALSE)),"-")</f>
        <v>-344</v>
      </c>
      <c r="K8" s="221">
        <f t="shared" si="0"/>
        <v>-1.729053258895874</v>
      </c>
      <c r="L8" s="222">
        <f>IF(K8=""," ",IF($K$5="LGBF Family Group Average",SUM(MROUND(SUM(SUM(VLOOKUP(C$18,'Raw - Child Poverty'!A:Q,16,FALSE)*VLOOKUP(C8,'Raw - Child Poverty'!A:Q,15,FALSE))/100),100)-MROUND(SUM(SUM(VLOOKUP(C8,'Raw - Child Poverty'!A:Q,16,FALSE)*VLOOKUP(C8,'Raw - Child Poverty'!A:Q,15,FALSE))/100),100)),IF($K$5="City Region Comparator",SUM(MROUND(SUM(SUM(VLOOKUP(C$19,'Raw - Child Poverty'!A:Q,16,FALSE)*VLOOKUP(C8,'Raw - Child Poverty'!A:Q,15,FALSE))/100),100)-MROUND(SUM(SUM(VLOOKUP(C8,'Raw - Child Poverty'!A:Q,16,FALSE)*VLOOKUP(C8,'Raw - Child Poverty'!A:Q,15,FALSE))/100),100)),IF($K$5="Scotland",SUM(MROUND(SUM(SUM(VLOOKUP(C$20,'Raw - Child Poverty'!A:Q,16,FALSE)*VLOOKUP(C8,'Raw - Child Poverty'!A:Q,15,FALSE))/100),100)-MROUND(SUM(SUM(VLOOKUP(C8,'Raw - Child Poverty'!A:Q,16,FALSE)*VLOOKUP(C8,'Raw - Child Poverty'!A:Q,15,FALSE))/100),100)),IF($K$5="United Kingdom",SUM(MROUND(SUM(SUM(VLOOKUP(C$21,'Raw - Child Poverty'!A:Q,16,FALSE)*VLOOKUP(C8,'Raw - Child Poverty'!A:Q,15,FALSE))/100),100)-MROUND(SUM(SUM(VLOOKUP(C8,'Raw - Child Poverty'!A:Q,16,FALSE)*VLOOKUP(C8,'Raw - Child Poverty'!A:Q,15,FALSE))/100),100)),SUM(MROUND(SUM(SUM(VLOOKUP(C$17,'Raw - Child Poverty'!A:Q,16,FALSE)*VLOOKUP(C8,'Raw - Child Poverty'!A:Q,15,FALSE))/100),100)-MROUND(SUM(SUM(VLOOKUP(C8,'Raw - Child Poverty'!A:Q,16,FALSE)*VLOOKUP(C8,'Raw - Child Poverty'!A:Q,15,FALSE))/100),100)))))))</f>
        <v>-300</v>
      </c>
    </row>
    <row r="9" spans="2:12" s="137" customFormat="1" ht="19.5" customHeight="1">
      <c r="B9" s="216" t="s">
        <v>153</v>
      </c>
      <c r="C9" s="216" t="str">
        <f>IF(C$6="LGBF Family Group 1",Lookups!B30,IF(C$6="LGBF Family Group 2",Lookups!C30,IF(C$6="LGBF Family Group 3",Lookups!D30,Lookups!E30)))</f>
        <v>Aberdeenshire</v>
      </c>
      <c r="D9" s="217">
        <f>VLOOKUP($C9,'Raw - Child Poverty'!$A:$Q,4,FALSE)</f>
        <v>16.671586036682129</v>
      </c>
      <c r="E9" s="217">
        <f>VLOOKUP($C9,'Raw - Child Poverty'!$A:$Q,8,FALSE)</f>
        <v>14.167831838130951</v>
      </c>
      <c r="F9" s="217">
        <f>VLOOKUP($C9,'Raw - Child Poverty'!$A:$Q,12,FALSE)</f>
        <v>16.018813848495483</v>
      </c>
      <c r="G9" s="217">
        <f>VLOOKUP($C9,'Raw - Child Poverty'!$A:$Q,16,FALSE)</f>
        <v>16.483284533023834</v>
      </c>
      <c r="H9" s="218">
        <f>VLOOKUP(C9,'Raw - Child Poverty'!A:Q,14,FALSE)</f>
        <v>8846</v>
      </c>
      <c r="I9" s="219">
        <f t="shared" si="1"/>
        <v>-0.18830150365829468</v>
      </c>
      <c r="J9" s="220">
        <f>IFERROR(SUM(VLOOKUP(C9,'Raw - Child Poverty'!A:Q,14,FALSE)-VLOOKUP(C9,'Raw - Child Poverty'!A:Q,2,FALSE)),"-")</f>
        <v>-364</v>
      </c>
      <c r="K9" s="221">
        <f t="shared" si="0"/>
        <v>-2.4826228618621826</v>
      </c>
      <c r="L9" s="222">
        <f>IF(K9=""," ",IF($K$5="LGBF Family Group Average",SUM(MROUND(SUM(SUM(VLOOKUP(C$18,'Raw - Child Poverty'!A:Q,16,FALSE)*VLOOKUP(C9,'Raw - Child Poverty'!A:Q,15,FALSE))/100),100)-MROUND(SUM(SUM(VLOOKUP(C9,'Raw - Child Poverty'!A:Q,16,FALSE)*VLOOKUP(C9,'Raw - Child Poverty'!A:Q,15,FALSE))/100),100)),IF($K$5="City Region Comparator",SUM(MROUND(SUM(SUM(VLOOKUP(C$19,'Raw - Child Poverty'!A:Q,16,FALSE)*VLOOKUP(C9,'Raw - Child Poverty'!A:Q,15,FALSE))/100),100)-MROUND(SUM(SUM(VLOOKUP(C9,'Raw - Child Poverty'!A:Q,16,FALSE)*VLOOKUP(C9,'Raw - Child Poverty'!A:Q,15,FALSE))/100),100)),IF($K$5="Scotland",SUM(MROUND(SUM(SUM(VLOOKUP(C$20,'Raw - Child Poverty'!A:Q,16,FALSE)*VLOOKUP(C9,'Raw - Child Poverty'!A:Q,15,FALSE))/100),100)-MROUND(SUM(SUM(VLOOKUP(C9,'Raw - Child Poverty'!A:Q,16,FALSE)*VLOOKUP(C9,'Raw - Child Poverty'!A:Q,15,FALSE))/100),100)),IF($K$5="United Kingdom",SUM(MROUND(SUM(SUM(VLOOKUP(C$21,'Raw - Child Poverty'!A:Q,16,FALSE)*VLOOKUP(C9,'Raw - Child Poverty'!A:Q,15,FALSE))/100),100)-MROUND(SUM(SUM(VLOOKUP(C9,'Raw - Child Poverty'!A:Q,16,FALSE)*VLOOKUP(C9,'Raw - Child Poverty'!A:Q,15,FALSE))/100),100)),SUM(MROUND(SUM(SUM(VLOOKUP(C$17,'Raw - Child Poverty'!A:Q,16,FALSE)*VLOOKUP(C9,'Raw - Child Poverty'!A:Q,15,FALSE))/100),100)-MROUND(SUM(SUM(VLOOKUP(C9,'Raw - Child Poverty'!A:Q,16,FALSE)*VLOOKUP(C9,'Raw - Child Poverty'!A:Q,15,FALSE))/100),100)))))))</f>
        <v>-1300</v>
      </c>
    </row>
    <row r="10" spans="2:12" s="137" customFormat="1" ht="19.5" customHeight="1">
      <c r="B10" s="216" t="s">
        <v>153</v>
      </c>
      <c r="C10" s="216" t="str">
        <f>IF(C$6="LGBF Family Group 1",Lookups!B31,IF(C$6="LGBF Family Group 2",Lookups!C31,IF(C$6="LGBF Family Group 3",Lookups!D31,Lookups!E31)))</f>
        <v>Edinburgh, City of</v>
      </c>
      <c r="D10" s="217">
        <f>VLOOKUP($C10,'Raw - Child Poverty'!$A:$Q,4,FALSE)</f>
        <v>20.254485309123993</v>
      </c>
      <c r="E10" s="217">
        <f>VLOOKUP($C10,'Raw - Child Poverty'!$A:$Q,8,FALSE)</f>
        <v>17.242302000522614</v>
      </c>
      <c r="F10" s="217">
        <f>VLOOKUP($C10,'Raw - Child Poverty'!$A:$Q,12,FALSE)</f>
        <v>19.541166722774506</v>
      </c>
      <c r="G10" s="217">
        <f>VLOOKUP($C10,'Raw - Child Poverty'!$A:$Q,16,FALSE)</f>
        <v>20.395955443382263</v>
      </c>
      <c r="H10" s="218">
        <f>VLOOKUP(C10,'Raw - Child Poverty'!A:Q,14,FALSE)</f>
        <v>17907</v>
      </c>
      <c r="I10" s="219">
        <f t="shared" si="1"/>
        <v>0.14147013425827026</v>
      </c>
      <c r="J10" s="220">
        <f>IFERROR(SUM(VLOOKUP(C10,'Raw - Child Poverty'!A:Q,14,FALSE)-VLOOKUP(C10,'Raw - Child Poverty'!A:Q,2,FALSE)),"-")</f>
        <v>-73</v>
      </c>
      <c r="K10" s="221">
        <f t="shared" si="0"/>
        <v>-6.3952937722206116</v>
      </c>
      <c r="L10" s="222">
        <f>IF(K10=""," ",IF($K$5="LGBF Family Group Average",SUM(MROUND(SUM(SUM(VLOOKUP(C$18,'Raw - Child Poverty'!A:Q,16,FALSE)*VLOOKUP(C10,'Raw - Child Poverty'!A:Q,15,FALSE))/100),100)-MROUND(SUM(SUM(VLOOKUP(C10,'Raw - Child Poverty'!A:Q,16,FALSE)*VLOOKUP(C10,'Raw - Child Poverty'!A:Q,15,FALSE))/100),100)),IF($K$5="City Region Comparator",SUM(MROUND(SUM(SUM(VLOOKUP(C$19,'Raw - Child Poverty'!A:Q,16,FALSE)*VLOOKUP(C10,'Raw - Child Poverty'!A:Q,15,FALSE))/100),100)-MROUND(SUM(SUM(VLOOKUP(C10,'Raw - Child Poverty'!A:Q,16,FALSE)*VLOOKUP(C10,'Raw - Child Poverty'!A:Q,15,FALSE))/100),100)),IF($K$5="Scotland",SUM(MROUND(SUM(SUM(VLOOKUP(C$20,'Raw - Child Poverty'!A:Q,16,FALSE)*VLOOKUP(C10,'Raw - Child Poverty'!A:Q,15,FALSE))/100),100)-MROUND(SUM(SUM(VLOOKUP(C10,'Raw - Child Poverty'!A:Q,16,FALSE)*VLOOKUP(C10,'Raw - Child Poverty'!A:Q,15,FALSE))/100),100)),IF($K$5="United Kingdom",SUM(MROUND(SUM(SUM(VLOOKUP(C$21,'Raw - Child Poverty'!A:Q,16,FALSE)*VLOOKUP(C10,'Raw - Child Poverty'!A:Q,15,FALSE))/100),100)-MROUND(SUM(SUM(VLOOKUP(C10,'Raw - Child Poverty'!A:Q,16,FALSE)*VLOOKUP(C10,'Raw - Child Poverty'!A:Q,15,FALSE))/100),100)),SUM(MROUND(SUM(SUM(VLOOKUP(C$17,'Raw - Child Poverty'!A:Q,16,FALSE)*VLOOKUP(C10,'Raw - Child Poverty'!A:Q,15,FALSE))/100),100)-MROUND(SUM(SUM(VLOOKUP(C10,'Raw - Child Poverty'!A:Q,16,FALSE)*VLOOKUP(C10,'Raw - Child Poverty'!A:Q,15,FALSE))/100),100)))))))</f>
        <v>-5600</v>
      </c>
    </row>
    <row r="11" spans="2:12" s="137" customFormat="1" ht="19.5" customHeight="1">
      <c r="B11" s="216" t="s">
        <v>153</v>
      </c>
      <c r="C11" s="216" t="str">
        <f>IF(C$6="LGBF Family Group 1",Lookups!B32,IF(C$6="LGBF Family Group 2",Lookups!C32,IF(C$6="LGBF Family Group 3",Lookups!D32,Lookups!E32)))</f>
        <v>Perth and Kinross</v>
      </c>
      <c r="D11" s="217">
        <f>VLOOKUP($C11,'Raw - Child Poverty'!$A:$Q,4,FALSE)</f>
        <v>22.629734873771667</v>
      </c>
      <c r="E11" s="217">
        <f>VLOOKUP($C11,'Raw - Child Poverty'!$A:$Q,8,FALSE)</f>
        <v>18.729381263256073</v>
      </c>
      <c r="F11" s="217">
        <f>VLOOKUP($C11,'Raw - Child Poverty'!$A:$Q,12,FALSE)</f>
        <v>21.895407140254974</v>
      </c>
      <c r="G11" s="217">
        <f>VLOOKUP($C11,'Raw - Child Poverty'!$A:$Q,16,FALSE)</f>
        <v>21.721845865249634</v>
      </c>
      <c r="H11" s="218">
        <f>VLOOKUP(C11,'Raw - Child Poverty'!A:Q,14,FALSE)</f>
        <v>5750</v>
      </c>
      <c r="I11" s="219">
        <f t="shared" si="1"/>
        <v>-0.90788900852203369</v>
      </c>
      <c r="J11" s="220">
        <f>IFERROR(SUM(VLOOKUP(C11,'Raw - Child Poverty'!A:Q,14,FALSE)-VLOOKUP(C11,'Raw - Child Poverty'!A:Q,2,FALSE)),"-")</f>
        <v>-339</v>
      </c>
      <c r="K11" s="221">
        <f t="shared" si="0"/>
        <v>-7.7211841940879822</v>
      </c>
      <c r="L11" s="222">
        <f>IF(K11=""," ",IF($K$5="LGBF Family Group Average",SUM(MROUND(SUM(SUM(VLOOKUP(C$18,'Raw - Child Poverty'!A:Q,16,FALSE)*VLOOKUP(C11,'Raw - Child Poverty'!A:Q,15,FALSE))/100),100)-MROUND(SUM(SUM(VLOOKUP(C11,'Raw - Child Poverty'!A:Q,16,FALSE)*VLOOKUP(C11,'Raw - Child Poverty'!A:Q,15,FALSE))/100),100)),IF($K$5="City Region Comparator",SUM(MROUND(SUM(SUM(VLOOKUP(C$19,'Raw - Child Poverty'!A:Q,16,FALSE)*VLOOKUP(C11,'Raw - Child Poverty'!A:Q,15,FALSE))/100),100)-MROUND(SUM(SUM(VLOOKUP(C11,'Raw - Child Poverty'!A:Q,16,FALSE)*VLOOKUP(C11,'Raw - Child Poverty'!A:Q,15,FALSE))/100),100)),IF($K$5="Scotland",SUM(MROUND(SUM(SUM(VLOOKUP(C$20,'Raw - Child Poverty'!A:Q,16,FALSE)*VLOOKUP(C11,'Raw - Child Poverty'!A:Q,15,FALSE))/100),100)-MROUND(SUM(SUM(VLOOKUP(C11,'Raw - Child Poverty'!A:Q,16,FALSE)*VLOOKUP(C11,'Raw - Child Poverty'!A:Q,15,FALSE))/100),100)),IF($K$5="United Kingdom",SUM(MROUND(SUM(SUM(VLOOKUP(C$21,'Raw - Child Poverty'!A:Q,16,FALSE)*VLOOKUP(C11,'Raw - Child Poverty'!A:Q,15,FALSE))/100),100)-MROUND(SUM(SUM(VLOOKUP(C11,'Raw - Child Poverty'!A:Q,16,FALSE)*VLOOKUP(C11,'Raw - Child Poverty'!A:Q,15,FALSE))/100),100)),SUM(MROUND(SUM(SUM(VLOOKUP(C$17,'Raw - Child Poverty'!A:Q,16,FALSE)*VLOOKUP(C11,'Raw - Child Poverty'!A:Q,15,FALSE))/100),100)-MROUND(SUM(SUM(VLOOKUP(C11,'Raw - Child Poverty'!A:Q,16,FALSE)*VLOOKUP(C11,'Raw - Child Poverty'!A:Q,15,FALSE))/100),100)))))))</f>
        <v>-2100</v>
      </c>
    </row>
    <row r="12" spans="2:12" s="137" customFormat="1" ht="19.5" customHeight="1">
      <c r="B12" s="216" t="s">
        <v>153</v>
      </c>
      <c r="C12" s="216" t="str">
        <f>IF(C$6="LGBF Family Group 1",Lookups!B33,IF(C$6="LGBF Family Group 2",Lookups!C33,IF(C$6="LGBF Family Group 3",Lookups!D33,Lookups!E33)))</f>
        <v>Aberdeen City</v>
      </c>
      <c r="D12" s="217">
        <f>VLOOKUP($C12,'Raw - Child Poverty'!$A:$Q,4,FALSE)</f>
        <v>21.343936026096344</v>
      </c>
      <c r="E12" s="217">
        <f>VLOOKUP($C12,'Raw - Child Poverty'!$A:$Q,8,FALSE)</f>
        <v>18.336561322212219</v>
      </c>
      <c r="F12" s="217">
        <f>VLOOKUP($C12,'Raw - Child Poverty'!$A:$Q,12,FALSE)</f>
        <v>20.488682389259338</v>
      </c>
      <c r="G12" s="217">
        <f>VLOOKUP($C12,'Raw - Child Poverty'!$A:$Q,16,FALSE)</f>
        <v>21.806700527667999</v>
      </c>
      <c r="H12" s="218">
        <f>VLOOKUP(C12,'Raw - Child Poverty'!A:Q,14,FALSE)</f>
        <v>8476</v>
      </c>
      <c r="I12" s="219">
        <f t="shared" si="1"/>
        <v>0.46276450157165527</v>
      </c>
      <c r="J12" s="220">
        <f>IFERROR(SUM(VLOOKUP(C12,'Raw - Child Poverty'!A:Q,14,FALSE)-VLOOKUP(C12,'Raw - Child Poverty'!A:Q,2,FALSE)),"-")</f>
        <v>1197</v>
      </c>
      <c r="K12" s="221">
        <f t="shared" si="0"/>
        <v>-7.8060388565063477</v>
      </c>
      <c r="L12" s="222">
        <f>IF(K12=""," ",IF($K$5="LGBF Family Group Average",SUM(MROUND(SUM(SUM(VLOOKUP(C$18,'Raw - Child Poverty'!A:Q,16,FALSE)*VLOOKUP(C12,'Raw - Child Poverty'!A:Q,15,FALSE))/100),100)-MROUND(SUM(SUM(VLOOKUP(C12,'Raw - Child Poverty'!A:Q,16,FALSE)*VLOOKUP(C12,'Raw - Child Poverty'!A:Q,15,FALSE))/100),100)),IF($K$5="City Region Comparator",SUM(MROUND(SUM(SUM(VLOOKUP(C$19,'Raw - Child Poverty'!A:Q,16,FALSE)*VLOOKUP(C12,'Raw - Child Poverty'!A:Q,15,FALSE))/100),100)-MROUND(SUM(SUM(VLOOKUP(C12,'Raw - Child Poverty'!A:Q,16,FALSE)*VLOOKUP(C12,'Raw - Child Poverty'!A:Q,15,FALSE))/100),100)),IF($K$5="Scotland",SUM(MROUND(SUM(SUM(VLOOKUP(C$20,'Raw - Child Poverty'!A:Q,16,FALSE)*VLOOKUP(C12,'Raw - Child Poverty'!A:Q,15,FALSE))/100),100)-MROUND(SUM(SUM(VLOOKUP(C12,'Raw - Child Poverty'!A:Q,16,FALSE)*VLOOKUP(C12,'Raw - Child Poverty'!A:Q,15,FALSE))/100),100)),IF($K$5="United Kingdom",SUM(MROUND(SUM(SUM(VLOOKUP(C$21,'Raw - Child Poverty'!A:Q,16,FALSE)*VLOOKUP(C12,'Raw - Child Poverty'!A:Q,15,FALSE))/100),100)-MROUND(SUM(SUM(VLOOKUP(C12,'Raw - Child Poverty'!A:Q,16,FALSE)*VLOOKUP(C12,'Raw - Child Poverty'!A:Q,15,FALSE))/100),100)),SUM(MROUND(SUM(SUM(VLOOKUP(C$17,'Raw - Child Poverty'!A:Q,16,FALSE)*VLOOKUP(C12,'Raw - Child Poverty'!A:Q,15,FALSE))/100),100)-MROUND(SUM(SUM(VLOOKUP(C12,'Raw - Child Poverty'!A:Q,16,FALSE)*VLOOKUP(C12,'Raw - Child Poverty'!A:Q,15,FALSE))/100),100)))))))</f>
        <v>-3100</v>
      </c>
    </row>
    <row r="13" spans="2:12" s="137" customFormat="1" ht="19.5" customHeight="1">
      <c r="B13" s="216" t="s">
        <v>153</v>
      </c>
      <c r="C13" s="216" t="str">
        <f>IF(C$6="LGBF Family Group 1",Lookups!B34,IF(C$6="LGBF Family Group 2",Lookups!C34,IF(C$6="LGBF Family Group 3",Lookups!D34,Lookups!E34)))</f>
        <v>Shetland Islands</v>
      </c>
      <c r="D13" s="217">
        <f>VLOOKUP($C13,'Raw - Child Poverty'!$A:$Q,4,FALSE)</f>
        <v>15.78107476234436</v>
      </c>
      <c r="E13" s="217">
        <f>VLOOKUP($C13,'Raw - Child Poverty'!$A:$Q,8,FALSE)</f>
        <v>18.724879622459412</v>
      </c>
      <c r="F13" s="217">
        <f>VLOOKUP($C13,'Raw - Child Poverty'!$A:$Q,12,FALSE)</f>
        <v>15.444391965866089</v>
      </c>
      <c r="G13" s="217">
        <f>VLOOKUP($C13,'Raw - Child Poverty'!$A:$Q,16,FALSE)</f>
        <v>16.375871002674103</v>
      </c>
      <c r="H13" s="218">
        <f>VLOOKUP(C13,'Raw - Child Poverty'!A:Q,14,FALSE)</f>
        <v>765</v>
      </c>
      <c r="I13" s="219">
        <f t="shared" si="1"/>
        <v>0.59479624032974243</v>
      </c>
      <c r="J13" s="220">
        <f>IFERROR(SUM(VLOOKUP(C13,'Raw - Child Poverty'!A:Q,14,FALSE)-VLOOKUP(C13,'Raw - Child Poverty'!A:Q,2,FALSE)),"-")</f>
        <v>22</v>
      </c>
      <c r="K13" s="221">
        <f t="shared" si="0"/>
        <v>-2.3752093315124512</v>
      </c>
      <c r="L13" s="222">
        <f>IF(K13=""," ",IF($K$5="LGBF Family Group Average",SUM(MROUND(SUM(SUM(VLOOKUP(C$18,'Raw - Child Poverty'!A:Q,16,FALSE)*VLOOKUP(C13,'Raw - Child Poverty'!A:Q,15,FALSE))/100),100)-MROUND(SUM(SUM(VLOOKUP(C13,'Raw - Child Poverty'!A:Q,16,FALSE)*VLOOKUP(C13,'Raw - Child Poverty'!A:Q,15,FALSE))/100),100)),IF($K$5="City Region Comparator",SUM(MROUND(SUM(SUM(VLOOKUP(C$19,'Raw - Child Poverty'!A:Q,16,FALSE)*VLOOKUP(C13,'Raw - Child Poverty'!A:Q,15,FALSE))/100),100)-MROUND(SUM(SUM(VLOOKUP(C13,'Raw - Child Poverty'!A:Q,16,FALSE)*VLOOKUP(C13,'Raw - Child Poverty'!A:Q,15,FALSE))/100),100)),IF($K$5="Scotland",SUM(MROUND(SUM(SUM(VLOOKUP(C$20,'Raw - Child Poverty'!A:Q,16,FALSE)*VLOOKUP(C13,'Raw - Child Poverty'!A:Q,15,FALSE))/100),100)-MROUND(SUM(SUM(VLOOKUP(C13,'Raw - Child Poverty'!A:Q,16,FALSE)*VLOOKUP(C13,'Raw - Child Poverty'!A:Q,15,FALSE))/100),100)),IF($K$5="United Kingdom",SUM(MROUND(SUM(SUM(VLOOKUP(C$21,'Raw - Child Poverty'!A:Q,16,FALSE)*VLOOKUP(C13,'Raw - Child Poverty'!A:Q,15,FALSE))/100),100)-MROUND(SUM(SUM(VLOOKUP(C13,'Raw - Child Poverty'!A:Q,16,FALSE)*VLOOKUP(C13,'Raw - Child Poverty'!A:Q,15,FALSE))/100),100)),SUM(MROUND(SUM(SUM(VLOOKUP(C$17,'Raw - Child Poverty'!A:Q,16,FALSE)*VLOOKUP(C13,'Raw - Child Poverty'!A:Q,15,FALSE))/100),100)-MROUND(SUM(SUM(VLOOKUP(C13,'Raw - Child Poverty'!A:Q,16,FALSE)*VLOOKUP(C13,'Raw - Child Poverty'!A:Q,15,FALSE))/100),100)))))))</f>
        <v>-100</v>
      </c>
    </row>
    <row r="14" spans="2:12" s="137" customFormat="1" ht="19.5" customHeight="1">
      <c r="B14" s="216" t="s">
        <v>153</v>
      </c>
      <c r="C14" s="216" t="str">
        <f>IF(C$6="LGBF Family Group 1",Lookups!B35,IF(C$6="LGBF Family Group 2",Lookups!C35,IF(C$6="LGBF Family Group 3",Lookups!D35,Lookups!E35)))</f>
        <v>Orkney Islands</v>
      </c>
      <c r="D14" s="217">
        <f>VLOOKUP($C14,'Raw - Child Poverty'!$A:$Q,4,FALSE)</f>
        <v>22.693318128585815</v>
      </c>
      <c r="E14" s="217">
        <f>VLOOKUP($C14,'Raw - Child Poverty'!$A:$Q,8,FALSE)</f>
        <v>18.164575099945068</v>
      </c>
      <c r="F14" s="217">
        <f>VLOOKUP($C14,'Raw - Child Poverty'!$A:$Q,12,FALSE)</f>
        <v>20.087386667728424</v>
      </c>
      <c r="G14" s="217">
        <f>VLOOKUP($C14,'Raw - Child Poverty'!$A:$Q,16,FALSE)</f>
        <v>19.339099526405334</v>
      </c>
      <c r="H14" s="218">
        <f>VLOOKUP(C14,'Raw - Child Poverty'!A:Q,14,FALSE)</f>
        <v>786</v>
      </c>
      <c r="I14" s="219">
        <f t="shared" si="1"/>
        <v>-3.354218602180481</v>
      </c>
      <c r="J14" s="220">
        <f>IFERROR(SUM(VLOOKUP(C14,'Raw - Child Poverty'!A:Q,14,FALSE)-VLOOKUP(C14,'Raw - Child Poverty'!A:Q,2,FALSE)),"-")</f>
        <v>-93</v>
      </c>
      <c r="K14" s="221">
        <f t="shared" si="0"/>
        <v>-5.3384378552436829</v>
      </c>
      <c r="L14" s="222">
        <f>IF(K14=""," ",IF($K$5="LGBF Family Group Average",SUM(MROUND(SUM(SUM(VLOOKUP(C$18,'Raw - Child Poverty'!A:Q,16,FALSE)*VLOOKUP(C14,'Raw - Child Poverty'!A:Q,15,FALSE))/100),100)-MROUND(SUM(SUM(VLOOKUP(C14,'Raw - Child Poverty'!A:Q,16,FALSE)*VLOOKUP(C14,'Raw - Child Poverty'!A:Q,15,FALSE))/100),100)),IF($K$5="City Region Comparator",SUM(MROUND(SUM(SUM(VLOOKUP(C$19,'Raw - Child Poverty'!A:Q,16,FALSE)*VLOOKUP(C14,'Raw - Child Poverty'!A:Q,15,FALSE))/100),100)-MROUND(SUM(SUM(VLOOKUP(C14,'Raw - Child Poverty'!A:Q,16,FALSE)*VLOOKUP(C14,'Raw - Child Poverty'!A:Q,15,FALSE))/100),100)),IF($K$5="Scotland",SUM(MROUND(SUM(SUM(VLOOKUP(C$20,'Raw - Child Poverty'!A:Q,16,FALSE)*VLOOKUP(C14,'Raw - Child Poverty'!A:Q,15,FALSE))/100),100)-MROUND(SUM(SUM(VLOOKUP(C14,'Raw - Child Poverty'!A:Q,16,FALSE)*VLOOKUP(C14,'Raw - Child Poverty'!A:Q,15,FALSE))/100),100)),IF($K$5="United Kingdom",SUM(MROUND(SUM(SUM(VLOOKUP(C$21,'Raw - Child Poverty'!A:Q,16,FALSE)*VLOOKUP(C14,'Raw - Child Poverty'!A:Q,15,FALSE))/100),100)-MROUND(SUM(SUM(VLOOKUP(C14,'Raw - Child Poverty'!A:Q,16,FALSE)*VLOOKUP(C14,'Raw - Child Poverty'!A:Q,15,FALSE))/100),100)),SUM(MROUND(SUM(SUM(VLOOKUP(C$17,'Raw - Child Poverty'!A:Q,16,FALSE)*VLOOKUP(C14,'Raw - Child Poverty'!A:Q,15,FALSE))/100),100)-MROUND(SUM(SUM(VLOOKUP(C14,'Raw - Child Poverty'!A:Q,16,FALSE)*VLOOKUP(C14,'Raw - Child Poverty'!A:Q,15,FALSE))/100),100)))))))</f>
        <v>-200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Child Poverty'!$A$9:$A$40,MATCH(MIN('Raw - Child Poverty'!P9:P40),'Raw - Child Poverty'!P9:P40,0))</f>
        <v>East Renfrewshire</v>
      </c>
      <c r="D17" s="217">
        <f>VLOOKUP($C17,'Raw - Child Poverty'!$A:$Q,4,FALSE)</f>
        <v>15.768469870090485</v>
      </c>
      <c r="E17" s="217">
        <f>VLOOKUP($C17,'Raw - Child Poverty'!$A:$Q,8,FALSE)</f>
        <v>12.794038653373718</v>
      </c>
      <c r="F17" s="217">
        <f>VLOOKUP($C17,'Raw - Child Poverty'!$A:$Q,12,FALSE)</f>
        <v>14.437636733055115</v>
      </c>
      <c r="G17" s="217">
        <f>VLOOKUP($C17,'Raw - Child Poverty'!$A:$Q,16,FALSE)</f>
        <v>14.000661671161652</v>
      </c>
      <c r="H17" s="218">
        <f>VLOOKUP(C17,'Raw - Child Poverty'!A:Q,14,FALSE)</f>
        <v>3247</v>
      </c>
      <c r="I17" s="219">
        <f t="shared" ref="I17" si="2">IFERROR(SUM(G17-D17),"-")</f>
        <v>-1.767808198928833</v>
      </c>
      <c r="J17" s="220">
        <f>IFERROR(SUM(VLOOKUP(C17,'Raw - Child Poverty'!A:Q,14,FALSE)-VLOOKUP(C17,'Raw - Child Poverty'!A:Q,2,FALSE)),"-")</f>
        <v>-402</v>
      </c>
    </row>
    <row r="18" spans="2:12" s="137" customFormat="1" ht="19.5" customHeight="1">
      <c r="B18" s="226" t="s">
        <v>271</v>
      </c>
      <c r="C18" s="227" t="s">
        <v>247</v>
      </c>
      <c r="D18" s="217">
        <f>VLOOKUP($C18,'Raw - Child Poverty'!$A:$Q,4,FALSE)</f>
        <v>23.592127133716325</v>
      </c>
      <c r="E18" s="217">
        <f>VLOOKUP($C18,'Raw - Child Poverty'!$A:$Q,8,FALSE)</f>
        <v>19.875212025049613</v>
      </c>
      <c r="F18" s="217">
        <f>VLOOKUP($C18,'Raw - Child Poverty'!$A:$Q,12,FALSE)</f>
        <v>22.659739314184378</v>
      </c>
      <c r="G18" s="217">
        <f>VLOOKUP($C18,'Raw - Child Poverty'!$A:$Q,16,FALSE)</f>
        <v>23.092344551065015</v>
      </c>
      <c r="H18" s="218">
        <f>VLOOKUP(C18,'Raw - Child Poverty'!A:Q,14,FALSE)</f>
        <v>40070</v>
      </c>
      <c r="I18" s="219">
        <f t="shared" ref="I18:I21" si="3">IFERROR(SUM(G18-D18),"-")</f>
        <v>-0.49978258265131004</v>
      </c>
      <c r="J18" s="220">
        <f>IFERROR(SUM(VLOOKUP(C18,'Raw - Child Poverty'!A:Q,14,FALSE)-VLOOKUP(C18,'Raw - Child Poverty'!A:Q,2,FALSE)),"-")</f>
        <v>-3109</v>
      </c>
    </row>
    <row r="19" spans="2:12" s="137" customFormat="1" ht="19.5" customHeight="1">
      <c r="B19" s="226" t="s">
        <v>270</v>
      </c>
      <c r="C19" s="216" t="s">
        <v>48</v>
      </c>
      <c r="D19" s="217">
        <f>VLOOKUP($C19,'Raw - Child Poverty'!$A:$Q,4,FALSE)</f>
        <v>25.792490170844211</v>
      </c>
      <c r="E19" s="217">
        <f>VLOOKUP($C19,'Raw - Child Poverty'!$A:$Q,8,FALSE)</f>
        <v>22.644206778404726</v>
      </c>
      <c r="F19" s="217">
        <f>VLOOKUP($C19,'Raw - Child Poverty'!$A:$Q,12,FALSE)</f>
        <v>25.781649651398542</v>
      </c>
      <c r="G19" s="217">
        <f>VLOOKUP($C19,'Raw - Child Poverty'!$A:$Q,16,FALSE)</f>
        <v>26.406732004366955</v>
      </c>
      <c r="H19" s="218">
        <f>VLOOKUP(C19,'Raw - Child Poverty'!A:Q,14,FALSE)</f>
        <v>92212</v>
      </c>
      <c r="I19" s="219">
        <f t="shared" si="3"/>
        <v>0.61424183352274397</v>
      </c>
      <c r="J19" s="220">
        <f>IFERROR(SUM(VLOOKUP(C19,'Raw - Child Poverty'!A:Q,14,FALSE)-VLOOKUP(C19,'Raw - Child Poverty'!A:Q,2,FALSE)),"-")</f>
        <v>1596</v>
      </c>
    </row>
    <row r="20" spans="2:12" s="137" customFormat="1" ht="19.5" customHeight="1">
      <c r="B20" s="226" t="s">
        <v>164</v>
      </c>
      <c r="C20" s="216" t="s">
        <v>46</v>
      </c>
      <c r="D20" s="217">
        <f>VLOOKUP($C20,'Raw - Child Poverty'!$A:$Q,4,FALSE)</f>
        <v>24.283835795227343</v>
      </c>
      <c r="E20" s="217">
        <f>VLOOKUP($C20,'Raw - Child Poverty'!$A:$Q,8,FALSE)</f>
        <v>24.639284669501894</v>
      </c>
      <c r="F20" s="217">
        <f>VLOOKUP($C20,'Raw - Child Poverty'!$A:$Q,12,FALSE)</f>
        <v>24.482136614017158</v>
      </c>
      <c r="G20" s="217">
        <f>VLOOKUP($C20,'Raw - Child Poverty'!$A:$Q,16,FALSE)</f>
        <v>24.473927977812586</v>
      </c>
      <c r="H20" s="218">
        <f>VLOOKUP(C20,'Raw - Child Poverty'!A:Q,14,FALSE)</f>
        <v>247144</v>
      </c>
      <c r="I20" s="219">
        <f t="shared" si="3"/>
        <v>0.19009218258524285</v>
      </c>
      <c r="J20" s="220">
        <f>IFERROR(SUM(VLOOKUP(C20,'Raw - Child Poverty'!A:Q,14,FALSE)-VLOOKUP(C20,'Raw - Child Poverty'!A:Q,2,FALSE)),"-")</f>
        <v>6810.0000000000291</v>
      </c>
    </row>
    <row r="21" spans="2:12" s="137" customFormat="1" ht="19.5" customHeight="1">
      <c r="B21" s="226" t="s">
        <v>164</v>
      </c>
      <c r="C21" s="216" t="s">
        <v>47</v>
      </c>
      <c r="D21" s="217">
        <f>VLOOKUP($C21,'Raw - Child Poverty'!$A:$Q,4,FALSE)</f>
        <v>30.683408236304686</v>
      </c>
      <c r="E21" s="217">
        <f>VLOOKUP($C21,'Raw - Child Poverty'!$A:$Q,8,FALSE)</f>
        <v>27.119027449294659</v>
      </c>
      <c r="F21" s="217">
        <f>VLOOKUP($C21,'Raw - Child Poverty'!$A:$Q,12,FALSE)</f>
        <v>29.17325370014392</v>
      </c>
      <c r="G21" s="217">
        <f>VLOOKUP($C21,'Raw - Child Poverty'!$A:$Q,16,FALSE)</f>
        <v>28.936021126269207</v>
      </c>
      <c r="H21" s="218">
        <f>VLOOKUP(C21,'Raw - Child Poverty'!A:Q,14,FALSE)</f>
        <v>3072241</v>
      </c>
      <c r="I21" s="219">
        <f t="shared" si="3"/>
        <v>-1.7473871100354792</v>
      </c>
      <c r="J21" s="220">
        <f>IFERROR(SUM(VLOOKUP(C21,'Raw - Child Poverty'!A:Q,14,FALSE)-VLOOKUP(C21,'Raw - Child Poverty'!A:Q,2,FALSE)),"-")</f>
        <v>-1208860</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c r="I23" s="170"/>
    </row>
    <row r="24" spans="2:12">
      <c r="B24" s="193" t="s">
        <v>207</v>
      </c>
    </row>
  </sheetData>
  <sheetProtection algorithmName="SHA-512" hashValue="B5YSaICYY1z7okLBanX3wmz1Q+1Xib5wDX6jIxzsPB1d4dAZ1Nblp3zAAQdI/FscLWPPT+oY93fqAsk02lcQYA==" saltValue="74NPvYQ0QdDQyqxMXtBYEg==" spinCount="100000" sheet="1" sort="0"/>
  <mergeCells count="4">
    <mergeCell ref="K4:L4"/>
    <mergeCell ref="I5:J5"/>
    <mergeCell ref="K5:L5"/>
    <mergeCell ref="F2:G2"/>
  </mergeCells>
  <hyperlinks>
    <hyperlink ref="F2:G2" location="'Index RAG'!A1" display="Return to Index RAG" xr:uid="{00000000-0004-0000-0400-000001000000}"/>
    <hyperlink ref="C3" r:id="rId1" xr:uid="{00000000-0004-0000-0400-000000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1000000}">
          <x14:formula1>
            <xm:f>Lookups!$B$9:$B$13</xm:f>
          </x14:formula1>
          <xm:sqref>K5:L5</xm:sqref>
        </x14:dataValidation>
        <x14:dataValidation type="list" allowBlank="1" showInputMessage="1" showErrorMessage="1" xr:uid="{00000000-0002-0000-0400-000002000000}">
          <x14:formula1>
            <xm:f>Lookups!$B$27:$E$27</xm:f>
          </x14:formula1>
          <xm:sqref>C6</xm:sqref>
        </x14:dataValidation>
        <x14:dataValidation type="list" allowBlank="1" showInputMessage="1" showErrorMessage="1" xr:uid="{F6F12159-3333-4A5F-AA2B-29F0CFEA3F4D}">
          <x14:formula1>
            <xm:f>Lookups!$B$36:$E$36</xm:f>
          </x14:formula1>
          <xm:sqref>C18</xm:sqref>
        </x14:dataValidation>
        <x14:dataValidation type="list" allowBlank="1" showInputMessage="1" showErrorMessage="1" xr:uid="{A5F4A1B5-F9EE-445A-A876-BAC38BD02B50}">
          <x14:formula1>
            <xm:f>Lookups!$Q$3:$Q$7</xm:f>
          </x14:formula1>
          <xm:sqref>C19</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autoPageBreaks="0"/>
  </sheetPr>
  <dimension ref="A1:G53"/>
  <sheetViews>
    <sheetView zoomScale="80" zoomScaleNormal="80" workbookViewId="0">
      <selection activeCell="T38" sqref="T38"/>
    </sheetView>
  </sheetViews>
  <sheetFormatPr defaultColWidth="8.85546875" defaultRowHeight="15"/>
  <cols>
    <col min="1" max="1" width="27.5703125" style="48" customWidth="1"/>
    <col min="2" max="16384" width="8.85546875" style="48"/>
  </cols>
  <sheetData>
    <row r="1" spans="1:7" ht="98.25" customHeight="1">
      <c r="A1" s="57"/>
      <c r="B1" s="479" t="s">
        <v>170</v>
      </c>
      <c r="C1" s="480"/>
      <c r="D1" s="480"/>
      <c r="E1" s="481"/>
    </row>
    <row r="2" spans="1:7" ht="30">
      <c r="A2" s="56" t="s">
        <v>153</v>
      </c>
      <c r="B2" s="237" t="s">
        <v>268</v>
      </c>
      <c r="C2" s="238" t="s">
        <v>353</v>
      </c>
      <c r="D2" s="238" t="s">
        <v>408</v>
      </c>
      <c r="E2" s="238" t="s">
        <v>475</v>
      </c>
    </row>
    <row r="3" spans="1:7">
      <c r="A3" s="56"/>
      <c r="B3" s="58"/>
      <c r="C3" s="59"/>
      <c r="D3" s="59"/>
      <c r="E3" s="59"/>
    </row>
    <row r="4" spans="1:7">
      <c r="A4" s="56"/>
      <c r="B4" s="58"/>
      <c r="C4" s="59"/>
      <c r="D4" s="59"/>
      <c r="E4" s="59"/>
    </row>
    <row r="5" spans="1:7">
      <c r="A5" s="56"/>
      <c r="B5" s="58"/>
      <c r="C5" s="59"/>
      <c r="D5" s="59"/>
      <c r="E5" s="59"/>
    </row>
    <row r="6" spans="1:7">
      <c r="A6" s="56"/>
      <c r="B6" s="58"/>
      <c r="C6" s="59"/>
      <c r="D6" s="59"/>
      <c r="E6" s="59"/>
    </row>
    <row r="7" spans="1:7">
      <c r="A7" s="56"/>
      <c r="B7" s="58"/>
      <c r="C7" s="59"/>
      <c r="D7" s="59"/>
      <c r="E7" s="59"/>
    </row>
    <row r="8" spans="1:7">
      <c r="A8" s="56"/>
      <c r="B8" s="58"/>
      <c r="C8" s="59"/>
      <c r="D8" s="59"/>
      <c r="E8" s="59"/>
    </row>
    <row r="9" spans="1:7">
      <c r="A9" s="55" t="s">
        <v>15</v>
      </c>
      <c r="B9" s="54">
        <v>32.2265625</v>
      </c>
      <c r="C9" s="54">
        <v>37.525362299999998</v>
      </c>
      <c r="D9" s="48">
        <v>38.369999999999997</v>
      </c>
      <c r="E9" s="48">
        <v>35.651188629329603</v>
      </c>
      <c r="G9" s="253"/>
    </row>
    <row r="10" spans="1:7">
      <c r="A10" s="51" t="s">
        <v>16</v>
      </c>
      <c r="B10" s="54">
        <v>22.145071299999998</v>
      </c>
      <c r="C10" s="54">
        <v>21.844698100000002</v>
      </c>
      <c r="D10" s="48">
        <v>24.52</v>
      </c>
      <c r="E10" s="48">
        <v>26.858403514591501</v>
      </c>
    </row>
    <row r="11" spans="1:7">
      <c r="A11" s="52" t="s">
        <v>17</v>
      </c>
      <c r="B11" s="54">
        <v>24.39</v>
      </c>
      <c r="C11" s="54">
        <v>26.1</v>
      </c>
      <c r="D11" s="48">
        <v>42.89</v>
      </c>
      <c r="E11" s="48">
        <v>32.009155026395298</v>
      </c>
    </row>
    <row r="12" spans="1:7">
      <c r="A12" s="51" t="s">
        <v>18</v>
      </c>
      <c r="B12" s="54">
        <v>28.425999600000001</v>
      </c>
      <c r="C12" s="54">
        <v>25.4144048</v>
      </c>
      <c r="D12" s="48">
        <v>29.23</v>
      </c>
      <c r="E12" s="48">
        <v>36.247887938582501</v>
      </c>
    </row>
    <row r="13" spans="1:7">
      <c r="A13" s="53" t="s">
        <v>19</v>
      </c>
      <c r="B13" s="54">
        <v>19.688213399999999</v>
      </c>
      <c r="C13" s="54">
        <v>23.354529900000003</v>
      </c>
      <c r="D13" s="48">
        <v>22.720000000000002</v>
      </c>
      <c r="E13" s="48">
        <v>23.2888610217211</v>
      </c>
    </row>
    <row r="14" spans="1:7">
      <c r="A14" s="51" t="s">
        <v>20</v>
      </c>
      <c r="B14" s="54">
        <v>33.599907800000004</v>
      </c>
      <c r="C14" s="54">
        <v>34.355106299999996</v>
      </c>
      <c r="D14" s="48">
        <v>31.15</v>
      </c>
      <c r="E14" s="48">
        <v>31.236207894709199</v>
      </c>
    </row>
    <row r="15" spans="1:7">
      <c r="A15" s="52" t="s">
        <v>21</v>
      </c>
      <c r="B15" s="54">
        <v>39.395326400000002</v>
      </c>
      <c r="C15" s="54">
        <v>37.490202700000005</v>
      </c>
      <c r="D15" s="48">
        <v>36.01</v>
      </c>
      <c r="E15" s="48">
        <v>38.854143976895799</v>
      </c>
    </row>
    <row r="16" spans="1:7">
      <c r="A16" s="51" t="s">
        <v>22</v>
      </c>
      <c r="B16" s="54">
        <v>15.457506400000002</v>
      </c>
      <c r="C16" s="54">
        <v>22.8556192</v>
      </c>
      <c r="D16" s="48">
        <v>23.41</v>
      </c>
      <c r="E16" s="48">
        <v>20.2933218172561</v>
      </c>
    </row>
    <row r="17" spans="1:5">
      <c r="A17" s="52" t="s">
        <v>23</v>
      </c>
      <c r="B17" s="54">
        <v>18.270622700000001</v>
      </c>
      <c r="C17" s="54">
        <v>12.2332637</v>
      </c>
      <c r="D17" s="48">
        <v>12.19</v>
      </c>
      <c r="E17" s="48">
        <v>12.1828387867206</v>
      </c>
    </row>
    <row r="18" spans="1:5">
      <c r="A18" s="51" t="s">
        <v>24</v>
      </c>
      <c r="B18" s="54">
        <v>24.898776300000002</v>
      </c>
      <c r="C18" s="54">
        <v>21.105486800000001</v>
      </c>
      <c r="D18" s="48">
        <v>18.509999999999998</v>
      </c>
      <c r="E18" s="48">
        <v>17.719179133877699</v>
      </c>
    </row>
    <row r="19" spans="1:5">
      <c r="A19" s="52" t="s">
        <v>25</v>
      </c>
      <c r="B19" s="54">
        <v>9.6146000999999988</v>
      </c>
      <c r="C19" s="54">
        <v>11.2555549</v>
      </c>
      <c r="D19" s="48">
        <v>13.719999999999999</v>
      </c>
      <c r="E19" s="48">
        <v>11.906399350746199</v>
      </c>
    </row>
    <row r="20" spans="1:5">
      <c r="A20" s="100" t="s">
        <v>126</v>
      </c>
      <c r="B20" s="54">
        <v>39.032422400000002</v>
      </c>
      <c r="C20" s="54">
        <v>40.898764</v>
      </c>
      <c r="D20" s="48">
        <v>36.79</v>
      </c>
      <c r="E20" s="48">
        <v>36.495360586318697</v>
      </c>
    </row>
    <row r="21" spans="1:5">
      <c r="A21" s="52" t="s">
        <v>33</v>
      </c>
      <c r="B21" s="54">
        <v>37.374816799999998</v>
      </c>
      <c r="C21" s="54">
        <v>30.241410299999998</v>
      </c>
      <c r="D21" s="48">
        <v>26.86</v>
      </c>
      <c r="E21" s="48">
        <v>28.427368308190896</v>
      </c>
    </row>
    <row r="22" spans="1:5">
      <c r="A22" s="51" t="s">
        <v>26</v>
      </c>
      <c r="B22" s="54">
        <v>32.996319800000002</v>
      </c>
      <c r="C22" s="54">
        <v>36.204939899999999</v>
      </c>
      <c r="D22" s="48">
        <v>27.800000000000004</v>
      </c>
      <c r="E22" s="48">
        <v>27.0371272419079</v>
      </c>
    </row>
    <row r="23" spans="1:5">
      <c r="A23" s="52" t="s">
        <v>27</v>
      </c>
      <c r="B23" s="54">
        <v>31.900458999999998</v>
      </c>
      <c r="C23" s="54">
        <v>37.149608099999995</v>
      </c>
      <c r="D23" s="48">
        <v>40.17</v>
      </c>
      <c r="E23" s="48">
        <v>33.919534452324299</v>
      </c>
    </row>
    <row r="24" spans="1:5">
      <c r="A24" s="51" t="s">
        <v>28</v>
      </c>
      <c r="B24" s="54">
        <v>33.250495100000002</v>
      </c>
      <c r="C24" s="54">
        <v>35.937619399999996</v>
      </c>
      <c r="D24" s="48">
        <v>37.059999999999995</v>
      </c>
      <c r="E24" s="48">
        <v>36.7532025012733</v>
      </c>
    </row>
    <row r="25" spans="1:5">
      <c r="A25" s="52" t="s">
        <v>29</v>
      </c>
      <c r="B25" s="54">
        <v>47.2623897</v>
      </c>
      <c r="C25" s="54">
        <v>46.994190000000003</v>
      </c>
      <c r="D25" s="48">
        <v>49.76</v>
      </c>
      <c r="E25" s="48">
        <v>49.0877880076903</v>
      </c>
    </row>
    <row r="26" spans="1:5">
      <c r="A26" s="51" t="s">
        <v>30</v>
      </c>
      <c r="B26" s="54">
        <v>27.491274199999999</v>
      </c>
      <c r="C26" s="54">
        <v>25.038154000000002</v>
      </c>
      <c r="D26" s="48">
        <v>21.44</v>
      </c>
      <c r="E26" s="48">
        <v>24.001207465267697</v>
      </c>
    </row>
    <row r="27" spans="1:5">
      <c r="A27" s="52" t="s">
        <v>31</v>
      </c>
      <c r="B27" s="54">
        <v>14.680338000000001</v>
      </c>
      <c r="C27" s="54">
        <v>16.8084539</v>
      </c>
      <c r="D27" s="48">
        <v>13.780000000000001</v>
      </c>
      <c r="E27" s="48">
        <v>13.7856984976404</v>
      </c>
    </row>
    <row r="28" spans="1:5">
      <c r="A28" s="51" t="s">
        <v>32</v>
      </c>
      <c r="B28" s="54">
        <v>21.9011307</v>
      </c>
      <c r="C28" s="54">
        <v>23.555381499999999</v>
      </c>
      <c r="D28" s="48">
        <v>25.19</v>
      </c>
      <c r="E28" s="48">
        <v>24.806751407359201</v>
      </c>
    </row>
    <row r="29" spans="1:5">
      <c r="A29" s="52" t="s">
        <v>34</v>
      </c>
      <c r="B29" s="54">
        <v>16.648050900000001</v>
      </c>
      <c r="C29" s="54">
        <v>17.889299399999999</v>
      </c>
      <c r="D29" s="48">
        <v>19.75</v>
      </c>
      <c r="E29" s="48">
        <v>24.096377780026</v>
      </c>
    </row>
    <row r="30" spans="1:5">
      <c r="A30" s="51" t="s">
        <v>35</v>
      </c>
      <c r="B30" s="54">
        <v>28.262777400000001</v>
      </c>
      <c r="C30" s="54">
        <v>26.160042000000001</v>
      </c>
      <c r="D30" s="48">
        <v>25.36</v>
      </c>
      <c r="E30" s="48">
        <v>27.806623267733499</v>
      </c>
    </row>
    <row r="31" spans="1:5">
      <c r="A31" s="52" t="s">
        <v>36</v>
      </c>
      <c r="B31" s="54">
        <v>40.640903199999997</v>
      </c>
      <c r="C31" s="54">
        <v>37.852556999999997</v>
      </c>
      <c r="D31" s="48">
        <v>40.64</v>
      </c>
      <c r="E31" s="48">
        <v>40.9067638903269</v>
      </c>
    </row>
    <row r="32" spans="1:5">
      <c r="A32" s="51" t="s">
        <v>37</v>
      </c>
      <c r="B32" s="54">
        <v>22.156801300000001</v>
      </c>
      <c r="C32" s="54">
        <v>22.957838200000001</v>
      </c>
      <c r="D32" s="48">
        <v>23.96</v>
      </c>
      <c r="E32" s="48">
        <v>22.715321444520299</v>
      </c>
    </row>
    <row r="33" spans="1:5">
      <c r="A33" s="52" t="s">
        <v>38</v>
      </c>
      <c r="B33" s="54">
        <v>22.1645985</v>
      </c>
      <c r="C33" s="54">
        <v>19.298495800000001</v>
      </c>
      <c r="D33" s="48">
        <v>18.87</v>
      </c>
      <c r="E33" s="48">
        <v>19.345868070227802</v>
      </c>
    </row>
    <row r="34" spans="1:5">
      <c r="A34" s="51" t="s">
        <v>39</v>
      </c>
      <c r="B34" s="54">
        <v>32.060221599999998</v>
      </c>
      <c r="C34" s="54">
        <v>22.1854789</v>
      </c>
      <c r="D34" s="48">
        <v>19.78</v>
      </c>
      <c r="E34" s="48">
        <v>26.332601983104599</v>
      </c>
    </row>
    <row r="35" spans="1:5">
      <c r="A35" s="52" t="s">
        <v>40</v>
      </c>
      <c r="B35" s="54">
        <v>45.303304500000003</v>
      </c>
      <c r="C35" s="54">
        <v>48.740596099999998</v>
      </c>
      <c r="D35" s="48">
        <v>51.949999999999996</v>
      </c>
      <c r="E35" s="48">
        <v>45.727044678890003</v>
      </c>
    </row>
    <row r="36" spans="1:5">
      <c r="A36" s="51" t="s">
        <v>41</v>
      </c>
      <c r="B36" s="54">
        <v>24.9709805</v>
      </c>
      <c r="C36" s="54">
        <v>27.189462599999999</v>
      </c>
      <c r="D36" s="48">
        <v>28.77</v>
      </c>
      <c r="E36" s="48">
        <v>25.8543475182808</v>
      </c>
    </row>
    <row r="37" spans="1:5">
      <c r="A37" s="52" t="s">
        <v>42</v>
      </c>
      <c r="B37" s="54">
        <v>18.019161499999999</v>
      </c>
      <c r="C37" s="54">
        <v>16.987863699999998</v>
      </c>
      <c r="D37" s="48">
        <v>18.21</v>
      </c>
      <c r="E37" s="48">
        <v>18.114430572975802</v>
      </c>
    </row>
    <row r="38" spans="1:5">
      <c r="A38" s="51" t="s">
        <v>43</v>
      </c>
      <c r="B38" s="54">
        <v>16.353155900000001</v>
      </c>
      <c r="C38" s="54">
        <v>17.306037799999999</v>
      </c>
      <c r="D38" s="48">
        <v>18.22</v>
      </c>
      <c r="E38" s="48">
        <v>20.8077840379107</v>
      </c>
    </row>
    <row r="39" spans="1:5">
      <c r="A39" s="52" t="s">
        <v>44</v>
      </c>
      <c r="B39" s="54">
        <v>8.232311000000001</v>
      </c>
      <c r="C39" s="54">
        <v>9.4760051999999995</v>
      </c>
      <c r="D39" s="48">
        <v>12.67</v>
      </c>
      <c r="E39" s="48">
        <v>16.704052091068601</v>
      </c>
    </row>
    <row r="40" spans="1:5">
      <c r="A40" s="51" t="s">
        <v>45</v>
      </c>
      <c r="B40" s="54">
        <v>27.601407500000004</v>
      </c>
      <c r="C40" s="54">
        <v>23.263734499999998</v>
      </c>
      <c r="D40" s="48">
        <v>24.03</v>
      </c>
      <c r="E40" s="48">
        <v>25.675559355155801</v>
      </c>
    </row>
    <row r="41" spans="1:5">
      <c r="A41" s="51"/>
      <c r="B41" s="50"/>
      <c r="C41" s="50"/>
      <c r="D41" s="50"/>
      <c r="E41" s="50"/>
    </row>
    <row r="42" spans="1:5">
      <c r="A42" s="51"/>
      <c r="B42" s="50"/>
      <c r="C42" s="50"/>
      <c r="D42" s="50"/>
      <c r="E42" s="50"/>
    </row>
    <row r="43" spans="1:5">
      <c r="A43" s="51" t="s">
        <v>48</v>
      </c>
      <c r="B43" s="302">
        <f>AVERAGE(B$39,B$37,B$33,B$30,B$26,B$24,B$19,B$17)</f>
        <v>20.663230062499998</v>
      </c>
      <c r="C43" s="302">
        <f t="shared" ref="C43:E43" si="0">AVERAGE(C$39,C$37,C$33,C$30,C$26,C$24,C$19,C$17)</f>
        <v>19.548374837499999</v>
      </c>
      <c r="D43" s="302">
        <f t="shared" si="0"/>
        <v>19.939999999999998</v>
      </c>
      <c r="E43" s="302">
        <f t="shared" si="0"/>
        <v>20.851827763251688</v>
      </c>
    </row>
    <row r="44" spans="1:5">
      <c r="A44" s="10" t="s">
        <v>156</v>
      </c>
      <c r="B44" s="302">
        <f>AVERAGE(B$9:B$10)</f>
        <v>27.185816899999999</v>
      </c>
      <c r="C44" s="302">
        <f t="shared" ref="C44:E44" si="1">AVERAGE(C$9:C$10)</f>
        <v>29.6850302</v>
      </c>
      <c r="D44" s="302">
        <f t="shared" si="1"/>
        <v>31.445</v>
      </c>
      <c r="E44" s="302">
        <f t="shared" si="1"/>
        <v>31.254796071960552</v>
      </c>
    </row>
    <row r="45" spans="1:5">
      <c r="A45" s="10" t="s">
        <v>359</v>
      </c>
      <c r="B45" s="302">
        <f>AVERAGE(B$38,B$22,B$13)</f>
        <v>23.012563033333333</v>
      </c>
      <c r="C45" s="302">
        <f t="shared" ref="C45:E45" si="2">AVERAGE(C$38,C$22,C$13)</f>
        <v>25.621835866666668</v>
      </c>
      <c r="D45" s="302">
        <f t="shared" si="2"/>
        <v>22.913333333333338</v>
      </c>
      <c r="E45" s="302">
        <f t="shared" si="2"/>
        <v>23.711257433846569</v>
      </c>
    </row>
    <row r="46" spans="1:5">
      <c r="A46" s="10" t="s">
        <v>157</v>
      </c>
      <c r="B46" s="302">
        <f>AVERAGE(B$18,B$20,B$23,B$27,B$34,B$40)</f>
        <v>28.362270800000001</v>
      </c>
      <c r="C46" s="302">
        <f t="shared" ref="C46:E46" si="3">AVERAGE(C$18,C$20,C$23,C$27,C$34,C$40)</f>
        <v>26.901921033333334</v>
      </c>
      <c r="D46" s="302">
        <f t="shared" si="3"/>
        <v>25.51</v>
      </c>
      <c r="E46" s="302">
        <f t="shared" si="3"/>
        <v>25.654655668070248</v>
      </c>
    </row>
    <row r="47" spans="1:5">
      <c r="A47" s="10" t="s">
        <v>158</v>
      </c>
      <c r="B47" s="302">
        <f>AVERAGE(B$11,B$15,B$23,B$32)</f>
        <v>29.460646675</v>
      </c>
      <c r="C47" s="302">
        <f t="shared" ref="C47:E47" si="4">AVERAGE(C$11,C$15,C$23,C$32)</f>
        <v>30.92441225</v>
      </c>
      <c r="D47" s="302">
        <f>AVERAGE(D$11,D$15,D$23,D$32)</f>
        <v>35.7575</v>
      </c>
      <c r="E47" s="302">
        <f t="shared" si="4"/>
        <v>31.874538725033926</v>
      </c>
    </row>
    <row r="48" spans="1:5">
      <c r="A48" s="49" t="s">
        <v>46</v>
      </c>
      <c r="B48" s="54">
        <v>28.714844309823107</v>
      </c>
      <c r="C48" s="54">
        <v>28.513663700000002</v>
      </c>
      <c r="D48" s="54">
        <v>29.113044006897482</v>
      </c>
      <c r="E48" s="48">
        <v>29.9</v>
      </c>
    </row>
    <row r="50" spans="1:5">
      <c r="A50" s="61" t="s">
        <v>246</v>
      </c>
      <c r="B50" s="303" cm="1">
        <f t="array" ref="B50">AVERAGE(AVERAGEIFS(B$9:B$40,$A$9:$A$40,{"Na h-Eileanan Siar","Argyll and Bute","Shetland Islands","Highland","Orkney Islands","Scottish Borders","Dumfries and Galloway","Aberdeenshire"}))</f>
        <v>35.851576812499999</v>
      </c>
      <c r="C50" s="303" cm="1">
        <f t="array" ref="C50">AVERAGE(AVERAGEIFS(C$9:C$40,$A$9:$A$40,{"Na h-Eileanan Siar","Argyll and Bute","Shetland Islands","Highland","Orkney Islands","Scottish Borders","Dumfries and Galloway","Aberdeenshire"}))</f>
        <v>33.453555187499994</v>
      </c>
      <c r="D50" s="303" cm="1">
        <f t="array" ref="D50">AVERAGE(AVERAGEIFS(D$9:D$40,$A$9:$A$40,{"Na h-Eileanan Siar","Argyll and Bute","Shetland Islands","Highland","Orkney Islands","Scottish Borders","Dumfries and Galloway","Aberdeenshire"}))</f>
        <v>34.236249999999998</v>
      </c>
      <c r="E50" s="303" cm="1">
        <f t="array" ref="E50">AVERAGE(AVERAGEIFS(E$9:E$40,$A$9:$A$40,{"Na h-Eileanan Siar","Argyll and Bute","Shetland Islands","Highland","Orkney Islands","Scottish Borders","Dumfries and Galloway","Aberdeenshire"}))</f>
        <v>35.603008277010737</v>
      </c>
    </row>
    <row r="51" spans="1:5">
      <c r="A51" s="61" t="s">
        <v>247</v>
      </c>
      <c r="B51" s="303" cm="1">
        <f t="array" ref="B51">AVERAGE(AVERAGEIFS(B$9:B$40,$A$9:$A$40,{"Perth and Kinross","Stirling","Moray","South Ayrshire","East Ayrshire","East Lothian","North Ayrshire","Fife"}))</f>
        <v>21.785857624999998</v>
      </c>
      <c r="C51" s="303" cm="1">
        <f t="array" ref="C51">AVERAGE(AVERAGEIFS(C$9:C$40,$A$9:$A$40,{"Perth and Kinross","Stirling","Moray","South Ayrshire","East Ayrshire","East Lothian","North Ayrshire","Fife"}))</f>
        <v>23.751091699999996</v>
      </c>
      <c r="D51" s="303" cm="1">
        <f t="array" ref="D51">AVERAGE(AVERAGEIFS(D$9:D$40,$A$9:$A$40,{"Perth and Kinross","Stirling","Moray","South Ayrshire","East Ayrshire","East Lothian","North Ayrshire","Fife"}))</f>
        <v>24.747500000000002</v>
      </c>
      <c r="E51" s="303" cm="1">
        <f t="array" ref="E51">AVERAGE(AVERAGEIFS(E$9:E$40,$A$9:$A$40,{"Perth and Kinross","Stirling","Moray","South Ayrshire","East Ayrshire","East Lothian","North Ayrshire","Fife"}))</f>
        <v>23.776577198944388</v>
      </c>
    </row>
    <row r="52" spans="1:5">
      <c r="A52" s="61" t="s">
        <v>248</v>
      </c>
      <c r="B52" s="303" cm="1">
        <f t="array" ref="B52">AVERAGE(AVERAGEIFS(B$9:B$40,$A$9:$A$40,{"Angus","Clackmannanshire","Midlothian","South Lanarkshire","Inverclyde","Renfrewshire","West Lothian","East Renfrewshire"}))</f>
        <v>20.45619915</v>
      </c>
      <c r="C52" s="303" cm="1">
        <f t="array" ref="C52">AVERAGE(AVERAGEIFS(C$9:C$40,$A$9:$A$40,{"Angus","Clackmannanshire","Midlothian","South Lanarkshire","Inverclyde","Renfrewshire","West Lothian","East Renfrewshire"}))</f>
        <v>20.263348337499998</v>
      </c>
      <c r="D52" s="303" cm="1">
        <f t="array" ref="D52">AVERAGE(AVERAGEIFS(D$9:D$40,$A$9:$A$40,{"Angus","Clackmannanshire","Midlothian","South Lanarkshire","Inverclyde","Renfrewshire","West Lothian","East Renfrewshire"}))</f>
        <v>21.9575</v>
      </c>
      <c r="E52" s="303" cm="1">
        <f t="array" ref="E52">AVERAGE(AVERAGEIFS(E$9:E$40,$A$9:$A$40,{"Angus","Clackmannanshire","Midlothian","South Lanarkshire","Inverclyde","Renfrewshire","West Lothian","East Renfrewshire"}))</f>
        <v>21.015897420016262</v>
      </c>
    </row>
    <row r="53" spans="1:5">
      <c r="A53" s="61" t="s">
        <v>249</v>
      </c>
      <c r="B53" s="303" cm="1">
        <f t="array" ref="B53">AVERAGE(AVERAGEIFS(B$9:B$40,$A$9:$A$40,{"Falkirk","East Dunbartonshire","Aberdeen City","Edinburgh, City of","West Dunbartonshire","Dundee City"}))</f>
        <v>28.358927466666671</v>
      </c>
      <c r="C53" s="303" cm="1">
        <f t="array" ref="C53">AVERAGE(AVERAGEIFS(C$9:C$40,$A$9:$A$40,{"Falkirk","East Dunbartonshire","Aberdeen City","Edinburgh, City of","West Dunbartonshire","Dundee City"}))</f>
        <v>28.971422966666665</v>
      </c>
      <c r="D53" s="303" cm="1">
        <f t="array" ref="D53">AVERAGE(AVERAGEIFS(D$9:D$40,$A$9:$A$40,{"Falkirk","East Dunbartonshire","Aberdeen City","Edinburgh, City of","West Dunbartonshire","Dundee City"}))</f>
        <v>27.305000000000003</v>
      </c>
      <c r="E53" s="303" cm="1">
        <f t="array" ref="E53">AVERAGE(AVERAGEIFS(E$9:E$40,$A$9:$A$40,{"Falkirk","East Dunbartonshire","Aberdeen City","Edinburgh, City of","West Dunbartonshire","Dundee City"}))</f>
        <v>27.820785218706863</v>
      </c>
    </row>
  </sheetData>
  <mergeCells count="1">
    <mergeCell ref="B1:E1"/>
  </mergeCells>
  <conditionalFormatting sqref="A9:D40 A48:D48">
    <cfRule type="expression" dxfId="14" priority="4">
      <formula>MOD(ROW(),2)=0</formula>
    </cfRule>
  </conditionalFormatting>
  <conditionalFormatting sqref="A41:E47">
    <cfRule type="expression" dxfId="13" priority="1">
      <formula>MOD(ROW(),2)=0</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autoPageBreaks="0"/>
  </sheetPr>
  <dimension ref="A1:Q150"/>
  <sheetViews>
    <sheetView zoomScale="40" zoomScaleNormal="40" workbookViewId="0">
      <selection activeCell="T38" sqref="T38"/>
    </sheetView>
  </sheetViews>
  <sheetFormatPr defaultColWidth="8.7109375" defaultRowHeight="15"/>
  <cols>
    <col min="1" max="1" width="25" customWidth="1" collapsed="1"/>
    <col min="2" max="3" width="13.5703125" customWidth="1"/>
    <col min="4" max="4" width="13.5703125" customWidth="1" collapsed="1"/>
    <col min="5" max="7" width="13.5703125" customWidth="1"/>
    <col min="8" max="8" width="13.5703125" customWidth="1" collapsed="1"/>
    <col min="9" max="11" width="13.5703125" customWidth="1"/>
    <col min="12" max="12" width="13.5703125" customWidth="1" collapsed="1"/>
    <col min="13" max="15" width="13.5703125" customWidth="1"/>
    <col min="16" max="16" width="13.5703125" customWidth="1" collapsed="1"/>
    <col min="17" max="18" width="13.5703125" customWidth="1"/>
  </cols>
  <sheetData>
    <row r="1" spans="1:16" ht="15.75">
      <c r="A1" s="1" t="s">
        <v>149</v>
      </c>
      <c r="B1" s="1"/>
      <c r="C1" s="1"/>
    </row>
    <row r="2" spans="1:16">
      <c r="A2" s="2" t="s">
        <v>140</v>
      </c>
      <c r="B2" s="2"/>
      <c r="C2" s="2"/>
    </row>
    <row r="4" spans="1:16">
      <c r="A4" s="10" t="s">
        <v>98</v>
      </c>
      <c r="B4" s="10"/>
      <c r="C4" s="10"/>
      <c r="D4" s="10" t="s">
        <v>82</v>
      </c>
      <c r="E4" s="10"/>
      <c r="F4" s="10"/>
      <c r="G4" s="10"/>
    </row>
    <row r="5" spans="1:16">
      <c r="A5" s="10" t="s">
        <v>97</v>
      </c>
      <c r="B5" s="10"/>
      <c r="C5" s="10"/>
      <c r="D5" s="10" t="s">
        <v>82</v>
      </c>
      <c r="E5" s="10"/>
      <c r="F5" s="10"/>
      <c r="G5" s="10"/>
    </row>
    <row r="6" spans="1:16">
      <c r="A6" s="10" t="s">
        <v>4</v>
      </c>
      <c r="B6" s="10"/>
      <c r="C6" s="10"/>
      <c r="D6" s="10" t="s">
        <v>163</v>
      </c>
      <c r="E6" s="10"/>
      <c r="F6" s="10"/>
      <c r="G6" s="10"/>
    </row>
    <row r="8" spans="1:16" ht="21.95" customHeight="1">
      <c r="A8" s="17" t="s">
        <v>7</v>
      </c>
      <c r="B8" s="17"/>
      <c r="C8" s="17" t="s">
        <v>150</v>
      </c>
      <c r="D8" s="46">
        <v>2015</v>
      </c>
      <c r="E8" s="46"/>
      <c r="F8" s="46"/>
      <c r="G8" s="17" t="s">
        <v>150</v>
      </c>
      <c r="H8" s="46">
        <v>2017</v>
      </c>
      <c r="I8" s="46"/>
      <c r="J8" s="46"/>
      <c r="K8" s="17" t="s">
        <v>150</v>
      </c>
      <c r="L8" s="46">
        <v>2019</v>
      </c>
      <c r="M8" s="46"/>
      <c r="N8" s="46"/>
      <c r="O8" s="17" t="s">
        <v>150</v>
      </c>
      <c r="P8" s="46">
        <v>2021</v>
      </c>
    </row>
    <row r="9" spans="1:16">
      <c r="A9" s="10" t="s">
        <v>15</v>
      </c>
      <c r="B9" s="304">
        <f t="shared" ref="B9:B37" si="0">VLOOKUP($A9,$A$112:$P$147,4,FALSE)</f>
        <v>127</v>
      </c>
      <c r="C9" s="304">
        <f>SUM(VLOOKUP($A9,$A$64:$P$99,4,FALSE)/10000)</f>
        <v>23.035</v>
      </c>
      <c r="D9" s="286">
        <f>SUM(B9/C9)</f>
        <v>5.5133492511395703</v>
      </c>
      <c r="E9" s="14"/>
      <c r="F9" s="304">
        <f t="shared" ref="F9:F37" si="1">VLOOKUP($A9,$A$112:$P$147,8,FALSE)</f>
        <v>139</v>
      </c>
      <c r="G9" s="304">
        <f t="shared" ref="G9:G37" si="2">SUM(VLOOKUP($A9,$A$64:$P$99,8,FALSE)/10000)</f>
        <v>22.88</v>
      </c>
      <c r="H9" s="286">
        <f>SUM(F9/G9)</f>
        <v>6.0751748251748259</v>
      </c>
      <c r="I9" s="14"/>
      <c r="J9" s="304">
        <f t="shared" ref="J9:J37" si="3">VLOOKUP($A9,$A$112:$P$147,12,FALSE)</f>
        <v>151</v>
      </c>
      <c r="K9" s="304">
        <f t="shared" ref="K9:K37" si="4">SUM(VLOOKUP($A9,$A$64:$P$99,12,FALSE)/10000)</f>
        <v>22.867000000000001</v>
      </c>
      <c r="L9" s="286">
        <f>SUM(J9/K9)</f>
        <v>6.6034022827655567</v>
      </c>
      <c r="M9" s="14"/>
      <c r="N9" s="304">
        <f t="shared" ref="N9:N37" si="5">VLOOKUP($A9,$A$112:$P$147,16,FALSE)</f>
        <v>148</v>
      </c>
      <c r="O9" s="304">
        <f t="shared" ref="O9:O37" si="6">SUM(VLOOKUP($A9,$A$64:$P$99,16,FALSE)/10000)</f>
        <v>22.742999999999999</v>
      </c>
      <c r="P9" s="286">
        <f>SUM(N9/O9)</f>
        <v>6.5074968122059538</v>
      </c>
    </row>
    <row r="10" spans="1:16">
      <c r="A10" s="10" t="s">
        <v>16</v>
      </c>
      <c r="B10" s="304">
        <f t="shared" si="0"/>
        <v>245</v>
      </c>
      <c r="C10" s="304">
        <f t="shared" ref="C10:C37" si="7">SUM(VLOOKUP($A10,$A$64:$P$99,4,FALSE)/10000)</f>
        <v>26.196000000000002</v>
      </c>
      <c r="D10" s="286">
        <f t="shared" ref="D10:D53" si="8">SUM(B10/C10)</f>
        <v>9.3525729118949457</v>
      </c>
      <c r="E10" s="14"/>
      <c r="F10" s="304">
        <f t="shared" si="1"/>
        <v>291</v>
      </c>
      <c r="G10" s="304">
        <f t="shared" si="2"/>
        <v>26.18</v>
      </c>
      <c r="H10" s="286">
        <f t="shared" ref="H10:H53" si="9">SUM(F10/G10)</f>
        <v>11.115355233002292</v>
      </c>
      <c r="I10" s="14"/>
      <c r="J10" s="304">
        <f t="shared" si="3"/>
        <v>292</v>
      </c>
      <c r="K10" s="304">
        <f t="shared" si="4"/>
        <v>26.120999999999999</v>
      </c>
      <c r="L10" s="286">
        <f t="shared" ref="L10:L53" si="10">SUM(J10/K10)</f>
        <v>11.178745071015658</v>
      </c>
      <c r="M10" s="14"/>
      <c r="N10" s="304">
        <f t="shared" si="5"/>
        <v>287</v>
      </c>
      <c r="O10" s="304">
        <f t="shared" si="6"/>
        <v>26.268999999999998</v>
      </c>
      <c r="P10" s="286">
        <f t="shared" ref="P10:P41" si="11">SUM(N10/O10)</f>
        <v>10.925425406372531</v>
      </c>
    </row>
    <row r="11" spans="1:16">
      <c r="A11" s="10" t="s">
        <v>17</v>
      </c>
      <c r="B11" s="304">
        <f t="shared" si="0"/>
        <v>93</v>
      </c>
      <c r="C11" s="304">
        <f t="shared" si="7"/>
        <v>11.69</v>
      </c>
      <c r="D11" s="286">
        <f t="shared" si="8"/>
        <v>7.9555175363558597</v>
      </c>
      <c r="E11" s="14"/>
      <c r="F11" s="304">
        <f t="shared" si="1"/>
        <v>109</v>
      </c>
      <c r="G11" s="304">
        <f t="shared" si="2"/>
        <v>11.628</v>
      </c>
      <c r="H11" s="286">
        <f t="shared" si="9"/>
        <v>9.3739250085999313</v>
      </c>
      <c r="I11" s="14"/>
      <c r="J11" s="304">
        <f t="shared" si="3"/>
        <v>119</v>
      </c>
      <c r="K11" s="304">
        <f t="shared" si="4"/>
        <v>11.62</v>
      </c>
      <c r="L11" s="286">
        <f t="shared" si="10"/>
        <v>10.240963855421688</v>
      </c>
      <c r="M11" s="14"/>
      <c r="N11" s="304">
        <f t="shared" si="5"/>
        <v>114</v>
      </c>
      <c r="O11" s="304">
        <f t="shared" si="6"/>
        <v>11.612</v>
      </c>
      <c r="P11" s="286">
        <f t="shared" si="11"/>
        <v>9.8174302445745774</v>
      </c>
    </row>
    <row r="12" spans="1:16">
      <c r="A12" s="10" t="s">
        <v>18</v>
      </c>
      <c r="B12" s="304">
        <f t="shared" si="0"/>
        <v>244</v>
      </c>
      <c r="C12" s="304">
        <f t="shared" si="7"/>
        <v>8.6890000000000001</v>
      </c>
      <c r="D12" s="286">
        <f t="shared" si="8"/>
        <v>28.081482333985498</v>
      </c>
      <c r="E12" s="14"/>
      <c r="F12" s="304">
        <f t="shared" si="1"/>
        <v>246</v>
      </c>
      <c r="G12" s="304">
        <f t="shared" si="2"/>
        <v>8.6809999999999992</v>
      </c>
      <c r="H12" s="286">
        <f t="shared" si="9"/>
        <v>28.337749107245713</v>
      </c>
      <c r="I12" s="14"/>
      <c r="J12" s="304">
        <f t="shared" si="3"/>
        <v>253</v>
      </c>
      <c r="K12" s="304">
        <f t="shared" si="4"/>
        <v>8.5869999999999997</v>
      </c>
      <c r="L12" s="286">
        <f t="shared" si="10"/>
        <v>29.463141958774894</v>
      </c>
      <c r="M12" s="14"/>
      <c r="N12" s="304">
        <f t="shared" si="5"/>
        <v>257</v>
      </c>
      <c r="O12" s="304">
        <f t="shared" si="6"/>
        <v>8.6219999999999999</v>
      </c>
      <c r="P12" s="286">
        <f t="shared" si="11"/>
        <v>29.80746926467177</v>
      </c>
    </row>
    <row r="13" spans="1:16">
      <c r="A13" s="10" t="s">
        <v>126</v>
      </c>
      <c r="B13" s="304">
        <f t="shared" si="0"/>
        <v>670</v>
      </c>
      <c r="C13" s="304">
        <f t="shared" si="7"/>
        <v>49.881</v>
      </c>
      <c r="D13" s="286">
        <f t="shared" si="8"/>
        <v>13.431968084040015</v>
      </c>
      <c r="E13" s="14"/>
      <c r="F13" s="304">
        <f t="shared" si="1"/>
        <v>716</v>
      </c>
      <c r="G13" s="304">
        <f t="shared" si="2"/>
        <v>51.320999999999998</v>
      </c>
      <c r="H13" s="286">
        <f t="shared" si="9"/>
        <v>13.951403908731319</v>
      </c>
      <c r="I13" s="14"/>
      <c r="J13" s="304">
        <f t="shared" si="3"/>
        <v>777</v>
      </c>
      <c r="K13" s="304">
        <f t="shared" si="4"/>
        <v>52.493000000000002</v>
      </c>
      <c r="L13" s="286">
        <f t="shared" si="10"/>
        <v>14.801973596479529</v>
      </c>
      <c r="M13" s="14"/>
      <c r="N13" s="304">
        <f t="shared" si="5"/>
        <v>781</v>
      </c>
      <c r="O13" s="304">
        <f t="shared" si="6"/>
        <v>52.646999999999998</v>
      </c>
      <c r="P13" s="286">
        <f t="shared" si="11"/>
        <v>14.834653446540164</v>
      </c>
    </row>
    <row r="14" spans="1:16">
      <c r="A14" s="10" t="s">
        <v>19</v>
      </c>
      <c r="B14" s="304">
        <f t="shared" si="0"/>
        <v>32</v>
      </c>
      <c r="C14" s="304">
        <f t="shared" si="7"/>
        <v>5.1360000000000001</v>
      </c>
      <c r="D14" s="286">
        <f t="shared" si="8"/>
        <v>6.2305295950155761</v>
      </c>
      <c r="E14" s="14"/>
      <c r="F14" s="304">
        <f t="shared" si="1"/>
        <v>29</v>
      </c>
      <c r="G14" s="304">
        <f t="shared" si="2"/>
        <v>5.1449999999999996</v>
      </c>
      <c r="H14" s="286">
        <f t="shared" si="9"/>
        <v>5.6365403304178816</v>
      </c>
      <c r="I14" s="14"/>
      <c r="J14" s="304">
        <f t="shared" si="3"/>
        <v>38</v>
      </c>
      <c r="K14" s="304">
        <f t="shared" si="4"/>
        <v>5.1539999999999999</v>
      </c>
      <c r="L14" s="286">
        <f t="shared" si="10"/>
        <v>7.3729142413659297</v>
      </c>
      <c r="M14" s="14"/>
      <c r="N14" s="304">
        <f t="shared" si="5"/>
        <v>35</v>
      </c>
      <c r="O14" s="304">
        <f t="shared" si="6"/>
        <v>5.1539999999999999</v>
      </c>
      <c r="P14" s="286">
        <f t="shared" si="11"/>
        <v>6.7908420644159877</v>
      </c>
    </row>
    <row r="15" spans="1:16">
      <c r="A15" s="10" t="s">
        <v>20</v>
      </c>
      <c r="B15" s="304">
        <f t="shared" si="0"/>
        <v>190</v>
      </c>
      <c r="C15" s="304">
        <f t="shared" si="7"/>
        <v>14.967000000000001</v>
      </c>
      <c r="D15" s="286">
        <f t="shared" si="8"/>
        <v>12.694594775172044</v>
      </c>
      <c r="E15" s="14"/>
      <c r="F15" s="304">
        <f t="shared" si="1"/>
        <v>218</v>
      </c>
      <c r="G15" s="304">
        <f t="shared" si="2"/>
        <v>14.92</v>
      </c>
      <c r="H15" s="286">
        <f t="shared" si="9"/>
        <v>14.611260053619302</v>
      </c>
      <c r="I15" s="14"/>
      <c r="J15" s="304">
        <f t="shared" si="3"/>
        <v>239</v>
      </c>
      <c r="K15" s="304">
        <f t="shared" si="4"/>
        <v>14.885999999999999</v>
      </c>
      <c r="L15" s="286">
        <f t="shared" si="10"/>
        <v>16.05535402391509</v>
      </c>
      <c r="M15" s="14"/>
      <c r="N15" s="304">
        <f t="shared" si="5"/>
        <v>239</v>
      </c>
      <c r="O15" s="304">
        <f t="shared" si="6"/>
        <v>14.879</v>
      </c>
      <c r="P15" s="286">
        <f t="shared" si="11"/>
        <v>16.062907453457893</v>
      </c>
    </row>
    <row r="16" spans="1:16">
      <c r="A16" s="10" t="s">
        <v>21</v>
      </c>
      <c r="B16" s="304">
        <f t="shared" si="0"/>
        <v>132</v>
      </c>
      <c r="C16" s="304">
        <f t="shared" si="7"/>
        <v>14.821</v>
      </c>
      <c r="D16" s="286">
        <f t="shared" si="8"/>
        <v>8.9062816274205527</v>
      </c>
      <c r="E16" s="14"/>
      <c r="F16" s="304">
        <f t="shared" si="1"/>
        <v>135</v>
      </c>
      <c r="G16" s="304">
        <f t="shared" si="2"/>
        <v>14.871</v>
      </c>
      <c r="H16" s="286">
        <f t="shared" si="9"/>
        <v>9.0780714141617906</v>
      </c>
      <c r="I16" s="14"/>
      <c r="J16" s="304">
        <f t="shared" si="3"/>
        <v>138</v>
      </c>
      <c r="K16" s="304">
        <f t="shared" si="4"/>
        <v>14.932</v>
      </c>
      <c r="L16" s="286">
        <f t="shared" si="10"/>
        <v>9.241896597910527</v>
      </c>
      <c r="M16" s="14"/>
      <c r="N16" s="304">
        <f t="shared" si="5"/>
        <v>136</v>
      </c>
      <c r="O16" s="304">
        <f t="shared" si="6"/>
        <v>14.772</v>
      </c>
      <c r="P16" s="286">
        <f t="shared" si="11"/>
        <v>9.2066070945031147</v>
      </c>
    </row>
    <row r="17" spans="1:16">
      <c r="A17" s="10" t="s">
        <v>22</v>
      </c>
      <c r="B17" s="304">
        <f t="shared" si="0"/>
        <v>69</v>
      </c>
      <c r="C17" s="304">
        <f t="shared" si="7"/>
        <v>12.206</v>
      </c>
      <c r="D17" s="286">
        <f t="shared" si="8"/>
        <v>5.6529575618548256</v>
      </c>
      <c r="E17" s="14"/>
      <c r="F17" s="304">
        <f t="shared" si="1"/>
        <v>73</v>
      </c>
      <c r="G17" s="304">
        <f t="shared" si="2"/>
        <v>12.194000000000001</v>
      </c>
      <c r="H17" s="286">
        <f t="shared" si="9"/>
        <v>5.9865507626701655</v>
      </c>
      <c r="I17" s="14"/>
      <c r="J17" s="304">
        <f t="shared" si="3"/>
        <v>76</v>
      </c>
      <c r="K17" s="304">
        <f t="shared" si="4"/>
        <v>12.201000000000001</v>
      </c>
      <c r="L17" s="286">
        <f t="shared" si="10"/>
        <v>6.2289976231456432</v>
      </c>
      <c r="M17" s="14"/>
      <c r="N17" s="304">
        <f t="shared" si="5"/>
        <v>76</v>
      </c>
      <c r="O17" s="304">
        <f t="shared" si="6"/>
        <v>12.202</v>
      </c>
      <c r="P17" s="286">
        <f t="shared" si="11"/>
        <v>6.2284871332568432</v>
      </c>
    </row>
    <row r="18" spans="1:16">
      <c r="A18" s="10" t="s">
        <v>23</v>
      </c>
      <c r="B18" s="304">
        <f t="shared" si="0"/>
        <v>51</v>
      </c>
      <c r="C18" s="304">
        <f t="shared" si="7"/>
        <v>10.696</v>
      </c>
      <c r="D18" s="286">
        <f t="shared" si="8"/>
        <v>4.7681376215407631</v>
      </c>
      <c r="E18" s="14"/>
      <c r="F18" s="304">
        <f t="shared" si="1"/>
        <v>52</v>
      </c>
      <c r="G18" s="304">
        <f t="shared" si="2"/>
        <v>10.813000000000001</v>
      </c>
      <c r="H18" s="286">
        <f t="shared" si="9"/>
        <v>4.8090261722001291</v>
      </c>
      <c r="I18" s="14"/>
      <c r="J18" s="304">
        <f t="shared" si="3"/>
        <v>60</v>
      </c>
      <c r="K18" s="304">
        <f t="shared" si="4"/>
        <v>10.864000000000001</v>
      </c>
      <c r="L18" s="286">
        <f t="shared" si="10"/>
        <v>5.5228276877761413</v>
      </c>
      <c r="M18" s="14"/>
      <c r="N18" s="304">
        <f t="shared" si="5"/>
        <v>55</v>
      </c>
      <c r="O18" s="304">
        <f t="shared" si="6"/>
        <v>10.89</v>
      </c>
      <c r="P18" s="286">
        <f t="shared" si="11"/>
        <v>5.0505050505050502</v>
      </c>
    </row>
    <row r="19" spans="1:16">
      <c r="A19" s="10" t="s">
        <v>24</v>
      </c>
      <c r="B19" s="304">
        <f t="shared" si="0"/>
        <v>125</v>
      </c>
      <c r="C19" s="304">
        <f t="shared" si="7"/>
        <v>10.305</v>
      </c>
      <c r="D19" s="286">
        <f t="shared" si="8"/>
        <v>12.1300339640951</v>
      </c>
      <c r="E19" s="14"/>
      <c r="F19" s="304">
        <f t="shared" si="1"/>
        <v>131</v>
      </c>
      <c r="G19" s="304">
        <f t="shared" si="2"/>
        <v>10.484</v>
      </c>
      <c r="H19" s="286">
        <f t="shared" si="9"/>
        <v>12.495230827928271</v>
      </c>
      <c r="I19" s="14"/>
      <c r="J19" s="304">
        <f t="shared" si="3"/>
        <v>155</v>
      </c>
      <c r="K19" s="304">
        <f t="shared" si="4"/>
        <v>10.709</v>
      </c>
      <c r="L19" s="286">
        <f t="shared" si="10"/>
        <v>14.473807078158559</v>
      </c>
      <c r="M19" s="14"/>
      <c r="N19" s="304">
        <f t="shared" si="5"/>
        <v>146</v>
      </c>
      <c r="O19" s="304">
        <f t="shared" si="6"/>
        <v>10.958</v>
      </c>
      <c r="P19" s="286">
        <f t="shared" si="11"/>
        <v>13.323599196933747</v>
      </c>
    </row>
    <row r="20" spans="1:16">
      <c r="A20" s="10" t="s">
        <v>25</v>
      </c>
      <c r="B20" s="304">
        <f t="shared" si="0"/>
        <v>41</v>
      </c>
      <c r="C20" s="304">
        <f t="shared" si="7"/>
        <v>9.2940000000000005</v>
      </c>
      <c r="D20" s="286">
        <f t="shared" si="8"/>
        <v>4.4114482461803313</v>
      </c>
      <c r="E20" s="14"/>
      <c r="F20" s="304">
        <f t="shared" si="1"/>
        <v>42</v>
      </c>
      <c r="G20" s="304">
        <f t="shared" si="2"/>
        <v>9.4760000000000009</v>
      </c>
      <c r="H20" s="286">
        <f t="shared" si="9"/>
        <v>4.4322498944702398</v>
      </c>
      <c r="I20" s="14"/>
      <c r="J20" s="304">
        <f t="shared" si="3"/>
        <v>53</v>
      </c>
      <c r="K20" s="304">
        <f t="shared" si="4"/>
        <v>9.5530000000000008</v>
      </c>
      <c r="L20" s="286">
        <f t="shared" si="10"/>
        <v>5.5479953941170308</v>
      </c>
      <c r="M20" s="14"/>
      <c r="N20" s="304">
        <f t="shared" si="5"/>
        <v>55</v>
      </c>
      <c r="O20" s="304">
        <f t="shared" si="6"/>
        <v>9.6579999999999995</v>
      </c>
      <c r="P20" s="286">
        <f t="shared" si="11"/>
        <v>5.6947608200455582</v>
      </c>
    </row>
    <row r="21" spans="1:16">
      <c r="A21" s="10" t="s">
        <v>26</v>
      </c>
      <c r="B21" s="304">
        <f t="shared" si="0"/>
        <v>79</v>
      </c>
      <c r="C21" s="304">
        <f t="shared" si="7"/>
        <v>15.846</v>
      </c>
      <c r="D21" s="286">
        <f t="shared" si="8"/>
        <v>4.9854852959737475</v>
      </c>
      <c r="E21" s="14"/>
      <c r="F21" s="304">
        <f t="shared" si="1"/>
        <v>87</v>
      </c>
      <c r="G21" s="304">
        <f t="shared" si="2"/>
        <v>16.013000000000002</v>
      </c>
      <c r="H21" s="286">
        <f t="shared" si="9"/>
        <v>5.4330856179354265</v>
      </c>
      <c r="I21" s="14"/>
      <c r="J21" s="304">
        <f t="shared" si="3"/>
        <v>91</v>
      </c>
      <c r="K21" s="304">
        <f t="shared" si="4"/>
        <v>16.088999999999999</v>
      </c>
      <c r="L21" s="286">
        <f t="shared" si="10"/>
        <v>5.6560382870284052</v>
      </c>
      <c r="M21" s="14"/>
      <c r="N21" s="304">
        <f t="shared" si="5"/>
        <v>94</v>
      </c>
      <c r="O21" s="304">
        <f t="shared" si="6"/>
        <v>16.07</v>
      </c>
      <c r="P21" s="286">
        <f t="shared" si="11"/>
        <v>5.8494088363410084</v>
      </c>
    </row>
    <row r="22" spans="1:16">
      <c r="A22" s="10" t="s">
        <v>27</v>
      </c>
      <c r="B22" s="304">
        <f t="shared" si="0"/>
        <v>179</v>
      </c>
      <c r="C22" s="304">
        <f t="shared" si="7"/>
        <v>36.808</v>
      </c>
      <c r="D22" s="286">
        <f t="shared" si="8"/>
        <v>4.8630732449467509</v>
      </c>
      <c r="E22" s="14"/>
      <c r="F22" s="304">
        <f t="shared" si="1"/>
        <v>238</v>
      </c>
      <c r="G22" s="304">
        <f t="shared" si="2"/>
        <v>37.140999999999998</v>
      </c>
      <c r="H22" s="286">
        <f t="shared" si="9"/>
        <v>6.4080127083277247</v>
      </c>
      <c r="I22" s="14"/>
      <c r="J22" s="304">
        <f t="shared" si="3"/>
        <v>242</v>
      </c>
      <c r="K22" s="304">
        <f t="shared" si="4"/>
        <v>37.354999999999997</v>
      </c>
      <c r="L22" s="286">
        <f t="shared" si="10"/>
        <v>6.4783830812474905</v>
      </c>
      <c r="M22" s="14"/>
      <c r="N22" s="304">
        <f t="shared" si="5"/>
        <v>258</v>
      </c>
      <c r="O22" s="304">
        <f t="shared" si="6"/>
        <v>37.472999999999999</v>
      </c>
      <c r="P22" s="286">
        <f t="shared" si="11"/>
        <v>6.8849571691617966</v>
      </c>
    </row>
    <row r="23" spans="1:16">
      <c r="A23" s="10" t="s">
        <v>28</v>
      </c>
      <c r="B23" s="304">
        <f t="shared" si="0"/>
        <v>704</v>
      </c>
      <c r="C23" s="304">
        <f t="shared" si="7"/>
        <v>60.634</v>
      </c>
      <c r="D23" s="286">
        <f t="shared" si="8"/>
        <v>11.610647491506416</v>
      </c>
      <c r="E23" s="14"/>
      <c r="F23" s="304">
        <f t="shared" si="1"/>
        <v>732</v>
      </c>
      <c r="G23" s="304">
        <f t="shared" si="2"/>
        <v>62.101999999999997</v>
      </c>
      <c r="H23" s="286">
        <f t="shared" si="9"/>
        <v>11.787059998067695</v>
      </c>
      <c r="I23" s="14"/>
      <c r="J23" s="304">
        <f t="shared" si="3"/>
        <v>811</v>
      </c>
      <c r="K23" s="304">
        <f t="shared" si="4"/>
        <v>63.311999999999998</v>
      </c>
      <c r="L23" s="286">
        <f t="shared" si="10"/>
        <v>12.809577963103361</v>
      </c>
      <c r="M23" s="14"/>
      <c r="N23" s="304">
        <f t="shared" si="5"/>
        <v>816</v>
      </c>
      <c r="O23" s="304">
        <f t="shared" si="6"/>
        <v>63.512999999999998</v>
      </c>
      <c r="P23" s="286">
        <f t="shared" si="11"/>
        <v>12.847763450002363</v>
      </c>
    </row>
    <row r="24" spans="1:16">
      <c r="A24" s="10" t="s">
        <v>29</v>
      </c>
      <c r="B24" s="304">
        <f t="shared" si="0"/>
        <v>529</v>
      </c>
      <c r="C24" s="304">
        <f t="shared" si="7"/>
        <v>23.411000000000001</v>
      </c>
      <c r="D24" s="286">
        <f t="shared" si="8"/>
        <v>22.596215454273629</v>
      </c>
      <c r="E24" s="14"/>
      <c r="F24" s="304">
        <f t="shared" si="1"/>
        <v>539</v>
      </c>
      <c r="G24" s="304">
        <f t="shared" si="2"/>
        <v>23.518000000000001</v>
      </c>
      <c r="H24" s="286">
        <f t="shared" si="9"/>
        <v>22.918615528531337</v>
      </c>
      <c r="I24" s="14"/>
      <c r="J24" s="304">
        <f t="shared" si="3"/>
        <v>564</v>
      </c>
      <c r="K24" s="304">
        <f t="shared" si="4"/>
        <v>23.582999999999998</v>
      </c>
      <c r="L24" s="286">
        <f t="shared" si="10"/>
        <v>23.915532375015903</v>
      </c>
      <c r="M24" s="14"/>
      <c r="N24" s="304">
        <f t="shared" si="5"/>
        <v>566</v>
      </c>
      <c r="O24" s="304">
        <f t="shared" si="6"/>
        <v>23.806000000000001</v>
      </c>
      <c r="P24" s="286">
        <f t="shared" si="11"/>
        <v>23.775518776778963</v>
      </c>
    </row>
    <row r="25" spans="1:16">
      <c r="A25" s="10" t="s">
        <v>30</v>
      </c>
      <c r="B25" s="304">
        <f t="shared" si="0"/>
        <v>54</v>
      </c>
      <c r="C25" s="304">
        <f t="shared" si="7"/>
        <v>7.95</v>
      </c>
      <c r="D25" s="286">
        <f t="shared" si="8"/>
        <v>6.7924528301886795</v>
      </c>
      <c r="E25" s="14"/>
      <c r="F25" s="304">
        <f t="shared" si="1"/>
        <v>59</v>
      </c>
      <c r="G25" s="304">
        <f t="shared" si="2"/>
        <v>7.8760000000000003</v>
      </c>
      <c r="H25" s="286">
        <f t="shared" si="9"/>
        <v>7.4911122397155916</v>
      </c>
      <c r="I25" s="14"/>
      <c r="J25" s="304">
        <f t="shared" si="3"/>
        <v>63</v>
      </c>
      <c r="K25" s="304">
        <f t="shared" si="4"/>
        <v>7.78</v>
      </c>
      <c r="L25" s="286">
        <f t="shared" si="10"/>
        <v>8.0976863753213362</v>
      </c>
      <c r="M25" s="14"/>
      <c r="N25" s="304">
        <f t="shared" si="5"/>
        <v>62</v>
      </c>
      <c r="O25" s="304">
        <f t="shared" si="6"/>
        <v>7.67</v>
      </c>
      <c r="P25" s="286">
        <f t="shared" si="11"/>
        <v>8.0834419817470664</v>
      </c>
    </row>
    <row r="26" spans="1:16">
      <c r="A26" s="10" t="s">
        <v>31</v>
      </c>
      <c r="B26" s="304">
        <f t="shared" si="0"/>
        <v>57</v>
      </c>
      <c r="C26" s="304">
        <f t="shared" si="7"/>
        <v>8.7390000000000008</v>
      </c>
      <c r="D26" s="286">
        <f t="shared" si="8"/>
        <v>6.5224854102300025</v>
      </c>
      <c r="E26" s="14"/>
      <c r="F26" s="304">
        <f t="shared" si="1"/>
        <v>66</v>
      </c>
      <c r="G26" s="304">
        <f t="shared" si="2"/>
        <v>9.0090000000000003</v>
      </c>
      <c r="H26" s="286">
        <f t="shared" si="9"/>
        <v>7.3260073260073257</v>
      </c>
      <c r="I26" s="14"/>
      <c r="J26" s="304">
        <f t="shared" si="3"/>
        <v>73</v>
      </c>
      <c r="K26" s="304">
        <f t="shared" si="4"/>
        <v>9.2460000000000004</v>
      </c>
      <c r="L26" s="286">
        <f t="shared" si="10"/>
        <v>7.8953060783041309</v>
      </c>
      <c r="M26" s="14"/>
      <c r="N26" s="304">
        <f t="shared" si="5"/>
        <v>74</v>
      </c>
      <c r="O26" s="304">
        <f t="shared" si="6"/>
        <v>9.468</v>
      </c>
      <c r="P26" s="286">
        <f t="shared" si="11"/>
        <v>7.8158005914659912</v>
      </c>
    </row>
    <row r="27" spans="1:16">
      <c r="A27" s="10" t="s">
        <v>32</v>
      </c>
      <c r="B27" s="304">
        <f t="shared" si="0"/>
        <v>124</v>
      </c>
      <c r="C27" s="304">
        <f t="shared" si="7"/>
        <v>9.5510000000000002</v>
      </c>
      <c r="D27" s="286">
        <f t="shared" si="8"/>
        <v>12.982933724217359</v>
      </c>
      <c r="E27" s="14"/>
      <c r="F27" s="304">
        <f t="shared" si="1"/>
        <v>139</v>
      </c>
      <c r="G27" s="304">
        <f t="shared" si="2"/>
        <v>9.5779999999999994</v>
      </c>
      <c r="H27" s="286">
        <f t="shared" si="9"/>
        <v>14.512424305700565</v>
      </c>
      <c r="I27" s="14"/>
      <c r="J27" s="304">
        <f t="shared" si="3"/>
        <v>150</v>
      </c>
      <c r="K27" s="304">
        <f t="shared" si="4"/>
        <v>9.5820000000000007</v>
      </c>
      <c r="L27" s="286">
        <f t="shared" si="10"/>
        <v>15.654351909830932</v>
      </c>
      <c r="M27" s="14"/>
      <c r="N27" s="304">
        <f t="shared" si="5"/>
        <v>147</v>
      </c>
      <c r="O27" s="304">
        <f t="shared" si="6"/>
        <v>9.641</v>
      </c>
      <c r="P27" s="286">
        <f t="shared" si="11"/>
        <v>15.247380977077066</v>
      </c>
    </row>
    <row r="28" spans="1:16">
      <c r="A28" s="10" t="s">
        <v>33</v>
      </c>
      <c r="B28" s="304">
        <f t="shared" si="0"/>
        <v>109</v>
      </c>
      <c r="C28" s="304">
        <f t="shared" si="7"/>
        <v>2.7069999999999999</v>
      </c>
      <c r="D28" s="286">
        <f t="shared" si="8"/>
        <v>40.265977096416698</v>
      </c>
      <c r="E28" s="14"/>
      <c r="F28" s="304">
        <f t="shared" si="1"/>
        <v>109</v>
      </c>
      <c r="G28" s="304">
        <f t="shared" si="2"/>
        <v>2.6949999999999998</v>
      </c>
      <c r="H28" s="286">
        <f t="shared" si="9"/>
        <v>40.445269016697587</v>
      </c>
      <c r="I28" s="14"/>
      <c r="J28" s="304">
        <f t="shared" si="3"/>
        <v>122</v>
      </c>
      <c r="K28" s="304">
        <f t="shared" si="4"/>
        <v>2.6720000000000002</v>
      </c>
      <c r="L28" s="286">
        <f t="shared" si="10"/>
        <v>45.658682634730539</v>
      </c>
      <c r="M28" s="14"/>
      <c r="N28" s="304">
        <f t="shared" si="5"/>
        <v>124</v>
      </c>
      <c r="O28" s="304">
        <f t="shared" si="6"/>
        <v>2.6640000000000001</v>
      </c>
      <c r="P28" s="286">
        <f t="shared" si="11"/>
        <v>46.546546546546544</v>
      </c>
    </row>
    <row r="29" spans="1:16">
      <c r="A29" s="10" t="s">
        <v>34</v>
      </c>
      <c r="B29" s="304">
        <f t="shared" si="0"/>
        <v>98</v>
      </c>
      <c r="C29" s="304">
        <f t="shared" si="7"/>
        <v>13.613</v>
      </c>
      <c r="D29" s="286">
        <f t="shared" si="8"/>
        <v>7.1990009549695149</v>
      </c>
      <c r="E29" s="14"/>
      <c r="F29" s="304">
        <f t="shared" si="1"/>
        <v>111</v>
      </c>
      <c r="G29" s="304">
        <f t="shared" si="2"/>
        <v>13.579000000000001</v>
      </c>
      <c r="H29" s="286">
        <f t="shared" si="9"/>
        <v>8.1743869209809255</v>
      </c>
      <c r="I29" s="14"/>
      <c r="J29" s="304">
        <f t="shared" si="3"/>
        <v>117</v>
      </c>
      <c r="K29" s="304">
        <f t="shared" si="4"/>
        <v>13.474</v>
      </c>
      <c r="L29" s="286">
        <f t="shared" si="10"/>
        <v>8.683390233041413</v>
      </c>
      <c r="M29" s="14"/>
      <c r="N29" s="304">
        <f t="shared" si="5"/>
        <v>120</v>
      </c>
      <c r="O29" s="304">
        <f t="shared" si="6"/>
        <v>13.422000000000001</v>
      </c>
      <c r="P29" s="286">
        <f t="shared" si="11"/>
        <v>8.9405453732677689</v>
      </c>
    </row>
    <row r="30" spans="1:16">
      <c r="A30" s="10" t="s">
        <v>35</v>
      </c>
      <c r="B30" s="304">
        <f t="shared" si="0"/>
        <v>107</v>
      </c>
      <c r="C30" s="304">
        <f t="shared" si="7"/>
        <v>33.826000000000001</v>
      </c>
      <c r="D30" s="286">
        <f t="shared" si="8"/>
        <v>3.1632472062910186</v>
      </c>
      <c r="E30" s="14"/>
      <c r="F30" s="304">
        <f t="shared" si="1"/>
        <v>104</v>
      </c>
      <c r="G30" s="304">
        <f t="shared" si="2"/>
        <v>33.996000000000002</v>
      </c>
      <c r="H30" s="286">
        <f t="shared" si="9"/>
        <v>3.0591834333450993</v>
      </c>
      <c r="I30" s="14"/>
      <c r="J30" s="304">
        <f t="shared" si="3"/>
        <v>109</v>
      </c>
      <c r="K30" s="304">
        <f t="shared" si="4"/>
        <v>34.137</v>
      </c>
      <c r="L30" s="286">
        <f t="shared" si="10"/>
        <v>3.193016375194071</v>
      </c>
      <c r="M30" s="14"/>
      <c r="N30" s="304">
        <f t="shared" si="5"/>
        <v>114</v>
      </c>
      <c r="O30" s="304">
        <f t="shared" si="6"/>
        <v>34.14</v>
      </c>
      <c r="P30" s="286">
        <f t="shared" si="11"/>
        <v>3.3391915641476273</v>
      </c>
    </row>
    <row r="31" spans="1:16">
      <c r="A31" s="10" t="s">
        <v>36</v>
      </c>
      <c r="B31" s="304">
        <f t="shared" si="0"/>
        <v>56</v>
      </c>
      <c r="C31" s="304">
        <f t="shared" si="7"/>
        <v>2.1669999999999998</v>
      </c>
      <c r="D31" s="286">
        <f t="shared" si="8"/>
        <v>25.842178126442089</v>
      </c>
      <c r="E31" s="14"/>
      <c r="F31" s="304">
        <f t="shared" si="1"/>
        <v>64</v>
      </c>
      <c r="G31" s="304">
        <f t="shared" si="2"/>
        <v>2.2000000000000002</v>
      </c>
      <c r="H31" s="286">
        <f t="shared" si="9"/>
        <v>29.09090909090909</v>
      </c>
      <c r="I31" s="14"/>
      <c r="J31" s="304">
        <f t="shared" si="3"/>
        <v>69</v>
      </c>
      <c r="K31" s="304">
        <f t="shared" si="4"/>
        <v>2.2269999999999999</v>
      </c>
      <c r="L31" s="286">
        <f t="shared" si="10"/>
        <v>30.983385720700497</v>
      </c>
      <c r="M31" s="14"/>
      <c r="N31" s="304">
        <f t="shared" si="5"/>
        <v>72</v>
      </c>
      <c r="O31" s="304">
        <f t="shared" si="6"/>
        <v>2.254</v>
      </c>
      <c r="P31" s="286">
        <f t="shared" si="11"/>
        <v>31.94321206743567</v>
      </c>
    </row>
    <row r="32" spans="1:16">
      <c r="A32" s="10" t="s">
        <v>37</v>
      </c>
      <c r="B32" s="304">
        <f t="shared" si="0"/>
        <v>167</v>
      </c>
      <c r="C32" s="304">
        <f t="shared" si="7"/>
        <v>14.993</v>
      </c>
      <c r="D32" s="286">
        <f t="shared" si="8"/>
        <v>11.138531314613486</v>
      </c>
      <c r="E32" s="14"/>
      <c r="F32" s="304">
        <f t="shared" si="1"/>
        <v>195</v>
      </c>
      <c r="G32" s="304">
        <f t="shared" si="2"/>
        <v>15.11</v>
      </c>
      <c r="H32" s="286">
        <f t="shared" si="9"/>
        <v>12.905360688285905</v>
      </c>
      <c r="I32" s="14"/>
      <c r="J32" s="304">
        <f t="shared" si="3"/>
        <v>202</v>
      </c>
      <c r="K32" s="304">
        <f t="shared" si="4"/>
        <v>15.195</v>
      </c>
      <c r="L32" s="286">
        <f t="shared" si="10"/>
        <v>13.293846660085554</v>
      </c>
      <c r="M32" s="14"/>
      <c r="N32" s="304">
        <f t="shared" si="5"/>
        <v>209</v>
      </c>
      <c r="O32" s="304">
        <f t="shared" si="6"/>
        <v>15.381</v>
      </c>
      <c r="P32" s="286">
        <f t="shared" si="11"/>
        <v>13.58819322540797</v>
      </c>
    </row>
    <row r="33" spans="1:17">
      <c r="A33" s="10" t="s">
        <v>38</v>
      </c>
      <c r="B33" s="304">
        <f t="shared" si="0"/>
        <v>84</v>
      </c>
      <c r="C33" s="304">
        <f t="shared" si="7"/>
        <v>17.456</v>
      </c>
      <c r="D33" s="286">
        <f t="shared" si="8"/>
        <v>4.8120989917506876</v>
      </c>
      <c r="E33" s="14"/>
      <c r="F33" s="304">
        <f t="shared" si="1"/>
        <v>83</v>
      </c>
      <c r="G33" s="304">
        <f t="shared" si="2"/>
        <v>17.683</v>
      </c>
      <c r="H33" s="286">
        <f t="shared" si="9"/>
        <v>4.6937736809364932</v>
      </c>
      <c r="I33" s="14"/>
      <c r="J33" s="304">
        <f t="shared" si="3"/>
        <v>98</v>
      </c>
      <c r="K33" s="304">
        <f t="shared" si="4"/>
        <v>17.91</v>
      </c>
      <c r="L33" s="286">
        <f t="shared" si="10"/>
        <v>5.4718034617532103</v>
      </c>
      <c r="M33" s="14"/>
      <c r="N33" s="304">
        <f t="shared" si="5"/>
        <v>99</v>
      </c>
      <c r="O33" s="304">
        <f t="shared" si="6"/>
        <v>17.994</v>
      </c>
      <c r="P33" s="286">
        <f t="shared" si="11"/>
        <v>5.5018339446482161</v>
      </c>
    </row>
    <row r="34" spans="1:17">
      <c r="A34" s="10" t="s">
        <v>39</v>
      </c>
      <c r="B34" s="304">
        <f t="shared" si="0"/>
        <v>195</v>
      </c>
      <c r="C34" s="304">
        <f t="shared" si="7"/>
        <v>11.403</v>
      </c>
      <c r="D34" s="286">
        <f t="shared" si="8"/>
        <v>17.100762957116547</v>
      </c>
      <c r="E34" s="14"/>
      <c r="F34" s="304">
        <f t="shared" si="1"/>
        <v>223</v>
      </c>
      <c r="G34" s="304">
        <f t="shared" si="2"/>
        <v>11.502000000000001</v>
      </c>
      <c r="H34" s="286">
        <f t="shared" si="9"/>
        <v>19.387932533472437</v>
      </c>
      <c r="I34" s="14"/>
      <c r="J34" s="304">
        <f t="shared" si="3"/>
        <v>242</v>
      </c>
      <c r="K34" s="304">
        <f t="shared" si="4"/>
        <v>11.551</v>
      </c>
      <c r="L34" s="286">
        <f t="shared" si="10"/>
        <v>20.950567050471822</v>
      </c>
      <c r="M34" s="14"/>
      <c r="N34" s="304">
        <f t="shared" si="5"/>
        <v>236</v>
      </c>
      <c r="O34" s="304">
        <f t="shared" si="6"/>
        <v>11.602</v>
      </c>
      <c r="P34" s="286">
        <f t="shared" si="11"/>
        <v>20.341320461989312</v>
      </c>
    </row>
    <row r="35" spans="1:17">
      <c r="A35" s="10" t="s">
        <v>40</v>
      </c>
      <c r="B35" s="304">
        <f t="shared" si="0"/>
        <v>95</v>
      </c>
      <c r="C35" s="304">
        <f t="shared" si="7"/>
        <v>2.3199999999999998</v>
      </c>
      <c r="D35" s="286">
        <f t="shared" si="8"/>
        <v>40.948275862068968</v>
      </c>
      <c r="E35" s="14"/>
      <c r="F35" s="304">
        <f t="shared" si="1"/>
        <v>101</v>
      </c>
      <c r="G35" s="304">
        <f t="shared" si="2"/>
        <v>2.3079999999999998</v>
      </c>
      <c r="H35" s="286">
        <f t="shared" si="9"/>
        <v>43.760831889081459</v>
      </c>
      <c r="I35" s="14"/>
      <c r="J35" s="304">
        <f t="shared" si="3"/>
        <v>109</v>
      </c>
      <c r="K35" s="304">
        <f t="shared" si="4"/>
        <v>2.2919999999999998</v>
      </c>
      <c r="L35" s="286">
        <f t="shared" si="10"/>
        <v>47.556719022687616</v>
      </c>
      <c r="M35" s="14"/>
      <c r="N35" s="304">
        <f t="shared" si="5"/>
        <v>107</v>
      </c>
      <c r="O35" s="304">
        <f t="shared" si="6"/>
        <v>2.294</v>
      </c>
      <c r="P35" s="286">
        <f t="shared" si="11"/>
        <v>46.643417611159549</v>
      </c>
    </row>
    <row r="36" spans="1:17">
      <c r="A36" s="10" t="s">
        <v>41</v>
      </c>
      <c r="B36" s="304">
        <f t="shared" si="0"/>
        <v>61</v>
      </c>
      <c r="C36" s="304">
        <f t="shared" si="7"/>
        <v>11.24</v>
      </c>
      <c r="D36" s="286">
        <f t="shared" si="8"/>
        <v>5.4270462633451952</v>
      </c>
      <c r="E36" s="14"/>
      <c r="F36" s="304">
        <f t="shared" si="1"/>
        <v>77</v>
      </c>
      <c r="G36" s="304">
        <f t="shared" si="2"/>
        <v>11.268000000000001</v>
      </c>
      <c r="H36" s="286">
        <f t="shared" si="9"/>
        <v>6.8335108271210503</v>
      </c>
      <c r="I36" s="14"/>
      <c r="J36" s="304">
        <f t="shared" si="3"/>
        <v>85</v>
      </c>
      <c r="K36" s="304">
        <f t="shared" si="4"/>
        <v>11.260999999999999</v>
      </c>
      <c r="L36" s="286">
        <f t="shared" si="10"/>
        <v>7.5481751176627299</v>
      </c>
      <c r="M36" s="14"/>
      <c r="N36" s="304">
        <f t="shared" si="5"/>
        <v>97</v>
      </c>
      <c r="O36" s="304">
        <f t="shared" si="6"/>
        <v>11.244999999999999</v>
      </c>
      <c r="P36" s="286">
        <f t="shared" si="11"/>
        <v>8.626056024899956</v>
      </c>
    </row>
    <row r="37" spans="1:17">
      <c r="A37" s="10" t="s">
        <v>42</v>
      </c>
      <c r="B37" s="304">
        <f t="shared" si="0"/>
        <v>143</v>
      </c>
      <c r="C37" s="304">
        <f t="shared" si="7"/>
        <v>31.623000000000001</v>
      </c>
      <c r="D37" s="286">
        <f t="shared" si="8"/>
        <v>4.5220251083072442</v>
      </c>
      <c r="E37" s="14"/>
      <c r="F37" s="304">
        <f t="shared" si="1"/>
        <v>163</v>
      </c>
      <c r="G37" s="304">
        <f t="shared" si="2"/>
        <v>31.817</v>
      </c>
      <c r="H37" s="286">
        <f t="shared" si="9"/>
        <v>5.1230474274758775</v>
      </c>
      <c r="I37" s="14"/>
      <c r="J37" s="304">
        <f t="shared" si="3"/>
        <v>175</v>
      </c>
      <c r="K37" s="304">
        <f t="shared" si="4"/>
        <v>32.052999999999997</v>
      </c>
      <c r="L37" s="286">
        <f t="shared" si="10"/>
        <v>5.4597073596855212</v>
      </c>
      <c r="M37" s="14"/>
      <c r="N37" s="304">
        <f t="shared" si="5"/>
        <v>177</v>
      </c>
      <c r="O37" s="304">
        <f t="shared" si="6"/>
        <v>32.262999999999998</v>
      </c>
      <c r="P37" s="286">
        <f t="shared" si="11"/>
        <v>5.4861606174255346</v>
      </c>
    </row>
    <row r="38" spans="1:17">
      <c r="A38" s="10" t="s">
        <v>235</v>
      </c>
      <c r="B38" s="304">
        <f>SUM(B37+B30)</f>
        <v>250</v>
      </c>
      <c r="C38" s="304">
        <f>SUM(C37+C30)</f>
        <v>65.448999999999998</v>
      </c>
      <c r="D38" s="286">
        <f t="shared" si="8"/>
        <v>3.8197680636831732</v>
      </c>
      <c r="E38" s="10"/>
      <c r="F38" s="304">
        <f>SUM(F37+F30)</f>
        <v>267</v>
      </c>
      <c r="G38" s="304">
        <f>SUM(G37+G30)</f>
        <v>65.813000000000002</v>
      </c>
      <c r="H38" s="286">
        <f t="shared" si="9"/>
        <v>4.0569492349535805</v>
      </c>
      <c r="I38" s="10"/>
      <c r="J38" s="304">
        <f>SUM(J37+J30)</f>
        <v>284</v>
      </c>
      <c r="K38" s="304">
        <f>SUM(K37+K30)</f>
        <v>66.19</v>
      </c>
      <c r="L38" s="286">
        <f t="shared" si="10"/>
        <v>4.290678350203958</v>
      </c>
      <c r="M38" s="10"/>
      <c r="N38" s="304">
        <f>SUM(N37+N30)</f>
        <v>291</v>
      </c>
      <c r="O38" s="304">
        <f>SUM(O37+O30)</f>
        <v>66.402999999999992</v>
      </c>
      <c r="P38" s="286">
        <f t="shared" si="11"/>
        <v>4.3823321235486352</v>
      </c>
      <c r="Q38" s="10"/>
    </row>
    <row r="39" spans="1:17">
      <c r="A39" s="10" t="s">
        <v>43</v>
      </c>
      <c r="B39" s="304">
        <f>VLOOKUP($A39,$A$112:$P$147,4,FALSE)</f>
        <v>138</v>
      </c>
      <c r="C39" s="304">
        <f>SUM(VLOOKUP($A39,$A$64:$P$99,4,FALSE)/10000)</f>
        <v>9.2829999999999995</v>
      </c>
      <c r="D39" s="286">
        <f t="shared" si="8"/>
        <v>14.865883873747713</v>
      </c>
      <c r="E39" s="14"/>
      <c r="F39" s="304">
        <f>VLOOKUP($A39,$A$112:$P$147,8,FALSE)</f>
        <v>147</v>
      </c>
      <c r="G39" s="304">
        <f>SUM(VLOOKUP($A39,$A$64:$P$99,8,FALSE)/10000)</f>
        <v>9.4</v>
      </c>
      <c r="H39" s="286">
        <f t="shared" si="9"/>
        <v>15.638297872340425</v>
      </c>
      <c r="I39" s="14"/>
      <c r="J39" s="304">
        <f>VLOOKUP($A39,$A$112:$P$147,12,FALSE)</f>
        <v>157</v>
      </c>
      <c r="K39" s="304">
        <f>SUM(VLOOKUP($A39,$A$64:$P$99,12,FALSE)/10000)</f>
        <v>9.4209999999999994</v>
      </c>
      <c r="L39" s="286">
        <f t="shared" si="10"/>
        <v>16.664897569260166</v>
      </c>
      <c r="M39" s="14"/>
      <c r="N39" s="304">
        <f>VLOOKUP($A39,$A$112:$P$147,16,FALSE)</f>
        <v>160</v>
      </c>
      <c r="O39" s="304">
        <f>SUM(VLOOKUP($A39,$A$64:$P$99,16,FALSE)/10000)</f>
        <v>9.3469999999999995</v>
      </c>
      <c r="P39" s="286">
        <f t="shared" si="11"/>
        <v>17.117791804857173</v>
      </c>
    </row>
    <row r="40" spans="1:17">
      <c r="A40" s="10" t="s">
        <v>44</v>
      </c>
      <c r="B40" s="304">
        <f>VLOOKUP($A40,$A$112:$P$147,4,FALSE)</f>
        <v>64</v>
      </c>
      <c r="C40" s="304">
        <f>SUM(VLOOKUP($A40,$A$64:$P$99,4,FALSE)/10000)</f>
        <v>8.9589999999999996</v>
      </c>
      <c r="D40" s="286">
        <f t="shared" si="8"/>
        <v>7.1436544257171564</v>
      </c>
      <c r="E40" s="14"/>
      <c r="F40" s="304">
        <f>VLOOKUP($A40,$A$112:$P$147,8,FALSE)</f>
        <v>70</v>
      </c>
      <c r="G40" s="304">
        <f>SUM(VLOOKUP($A40,$A$64:$P$99,8,FALSE)/10000)</f>
        <v>8.9610000000000003</v>
      </c>
      <c r="H40" s="286">
        <f t="shared" si="9"/>
        <v>7.8116281664992746</v>
      </c>
      <c r="I40" s="14"/>
      <c r="J40" s="304">
        <f>VLOOKUP($A40,$A$112:$P$147,12,FALSE)</f>
        <v>75</v>
      </c>
      <c r="K40" s="304">
        <f>SUM(VLOOKUP($A40,$A$64:$P$99,12,FALSE)/10000)</f>
        <v>8.8930000000000007</v>
      </c>
      <c r="L40" s="286">
        <f t="shared" si="10"/>
        <v>8.4335994602496331</v>
      </c>
      <c r="M40" s="14"/>
      <c r="N40" s="304">
        <f>VLOOKUP($A40,$A$112:$P$147,16,FALSE)</f>
        <v>70</v>
      </c>
      <c r="O40" s="304">
        <f>SUM(VLOOKUP($A40,$A$64:$P$99,16,FALSE)/10000)</f>
        <v>8.7789999999999999</v>
      </c>
      <c r="P40" s="286">
        <f t="shared" si="11"/>
        <v>7.9735732999202646</v>
      </c>
    </row>
    <row r="41" spans="1:17">
      <c r="A41" s="10" t="s">
        <v>45</v>
      </c>
      <c r="B41" s="304">
        <f>VLOOKUP($A41,$A$112:$P$147,4,FALSE)</f>
        <v>115</v>
      </c>
      <c r="C41" s="304">
        <f>SUM(VLOOKUP($A41,$A$64:$P$99,4,FALSE)/10000)</f>
        <v>17.855</v>
      </c>
      <c r="D41" s="286">
        <f t="shared" si="8"/>
        <v>6.4407728927471295</v>
      </c>
      <c r="E41" s="14"/>
      <c r="F41" s="304">
        <f>VLOOKUP($A41,$A$112:$P$147,8,FALSE)</f>
        <v>112</v>
      </c>
      <c r="G41" s="304">
        <f>SUM(VLOOKUP($A41,$A$64:$P$99,8,FALSE)/10000)</f>
        <v>18.131</v>
      </c>
      <c r="H41" s="286">
        <f t="shared" si="9"/>
        <v>6.1772654569521812</v>
      </c>
      <c r="I41" s="14"/>
      <c r="J41" s="304">
        <f>VLOOKUP($A41,$A$112:$P$147,12,FALSE)</f>
        <v>120</v>
      </c>
      <c r="K41" s="304">
        <f>SUM(VLOOKUP($A41,$A$64:$P$99,12,FALSE)/10000)</f>
        <v>18.309999999999999</v>
      </c>
      <c r="L41" s="286">
        <f t="shared" si="10"/>
        <v>6.5537957400327693</v>
      </c>
      <c r="M41" s="14"/>
      <c r="N41" s="304">
        <f>VLOOKUP($A41,$A$112:$P$147,16,FALSE)</f>
        <v>116</v>
      </c>
      <c r="O41" s="304">
        <f>SUM(VLOOKUP($A41,$A$64:$P$99,16,FALSE)/10000)</f>
        <v>18.558</v>
      </c>
      <c r="P41" s="286">
        <f t="shared" si="11"/>
        <v>6.2506735639616338</v>
      </c>
    </row>
    <row r="42" spans="1:17">
      <c r="A42" s="10"/>
      <c r="B42" s="10"/>
      <c r="C42" s="10"/>
      <c r="D42" s="14"/>
      <c r="E42" s="14"/>
      <c r="F42" s="10"/>
      <c r="G42" s="10"/>
      <c r="H42" s="14"/>
      <c r="I42" s="14"/>
      <c r="J42" s="10"/>
      <c r="K42" s="10"/>
      <c r="L42" s="14"/>
      <c r="M42" s="14"/>
      <c r="N42" s="10"/>
      <c r="O42" s="10"/>
      <c r="P42" s="14"/>
    </row>
    <row r="43" spans="1:17">
      <c r="A43" s="10" t="s">
        <v>46</v>
      </c>
      <c r="B43" s="304">
        <f>VLOOKUP($A43,$A$112:$P$147,4,FALSE)</f>
        <v>5201</v>
      </c>
      <c r="C43" s="304">
        <f>SUM(VLOOKUP($A43,$A$64:$P$99,4,FALSE)/10000)</f>
        <v>537.29999999999995</v>
      </c>
      <c r="D43" s="286">
        <f t="shared" si="8"/>
        <v>9.6798808859110377</v>
      </c>
      <c r="E43" s="14"/>
      <c r="F43" s="304">
        <f>VLOOKUP($A43,$A$112:$P$147,8,FALSE)</f>
        <v>5600</v>
      </c>
      <c r="G43" s="304">
        <f>SUM(VLOOKUP($A43,$A$64:$P$99,8,FALSE)/10000)</f>
        <v>542.48</v>
      </c>
      <c r="H43" s="286">
        <f t="shared" si="9"/>
        <v>10.322961215160005</v>
      </c>
      <c r="I43" s="14"/>
      <c r="J43" s="304">
        <f>VLOOKUP($A43,$A$112:$P$147,12,FALSE)</f>
        <v>6025</v>
      </c>
      <c r="K43" s="304">
        <f>SUM(VLOOKUP($A43,$A$64:$P$99,12,FALSE)/10000)</f>
        <v>546.33000000000004</v>
      </c>
      <c r="L43" s="286">
        <f t="shared" si="10"/>
        <v>11.028133179580106</v>
      </c>
      <c r="M43" s="14"/>
      <c r="N43" s="304">
        <f>VLOOKUP($A43,$A$112:$P$147,16,FALSE)</f>
        <v>6047</v>
      </c>
      <c r="O43" s="304">
        <f>SUM(VLOOKUP($A43,$A$64:$P$99,16,FALSE)/10000)</f>
        <v>547.99</v>
      </c>
      <c r="P43" s="286">
        <f t="shared" ref="P43:P51" si="12">SUM(N43/O43)</f>
        <v>11.034872899140495</v>
      </c>
    </row>
    <row r="44" spans="1:17">
      <c r="A44" s="10" t="s">
        <v>156</v>
      </c>
      <c r="B44" s="287" cm="1">
        <f t="array" ref="B44">SUM(SUMIFS(B$9:B$41,$A$9:$A$41,{"Aberdeen City","Aberdeenshire"}))</f>
        <v>372</v>
      </c>
      <c r="C44" s="287" cm="1">
        <f t="array" ref="C44">SUM(SUMIFS(C$9:C$41,$A$9:$A$41,{"Aberdeen City","Aberdeenshire"}))</f>
        <v>49.231000000000002</v>
      </c>
      <c r="D44" s="286">
        <f>SUM(B44/C44)</f>
        <v>7.5562145802441547</v>
      </c>
      <c r="E44" s="14"/>
      <c r="F44" s="287" cm="1">
        <f t="array" ref="F44">SUM(SUMIFS(F$9:F$41,$A$9:$A$41,{"Aberdeen City","Aberdeenshire"}))</f>
        <v>430</v>
      </c>
      <c r="G44" s="287" cm="1">
        <f t="array" ref="G44">SUM(SUMIFS(G$9:G$41,$A$9:$A$41,{"Aberdeen City","Aberdeenshire"}))</f>
        <v>49.06</v>
      </c>
      <c r="H44" s="286">
        <f>SUM(F44/G44)</f>
        <v>8.7647778230737874</v>
      </c>
      <c r="I44" s="14"/>
      <c r="J44" s="287" cm="1">
        <f t="array" ref="J44">SUM(SUMIFS(J$9:J$41,$A$9:$A$41,{"Aberdeen City","Aberdeenshire"}))</f>
        <v>443</v>
      </c>
      <c r="K44" s="287" cm="1">
        <f t="array" ref="K44">SUM(SUMIFS(K$9:K$41,$A$9:$A$41,{"Aberdeen City","Aberdeenshire"}))</f>
        <v>48.988</v>
      </c>
      <c r="L44" s="286">
        <f t="shared" si="10"/>
        <v>9.0430309463542091</v>
      </c>
      <c r="M44" s="14"/>
      <c r="N44" s="287" cm="1">
        <f t="array" ref="N44">SUM(SUMIFS(N$9:N$41,$A$9:$A$41,{"Aberdeen City","Aberdeenshire"}))</f>
        <v>435</v>
      </c>
      <c r="O44" s="287" cm="1">
        <f t="array" ref="O44">SUM(SUMIFS(O$9:O$41,$A$9:$A$41,{"Aberdeen City","Aberdeenshire"}))</f>
        <v>49.012</v>
      </c>
      <c r="P44" s="286">
        <f t="shared" si="12"/>
        <v>8.8753774585815712</v>
      </c>
    </row>
    <row r="45" spans="1:17">
      <c r="A45" s="10" t="s">
        <v>359</v>
      </c>
      <c r="B45" s="285" cm="1">
        <f t="array" ref="B45">SUM(SUMIFS(B$9:B$41,$A$9:$A$41,{"Falkirk","Stirling","Clackmannanshire"}))</f>
        <v>249</v>
      </c>
      <c r="C45" s="285" cm="1">
        <f t="array" ref="C45">SUM(SUMIFS(C$9:C$41,$A$9:$A$41,{"Falkirk","Stirling","Clackmannanshire"}))</f>
        <v>30.264999999999997</v>
      </c>
      <c r="D45" s="286">
        <f>SUM(B45/C45)</f>
        <v>8.2273252932430214</v>
      </c>
      <c r="E45" s="7"/>
      <c r="F45" s="285" cm="1">
        <f t="array" ref="F45">SUM(SUMIFS(F$9:F$41,$A$9:$A$41,{"Falkirk","Stirling","Clackmannanshire"}))</f>
        <v>263</v>
      </c>
      <c r="G45" s="285" cm="1">
        <f t="array" ref="G45">SUM(SUMIFS(G$9:G$41,$A$9:$A$41,{"Falkirk","Stirling","Clackmannanshire"}))</f>
        <v>30.558000000000003</v>
      </c>
      <c r="H45" s="286">
        <f>SUM(F45/G45)</f>
        <v>8.6065842005366839</v>
      </c>
      <c r="I45" s="7"/>
      <c r="J45" s="285" cm="1">
        <f t="array" ref="J45">SUM(SUMIFS(J$9:J$41,$A$9:$A$41,{"Falkirk","Stirling","Clackmannanshire"}))</f>
        <v>286</v>
      </c>
      <c r="K45" s="285" cm="1">
        <f t="array" ref="K45">SUM(SUMIFS(K$9:K$41,$A$9:$A$41,{"Falkirk","Stirling","Clackmannanshire"}))</f>
        <v>30.663999999999998</v>
      </c>
      <c r="L45" s="286">
        <f t="shared" si="10"/>
        <v>9.3268979911296643</v>
      </c>
      <c r="M45" s="7"/>
      <c r="N45" s="285" cm="1">
        <f t="array" ref="N45">SUM(SUMIFS(N$9:N$41,$A$9:$A$41,{"Falkirk","Stirling","Clackmannanshire"}))</f>
        <v>289</v>
      </c>
      <c r="O45" s="285" cm="1">
        <f t="array" ref="O45">SUM(SUMIFS(O$9:O$41,$A$9:$A$41,{"Falkirk","Stirling","Clackmannanshire"}))</f>
        <v>30.571000000000002</v>
      </c>
      <c r="P45" s="286">
        <f t="shared" si="12"/>
        <v>9.4534035523862485</v>
      </c>
      <c r="Q45" s="7"/>
    </row>
    <row r="46" spans="1:17">
      <c r="A46" s="10" t="s">
        <v>157</v>
      </c>
      <c r="B46" s="285" cm="1">
        <f t="array" ref="B46">SUM(SUMIFS(B$9:B$41,$A$9:$A$41,{"East Lothian","Edinburgh, City of","Fife","Midlothian","Scottish Borders","West Lothian"}))</f>
        <v>1341</v>
      </c>
      <c r="C46" s="285" cm="1">
        <f t="array" ref="C46">SUM(SUMIFS(C$9:C$41,$A$9:$A$41,{"East Lothian","Edinburgh, City of","Fife","Midlothian","Scottish Borders","West Lothian"}))</f>
        <v>134.99100000000001</v>
      </c>
      <c r="D46" s="286">
        <f>SUM(B46/C46)</f>
        <v>9.9339955997066465</v>
      </c>
      <c r="E46" s="14"/>
      <c r="F46" s="285" cm="1">
        <f t="array" ref="F46">SUM(SUMIFS(F$9:F$41,$A$9:$A$41,{"East Lothian","Edinburgh, City of","Fife","Midlothian","Scottish Borders","West Lothian"}))</f>
        <v>1486</v>
      </c>
      <c r="G46" s="285" cm="1">
        <f t="array" ref="G46">SUM(SUMIFS(G$9:G$41,$A$9:$A$41,{"East Lothian","Edinburgh, City of","Fife","Midlothian","Scottish Borders","West Lothian"}))</f>
        <v>137.58799999999999</v>
      </c>
      <c r="H46" s="286">
        <f>SUM(F46/G46)</f>
        <v>10.800360496554932</v>
      </c>
      <c r="I46" s="14"/>
      <c r="J46" s="285" cm="1">
        <f t="array" ref="J46">SUM(SUMIFS(J$9:J$41,$A$9:$A$41,{"East Lothian","Edinburgh, City of","Fife","Midlothian","Scottish Borders","West Lothian"}))</f>
        <v>1609</v>
      </c>
      <c r="K46" s="285" cm="1">
        <f t="array" ref="K46">SUM(SUMIFS(K$9:K$41,$A$9:$A$41,{"East Lothian","Edinburgh, City of","Fife","Midlothian","Scottish Borders","West Lothian"}))</f>
        <v>139.66399999999999</v>
      </c>
      <c r="L46" s="286">
        <f t="shared" si="10"/>
        <v>11.520506358116624</v>
      </c>
      <c r="M46" s="14"/>
      <c r="N46" s="285" cm="1">
        <f t="array" ref="N46">SUM(SUMIFS(N$9:N$41,$A$9:$A$41,{"East Lothian","Edinburgh, City of","Fife","Midlothian","Scottish Borders","West Lothian"}))</f>
        <v>1611</v>
      </c>
      <c r="O46" s="285" cm="1">
        <f t="array" ref="O46">SUM(SUMIFS(O$9:O$41,$A$9:$A$41,{"East Lothian","Edinburgh, City of","Fife","Midlothian","Scottish Borders","West Lothian"}))</f>
        <v>140.70600000000002</v>
      </c>
      <c r="P46" s="286">
        <f t="shared" si="12"/>
        <v>11.44940514263784</v>
      </c>
    </row>
    <row r="47" spans="1:17">
      <c r="A47" s="10" t="s">
        <v>158</v>
      </c>
      <c r="B47" s="285" cm="1">
        <f t="array" ref="B47">SUM(SUMIFS(B$9:B$41,$A$9:$A$41,{"Angus","Dundee City","Fife","Perth and Kinross"}))</f>
        <v>571</v>
      </c>
      <c r="C47" s="285" cm="1">
        <f t="array" ref="C47">SUM(SUMIFS(C$9:C$41,$A$9:$A$41,{"Angus","Dundee City","Fife","Perth and Kinross"}))</f>
        <v>78.311999999999998</v>
      </c>
      <c r="D47" s="286">
        <f>SUM(B47/C47)</f>
        <v>7.2913474307896617</v>
      </c>
      <c r="E47" s="14"/>
      <c r="F47" s="285" cm="1">
        <f t="array" ref="F47">SUM(SUMIFS(F$9:F$41,$A$9:$A$41,{"Angus","Dundee City","Fife","Perth and Kinross"}))</f>
        <v>677</v>
      </c>
      <c r="G47" s="285" cm="1">
        <f t="array" ref="G47">SUM(SUMIFS(G$9:G$41,$A$9:$A$41,{"Angus","Dundee City","Fife","Perth and Kinross"}))</f>
        <v>78.75</v>
      </c>
      <c r="H47" s="286">
        <f>SUM(F47/G47)</f>
        <v>8.5968253968253965</v>
      </c>
      <c r="I47" s="14"/>
      <c r="J47" s="285" cm="1">
        <f t="array" ref="J47">SUM(SUMIFS(J$9:J$41,$A$9:$A$41,{"Angus","Dundee City","Fife","Perth and Kinross"}))</f>
        <v>701</v>
      </c>
      <c r="K47" s="285" cm="1">
        <f t="array" ref="K47">SUM(SUMIFS(K$9:K$41,$A$9:$A$41,{"Angus","Dundee City","Fife","Perth and Kinross"}))</f>
        <v>79.102000000000004</v>
      </c>
      <c r="L47" s="286">
        <f t="shared" si="10"/>
        <v>8.8619756769740334</v>
      </c>
      <c r="M47" s="14"/>
      <c r="N47" s="285" cm="1">
        <f t="array" ref="N47">SUM(SUMIFS(N$9:N$41,$A$9:$A$41,{"Angus","Dundee City","Fife","Perth and Kinross"}))</f>
        <v>717</v>
      </c>
      <c r="O47" s="285" cm="1">
        <f t="array" ref="O47">SUM(SUMIFS(O$9:O$41,$A$9:$A$41,{"Angus","Dundee City","Fife","Perth and Kinross"}))</f>
        <v>79.238</v>
      </c>
      <c r="P47" s="286">
        <f t="shared" si="12"/>
        <v>9.0486887604432216</v>
      </c>
    </row>
    <row r="48" spans="1:17">
      <c r="A48" s="10" t="s">
        <v>246</v>
      </c>
      <c r="B48" s="285">
        <f>SUM(SUMIFS(B$9:B$41,$A$9:$A$41,{"Na h-Eileanan Siar","Argyll and Bute","Shetland Islands","Highland","Orkney Islands","Scottish Borders","Dumfries and Galloway","Aberdeenshire"}))</f>
        <v>1663</v>
      </c>
      <c r="C48" s="285">
        <f>SUM(SUMIFS(C$9:C$41,$A$9:$A$41,{"Na h-Eileanan Siar","Argyll and Bute","Shetland Islands","Highland","Orkney Islands","Scottish Borders","Dumfries and Galloway","Aberdeenshire"}))</f>
        <v>91.86</v>
      </c>
      <c r="D48" s="286">
        <f t="shared" si="8"/>
        <v>18.103635967777052</v>
      </c>
      <c r="E48" s="14"/>
      <c r="F48" s="285">
        <f>SUM(SUMIFS(F$9:F$41,$A$9:$A$41,{"Na h-Eileanan Siar","Argyll and Bute","Shetland Islands","Highland","Orkney Islands","Scottish Borders","Dumfries and Galloway","Aberdeenshire"}))</f>
        <v>1791</v>
      </c>
      <c r="G48" s="285">
        <f>SUM(SUMIFS(G$9:G$41,$A$9:$A$41,{"Na h-Eileanan Siar","Argyll and Bute","Shetland Islands","Highland","Orkney Islands","Scottish Borders","Dumfries and Galloway","Aberdeenshire"}))</f>
        <v>92.003999999999991</v>
      </c>
      <c r="H48" s="286">
        <f t="shared" si="9"/>
        <v>19.466544932829009</v>
      </c>
      <c r="I48" s="14"/>
      <c r="J48" s="285">
        <f>SUM(SUMIFS(J$9:J$41,$A$9:$A$41,{"Na h-Eileanan Siar","Argyll and Bute","Shetland Islands","Highland","Orkney Islands","Scottish Borders","Dumfries and Galloway","Aberdeenshire"}))</f>
        <v>1890</v>
      </c>
      <c r="K48" s="285">
        <f>SUM(SUMIFS(K$9:K$41,$A$9:$A$41,{"Na h-Eileanan Siar","Argyll and Bute","Shetland Islands","Highland","Orkney Islands","Scottish Borders","Dumfries and Galloway","Aberdeenshire"}))</f>
        <v>91.918999999999997</v>
      </c>
      <c r="L48" s="286">
        <f t="shared" si="10"/>
        <v>20.561581392312799</v>
      </c>
      <c r="M48" s="14"/>
      <c r="N48" s="285">
        <f>SUM(SUMIFS(N$9:N$41,$A$9:$A$41,{"Na h-Eileanan Siar","Argyll and Bute","Shetland Islands","Highland","Orkney Islands","Scottish Borders","Dumfries and Galloway","Aberdeenshire"}))</f>
        <v>1888</v>
      </c>
      <c r="O48" s="285">
        <f>SUM(SUMIFS(O$9:O$41,$A$9:$A$41,{"Na h-Eileanan Siar","Argyll and Bute","Shetland Islands","Highland","Orkney Islands","Scottish Borders","Dumfries and Galloway","Aberdeenshire"}))</f>
        <v>92.390000000000015</v>
      </c>
      <c r="P48" s="286">
        <f t="shared" si="12"/>
        <v>20.435112025110939</v>
      </c>
    </row>
    <row r="49" spans="1:16">
      <c r="A49" s="10" t="s">
        <v>247</v>
      </c>
      <c r="B49" s="285">
        <f>SUM(SUMIFS(B$9:B$41,$A$9:$A$41,{"Perth and Kinross","Stirling","Moray","South Ayrshire","East Ayrshire","East Lothian","North Ayrshire","Fife"}))</f>
        <v>961</v>
      </c>
      <c r="C49" s="285">
        <f>SUM(SUMIFS(C$9:C$41,$A$9:$A$41,{"Perth and Kinross","Stirling","Moray","South Ayrshire","East Ayrshire","East Lothian","North Ayrshire","Fife"}))</f>
        <v>117.999</v>
      </c>
      <c r="D49" s="286">
        <f t="shared" si="8"/>
        <v>8.1441368147187685</v>
      </c>
      <c r="E49" s="14"/>
      <c r="F49" s="285">
        <f>SUM(SUMIFS(F$9:F$41,$A$9:$A$41,{"Perth and Kinross","Stirling","Moray","South Ayrshire","East Ayrshire","East Lothian","North Ayrshire","Fife"}))</f>
        <v>1111</v>
      </c>
      <c r="G49" s="285">
        <f>SUM(SUMIFS(G$9:G$41,$A$9:$A$41,{"Perth and Kinross","Stirling","Moray","South Ayrshire","East Ayrshire","East Lothian","North Ayrshire","Fife"}))</f>
        <v>118.75399999999999</v>
      </c>
      <c r="H49" s="286">
        <f t="shared" si="9"/>
        <v>9.3554743419169046</v>
      </c>
      <c r="I49" s="14"/>
      <c r="J49" s="285">
        <f>SUM(SUMIFS(J$9:J$41,$A$9:$A$41,{"Perth and Kinross","Stirling","Moray","South Ayrshire","East Ayrshire","East Lothian","North Ayrshire","Fife"}))</f>
        <v>1184</v>
      </c>
      <c r="K49" s="285">
        <f>SUM(SUMIFS(K$9:K$41,$A$9:$A$41,{"Perth and Kinross","Stirling","Moray","South Ayrshire","East Ayrshire","East Lothian","North Ayrshire","Fife"}))</f>
        <v>119.19800000000001</v>
      </c>
      <c r="L49" s="286">
        <f t="shared" si="10"/>
        <v>9.933052567996107</v>
      </c>
      <c r="M49" s="14"/>
      <c r="N49" s="285">
        <f>SUM(SUMIFS(N$9:N$41,$A$9:$A$41,{"Perth and Kinross","Stirling","Moray","South Ayrshire","East Ayrshire","East Lothian","North Ayrshire","Fife"}))</f>
        <v>1213</v>
      </c>
      <c r="O49" s="285">
        <f>SUM(SUMIFS(O$9:O$41,$A$9:$A$41,{"Perth and Kinross","Stirling","Moray","South Ayrshire","East Ayrshire","East Lothian","North Ayrshire","Fife"}))</f>
        <v>119.669</v>
      </c>
      <c r="P49" s="286">
        <f t="shared" si="12"/>
        <v>10.13629260710794</v>
      </c>
    </row>
    <row r="50" spans="1:16">
      <c r="A50" s="10" t="s">
        <v>248</v>
      </c>
      <c r="B50" s="285">
        <f>SUM(SUMIFS(B$9:B$41,$A$9:$A$41,{"Angus","Clackmannanshire","Midlothian","South Lanarkshire","Inverclyde","Renfrewshire","West Lothian","East Renfrewshire"}))</f>
        <v>619</v>
      </c>
      <c r="C50" s="285">
        <f>SUM(SUMIFS(C$9:C$41,$A$9:$A$41,{"Angus","Clackmannanshire","Midlothian","South Lanarkshire","Inverclyde","Renfrewshire","West Lothian","East Renfrewshire"}))</f>
        <v>109.74300000000001</v>
      </c>
      <c r="D50" s="286">
        <f>SUM(B50/C50)</f>
        <v>5.6404508715817858</v>
      </c>
      <c r="E50" s="14"/>
      <c r="F50" s="285">
        <f>SUM(SUMIFS(F$9:F$41,$A$9:$A$41,{"Angus","Clackmannanshire","Midlothian","South Lanarkshire","Inverclyde","Renfrewshire","West Lothian","East Renfrewshire"}))</f>
        <v>663</v>
      </c>
      <c r="G50" s="285">
        <f>SUM(SUMIFS(G$9:G$41,$A$9:$A$41,{"Angus","Clackmannanshire","Midlothian","South Lanarkshire","Inverclyde","Renfrewshire","West Lothian","East Renfrewshire"}))</f>
        <v>110.76500000000001</v>
      </c>
      <c r="H50" s="286">
        <f t="shared" si="9"/>
        <v>5.9856452850629704</v>
      </c>
      <c r="I50" s="14"/>
      <c r="J50" s="285">
        <f>SUM(SUMIFS(J$9:J$41,$A$9:$A$41,{"Angus","Clackmannanshire","Midlothian","South Lanarkshire","Inverclyde","Renfrewshire","West Lothian","East Renfrewshire"}))</f>
        <v>739</v>
      </c>
      <c r="K50" s="285">
        <f>SUM(SUMIFS(K$9:K$41,$A$9:$A$41,{"Angus","Clackmannanshire","Midlothian","South Lanarkshire","Inverclyde","Renfrewshire","West Lothian","East Renfrewshire"}))</f>
        <v>111.62599999999999</v>
      </c>
      <c r="L50" s="286">
        <f t="shared" si="10"/>
        <v>6.6203214304911047</v>
      </c>
      <c r="M50" s="14"/>
      <c r="N50" s="285">
        <f>SUM(SUMIFS(N$9:N$41,$A$9:$A$41,{"Angus","Clackmannanshire","Midlothian","South Lanarkshire","Inverclyde","Renfrewshire","West Lothian","East Renfrewshire"}))</f>
        <v>732</v>
      </c>
      <c r="O50" s="285">
        <f>SUM(SUMIFS(O$9:O$41,$A$9:$A$41,{"Angus","Clackmannanshire","Midlothian","South Lanarkshire","Inverclyde","Renfrewshire","West Lothian","East Renfrewshire"}))</f>
        <v>112.377</v>
      </c>
      <c r="P50" s="286">
        <f t="shared" si="12"/>
        <v>6.513788408660135</v>
      </c>
    </row>
    <row r="51" spans="1:16">
      <c r="A51" s="10" t="s">
        <v>249</v>
      </c>
      <c r="B51" s="285">
        <f>SUM(SUMIFS(B$9:B$41,$A$9:$A$41,{"North Lanarkshire","Falkirk","East Dunbartonshire","Aberdeen City","Edinburgh, City of","West Dunbartonshire","Dundee City","Glasgow City"}))</f>
        <v>1934</v>
      </c>
      <c r="C51" s="285">
        <f>SUM(SUMIFS(C$9:C$41,$A$9:$A$41,{"North Lanarkshire","Falkirk","East Dunbartonshire","Aberdeen City","Edinburgh, City of","West Dunbartonshire","Dundee City","Glasgow City"}))</f>
        <v>217.69799999999998</v>
      </c>
      <c r="D51" s="286">
        <f t="shared" si="8"/>
        <v>8.8838666409429585</v>
      </c>
      <c r="E51" s="14"/>
      <c r="F51" s="285">
        <f>SUM(SUMIFS(F$9:F$41,$A$9:$A$41,{"North Lanarkshire","Falkirk","East Dunbartonshire","Aberdeen City","Edinburgh, City of","West Dunbartonshire","Dundee City","Glasgow City"}))</f>
        <v>2035</v>
      </c>
      <c r="G51" s="285">
        <f>SUM(SUMIFS(G$9:G$41,$A$9:$A$41,{"North Lanarkshire","Falkirk","East Dunbartonshire","Aberdeen City","Edinburgh, City of","West Dunbartonshire","Dundee City","Glasgow City"}))</f>
        <v>220.95700000000002</v>
      </c>
      <c r="H51" s="286">
        <f t="shared" si="9"/>
        <v>9.2099367750286252</v>
      </c>
      <c r="I51" s="14"/>
      <c r="J51" s="285">
        <f>SUM(SUMIFS(J$9:J$41,$A$9:$A$41,{"North Lanarkshire","Falkirk","East Dunbartonshire","Aberdeen City","Edinburgh, City of","West Dunbartonshire","Dundee City","Glasgow City"}))</f>
        <v>2212</v>
      </c>
      <c r="K51" s="285">
        <f>SUM(SUMIFS(K$9:K$41,$A$9:$A$41,{"North Lanarkshire","Falkirk","East Dunbartonshire","Aberdeen City","Edinburgh, City of","West Dunbartonshire","Dundee City","Glasgow City"}))</f>
        <v>223.58699999999999</v>
      </c>
      <c r="L51" s="286">
        <f t="shared" si="10"/>
        <v>9.8932406624714329</v>
      </c>
      <c r="M51" s="14"/>
      <c r="N51" s="285">
        <f>SUM(SUMIFS(N$9:N$41,$A$9:$A$41,{"North Lanarkshire","Falkirk","East Dunbartonshire","Aberdeen City","Edinburgh, City of","West Dunbartonshire","Dundee City","Glasgow City"}))</f>
        <v>2214</v>
      </c>
      <c r="O51" s="285">
        <f>SUM(SUMIFS(O$9:O$41,$A$9:$A$41,{"North Lanarkshire","Falkirk","East Dunbartonshire","Aberdeen City","Edinburgh, City of","West Dunbartonshire","Dundee City","Glasgow City"}))</f>
        <v>223.554</v>
      </c>
      <c r="P51" s="286">
        <f t="shared" si="12"/>
        <v>9.9036474408867647</v>
      </c>
    </row>
    <row r="52" spans="1:16">
      <c r="A52" s="10" t="s">
        <v>47</v>
      </c>
      <c r="B52" s="10"/>
      <c r="C52" s="10"/>
      <c r="D52" s="14"/>
      <c r="E52" s="14"/>
      <c r="F52" s="10"/>
      <c r="G52" s="10"/>
      <c r="H52" s="14"/>
      <c r="I52" s="14"/>
      <c r="J52" s="10"/>
      <c r="K52" s="10"/>
      <c r="L52" s="14"/>
      <c r="M52" s="14"/>
      <c r="N52" s="10"/>
      <c r="O52" s="10"/>
      <c r="P52" s="14"/>
    </row>
    <row r="53" spans="1:16">
      <c r="A53" s="10" t="s">
        <v>48</v>
      </c>
      <c r="B53" s="304">
        <f>VLOOKUP($A53,$A$112:$P$147,4,FALSE)</f>
        <v>1248</v>
      </c>
      <c r="C53" s="304">
        <f>SUM(VLOOKUP($A53,$A$64:$P$99,4,FALSE)/10000)</f>
        <v>180.43799999999999</v>
      </c>
      <c r="D53" s="286">
        <f t="shared" si="8"/>
        <v>6.9165031756060262</v>
      </c>
      <c r="E53" s="14"/>
      <c r="F53" s="304">
        <f>VLOOKUP($A53,$A$112:$P$147,8,FALSE)</f>
        <v>1305</v>
      </c>
      <c r="G53" s="304">
        <f>SUM(VLOOKUP($A53,$A$64:$P$99,8,FALSE)/10000)</f>
        <v>182.72399999999999</v>
      </c>
      <c r="H53" s="286">
        <f t="shared" si="9"/>
        <v>7.1419189597425632</v>
      </c>
      <c r="I53" s="14"/>
      <c r="J53" s="304">
        <f>VLOOKUP($A53,$A$112:$P$147,12,FALSE)</f>
        <v>1444</v>
      </c>
      <c r="K53" s="304">
        <f>SUM(VLOOKUP($A53,$A$64:$P$99,12,FALSE)/10000)</f>
        <v>184.50200000000001</v>
      </c>
      <c r="L53" s="286">
        <f t="shared" si="10"/>
        <v>7.8264734257623223</v>
      </c>
      <c r="M53" s="14"/>
      <c r="N53" s="304">
        <f>VLOOKUP($A53,$A$112:$P$147,16,FALSE)</f>
        <v>1448</v>
      </c>
      <c r="O53" s="304">
        <f>SUM(VLOOKUP($A53,$A$64:$P$99,16,FALSE)/10000)</f>
        <v>184.90700000000001</v>
      </c>
      <c r="P53" s="286">
        <f t="shared" ref="P53" si="13">SUM(N53/O53)</f>
        <v>7.830963673630527</v>
      </c>
    </row>
    <row r="57" spans="1:16" ht="15.75">
      <c r="A57" s="1" t="s">
        <v>149</v>
      </c>
      <c r="B57" s="1"/>
      <c r="C57" s="1"/>
    </row>
    <row r="58" spans="1:16">
      <c r="A58" s="2" t="s">
        <v>140</v>
      </c>
      <c r="B58" s="2"/>
      <c r="C58" s="2"/>
    </row>
    <row r="60" spans="1:16">
      <c r="A60" s="10" t="s">
        <v>98</v>
      </c>
      <c r="B60" s="10"/>
      <c r="C60" s="10"/>
      <c r="D60" s="10" t="s">
        <v>82</v>
      </c>
      <c r="E60" s="10"/>
      <c r="F60" s="10"/>
      <c r="G60" s="10"/>
    </row>
    <row r="61" spans="1:16">
      <c r="A61" s="10" t="s">
        <v>97</v>
      </c>
      <c r="B61" s="10"/>
      <c r="C61" s="10"/>
      <c r="D61" s="10" t="s">
        <v>82</v>
      </c>
      <c r="E61" s="10"/>
      <c r="F61" s="10"/>
      <c r="G61" s="10"/>
    </row>
    <row r="63" spans="1:16" ht="21.95" customHeight="1">
      <c r="A63" s="17" t="s">
        <v>7</v>
      </c>
      <c r="B63" s="17"/>
      <c r="C63" s="17"/>
      <c r="D63" s="46">
        <v>2015</v>
      </c>
      <c r="E63" s="46"/>
      <c r="F63" s="46"/>
      <c r="G63" s="46"/>
      <c r="H63" s="46">
        <v>2017</v>
      </c>
      <c r="I63" s="46"/>
      <c r="J63" s="46"/>
      <c r="K63" s="46"/>
      <c r="L63" s="46">
        <v>2019</v>
      </c>
      <c r="M63" s="46"/>
      <c r="N63" s="46"/>
      <c r="O63" s="46"/>
      <c r="P63" s="46">
        <v>2021</v>
      </c>
    </row>
    <row r="64" spans="1:16">
      <c r="A64" s="10" t="s">
        <v>15</v>
      </c>
      <c r="B64" s="10"/>
      <c r="C64" s="10"/>
      <c r="D64" s="15">
        <v>230350</v>
      </c>
      <c r="G64" s="15"/>
      <c r="H64" s="15">
        <v>228800</v>
      </c>
      <c r="J64" s="15"/>
      <c r="K64" s="15"/>
      <c r="L64" s="15">
        <v>228670</v>
      </c>
      <c r="M64" s="15"/>
      <c r="N64" s="15"/>
      <c r="O64" s="15"/>
      <c r="P64" s="15">
        <v>227430</v>
      </c>
    </row>
    <row r="65" spans="1:16">
      <c r="A65" s="10" t="s">
        <v>16</v>
      </c>
      <c r="B65" s="10"/>
      <c r="C65" s="10"/>
      <c r="D65" s="15">
        <v>261960</v>
      </c>
      <c r="G65" s="15"/>
      <c r="H65" s="15">
        <v>261800</v>
      </c>
      <c r="J65" s="15"/>
      <c r="K65" s="15"/>
      <c r="L65" s="15">
        <v>261210</v>
      </c>
      <c r="M65" s="15"/>
      <c r="N65" s="15"/>
      <c r="O65" s="15"/>
      <c r="P65" s="15">
        <v>262690</v>
      </c>
    </row>
    <row r="66" spans="1:16">
      <c r="A66" s="10" t="s">
        <v>17</v>
      </c>
      <c r="B66" s="10"/>
      <c r="C66" s="10"/>
      <c r="D66" s="15">
        <v>116900</v>
      </c>
      <c r="G66" s="15"/>
      <c r="H66" s="15">
        <v>116280</v>
      </c>
      <c r="J66" s="15"/>
      <c r="K66" s="15"/>
      <c r="L66" s="15">
        <v>116200</v>
      </c>
      <c r="M66" s="15"/>
      <c r="N66" s="15"/>
      <c r="O66" s="15"/>
      <c r="P66" s="15">
        <v>116120</v>
      </c>
    </row>
    <row r="67" spans="1:16">
      <c r="A67" s="10" t="s">
        <v>18</v>
      </c>
      <c r="B67" s="10"/>
      <c r="C67" s="10"/>
      <c r="D67" s="15">
        <v>86890</v>
      </c>
      <c r="G67" s="15"/>
      <c r="H67" s="15">
        <v>86810</v>
      </c>
      <c r="J67" s="15"/>
      <c r="K67" s="15"/>
      <c r="L67" s="15">
        <v>85870</v>
      </c>
      <c r="M67" s="15"/>
      <c r="N67" s="15"/>
      <c r="O67" s="15"/>
      <c r="P67" s="15">
        <v>86220</v>
      </c>
    </row>
    <row r="68" spans="1:16">
      <c r="A68" s="10" t="s">
        <v>126</v>
      </c>
      <c r="B68" s="10"/>
      <c r="C68" s="10"/>
      <c r="D68" s="15">
        <v>498810</v>
      </c>
      <c r="G68" s="15"/>
      <c r="H68" s="15">
        <v>513210</v>
      </c>
      <c r="J68" s="15"/>
      <c r="K68" s="15"/>
      <c r="L68" s="15">
        <v>524930</v>
      </c>
      <c r="M68" s="15"/>
      <c r="N68" s="15"/>
      <c r="O68" s="15"/>
      <c r="P68" s="15">
        <v>526470</v>
      </c>
    </row>
    <row r="69" spans="1:16">
      <c r="A69" s="10" t="s">
        <v>19</v>
      </c>
      <c r="B69" s="10"/>
      <c r="C69" s="10"/>
      <c r="D69" s="15">
        <v>51360</v>
      </c>
      <c r="G69" s="15"/>
      <c r="H69" s="15">
        <v>51450</v>
      </c>
      <c r="J69" s="15"/>
      <c r="K69" s="15"/>
      <c r="L69" s="15">
        <v>51540</v>
      </c>
      <c r="M69" s="15"/>
      <c r="N69" s="15"/>
      <c r="O69" s="15"/>
      <c r="P69" s="15">
        <v>51540</v>
      </c>
    </row>
    <row r="70" spans="1:16">
      <c r="A70" s="10" t="s">
        <v>20</v>
      </c>
      <c r="B70" s="10"/>
      <c r="C70" s="10"/>
      <c r="D70" s="15">
        <v>149670</v>
      </c>
      <c r="G70" s="15"/>
      <c r="H70" s="15">
        <v>149200</v>
      </c>
      <c r="J70" s="15"/>
      <c r="K70" s="15"/>
      <c r="L70" s="15">
        <v>148860</v>
      </c>
      <c r="M70" s="15"/>
      <c r="N70" s="15"/>
      <c r="O70" s="15"/>
      <c r="P70" s="15">
        <v>148790</v>
      </c>
    </row>
    <row r="71" spans="1:16">
      <c r="A71" s="10" t="s">
        <v>21</v>
      </c>
      <c r="B71" s="10"/>
      <c r="C71" s="10"/>
      <c r="D71" s="15">
        <v>148210</v>
      </c>
      <c r="G71" s="15"/>
      <c r="H71" s="15">
        <v>148710</v>
      </c>
      <c r="J71" s="15"/>
      <c r="K71" s="15"/>
      <c r="L71" s="15">
        <v>149320</v>
      </c>
      <c r="M71" s="15"/>
      <c r="N71" s="15"/>
      <c r="O71" s="15"/>
      <c r="P71" s="15">
        <v>147720</v>
      </c>
    </row>
    <row r="72" spans="1:16">
      <c r="A72" s="10" t="s">
        <v>22</v>
      </c>
      <c r="B72" s="10"/>
      <c r="C72" s="10"/>
      <c r="D72" s="15">
        <v>122060</v>
      </c>
      <c r="G72" s="15"/>
      <c r="H72" s="15">
        <v>121940</v>
      </c>
      <c r="J72" s="15"/>
      <c r="K72" s="15"/>
      <c r="L72" s="15">
        <v>122010</v>
      </c>
      <c r="M72" s="15"/>
      <c r="N72" s="15"/>
      <c r="O72" s="15"/>
      <c r="P72" s="15">
        <v>122020</v>
      </c>
    </row>
    <row r="73" spans="1:16">
      <c r="A73" s="10" t="s">
        <v>23</v>
      </c>
      <c r="B73" s="10"/>
      <c r="C73" s="10"/>
      <c r="D73" s="15">
        <v>106960</v>
      </c>
      <c r="G73" s="15"/>
      <c r="H73" s="15">
        <v>108130</v>
      </c>
      <c r="J73" s="15"/>
      <c r="K73" s="15"/>
      <c r="L73" s="15">
        <v>108640</v>
      </c>
      <c r="M73" s="15"/>
      <c r="N73" s="15"/>
      <c r="O73" s="15"/>
      <c r="P73" s="15">
        <v>108900</v>
      </c>
    </row>
    <row r="74" spans="1:16">
      <c r="A74" s="10" t="s">
        <v>24</v>
      </c>
      <c r="B74" s="10"/>
      <c r="C74" s="10"/>
      <c r="D74" s="15">
        <v>103050</v>
      </c>
      <c r="G74" s="15"/>
      <c r="H74" s="15">
        <v>104840</v>
      </c>
      <c r="J74" s="15"/>
      <c r="K74" s="15"/>
      <c r="L74" s="15">
        <v>107090</v>
      </c>
      <c r="M74" s="15"/>
      <c r="N74" s="15"/>
      <c r="O74" s="15"/>
      <c r="P74" s="15">
        <v>109580</v>
      </c>
    </row>
    <row r="75" spans="1:16">
      <c r="A75" s="10" t="s">
        <v>25</v>
      </c>
      <c r="B75" s="10"/>
      <c r="C75" s="10"/>
      <c r="D75" s="15">
        <v>92940</v>
      </c>
      <c r="G75" s="15"/>
      <c r="H75" s="15">
        <v>94760</v>
      </c>
      <c r="J75" s="15"/>
      <c r="K75" s="15"/>
      <c r="L75" s="15">
        <v>95530</v>
      </c>
      <c r="M75" s="15"/>
      <c r="N75" s="15"/>
      <c r="O75" s="15"/>
      <c r="P75" s="15">
        <v>96580</v>
      </c>
    </row>
    <row r="76" spans="1:16">
      <c r="A76" s="10" t="s">
        <v>26</v>
      </c>
      <c r="B76" s="10"/>
      <c r="C76" s="10"/>
      <c r="D76" s="15">
        <v>158460</v>
      </c>
      <c r="G76" s="15"/>
      <c r="H76" s="15">
        <v>160130</v>
      </c>
      <c r="J76" s="15"/>
      <c r="K76" s="15"/>
      <c r="L76" s="15">
        <v>160890</v>
      </c>
      <c r="M76" s="15"/>
      <c r="N76" s="15"/>
      <c r="O76" s="15"/>
      <c r="P76" s="15">
        <v>160700</v>
      </c>
    </row>
    <row r="77" spans="1:16">
      <c r="A77" s="10" t="s">
        <v>27</v>
      </c>
      <c r="B77" s="10"/>
      <c r="C77" s="10"/>
      <c r="D77" s="15">
        <v>368080</v>
      </c>
      <c r="G77" s="15"/>
      <c r="H77" s="15">
        <v>371410</v>
      </c>
      <c r="J77" s="15"/>
      <c r="K77" s="15"/>
      <c r="L77" s="15">
        <v>373550</v>
      </c>
      <c r="M77" s="15"/>
      <c r="N77" s="15"/>
      <c r="O77" s="15"/>
      <c r="P77" s="15">
        <v>374730</v>
      </c>
    </row>
    <row r="78" spans="1:16">
      <c r="A78" s="10" t="s">
        <v>28</v>
      </c>
      <c r="B78" s="10"/>
      <c r="C78" s="10"/>
      <c r="D78" s="15">
        <v>606340</v>
      </c>
      <c r="G78" s="15"/>
      <c r="H78" s="15">
        <v>621020</v>
      </c>
      <c r="J78" s="15"/>
      <c r="K78" s="15"/>
      <c r="L78" s="15">
        <v>633120</v>
      </c>
      <c r="M78" s="15"/>
      <c r="N78" s="15"/>
      <c r="O78" s="15"/>
      <c r="P78" s="15">
        <v>635130</v>
      </c>
    </row>
    <row r="79" spans="1:16">
      <c r="A79" s="10" t="s">
        <v>29</v>
      </c>
      <c r="B79" s="10"/>
      <c r="C79" s="10"/>
      <c r="D79" s="15">
        <v>234110</v>
      </c>
      <c r="G79" s="15"/>
      <c r="H79" s="15">
        <v>235180</v>
      </c>
      <c r="J79" s="15"/>
      <c r="K79" s="15"/>
      <c r="L79" s="15">
        <v>235830</v>
      </c>
      <c r="M79" s="15"/>
      <c r="N79" s="15"/>
      <c r="O79" s="15"/>
      <c r="P79" s="15">
        <v>238060</v>
      </c>
    </row>
    <row r="80" spans="1:16">
      <c r="A80" s="10" t="s">
        <v>30</v>
      </c>
      <c r="B80" s="10"/>
      <c r="C80" s="10"/>
      <c r="D80" s="15">
        <v>79500</v>
      </c>
      <c r="G80" s="15"/>
      <c r="H80" s="15">
        <v>78760</v>
      </c>
      <c r="J80" s="15"/>
      <c r="K80" s="15"/>
      <c r="L80" s="15">
        <v>77800</v>
      </c>
      <c r="M80" s="15"/>
      <c r="N80" s="15"/>
      <c r="O80" s="15"/>
      <c r="P80" s="15">
        <v>76700</v>
      </c>
    </row>
    <row r="81" spans="1:16">
      <c r="A81" s="10" t="s">
        <v>31</v>
      </c>
      <c r="B81" s="10"/>
      <c r="C81" s="10"/>
      <c r="D81" s="15">
        <v>87390</v>
      </c>
      <c r="G81" s="15"/>
      <c r="H81" s="15">
        <v>90090</v>
      </c>
      <c r="J81" s="15"/>
      <c r="K81" s="15"/>
      <c r="L81" s="15">
        <v>92460</v>
      </c>
      <c r="M81" s="15"/>
      <c r="N81" s="15"/>
      <c r="O81" s="15"/>
      <c r="P81" s="15">
        <v>94680</v>
      </c>
    </row>
    <row r="82" spans="1:16">
      <c r="A82" s="10" t="s">
        <v>32</v>
      </c>
      <c r="B82" s="10"/>
      <c r="C82" s="10"/>
      <c r="D82" s="15">
        <v>95510</v>
      </c>
      <c r="G82" s="15"/>
      <c r="H82" s="15">
        <v>95780</v>
      </c>
      <c r="J82" s="15"/>
      <c r="K82" s="15"/>
      <c r="L82" s="15">
        <v>95820</v>
      </c>
      <c r="M82" s="15"/>
      <c r="N82" s="15"/>
      <c r="O82" s="15"/>
      <c r="P82" s="15">
        <v>96410</v>
      </c>
    </row>
    <row r="83" spans="1:16">
      <c r="A83" s="10" t="s">
        <v>33</v>
      </c>
      <c r="B83" s="10"/>
      <c r="C83" s="10"/>
      <c r="D83" s="15">
        <v>27070</v>
      </c>
      <c r="G83" s="15"/>
      <c r="H83" s="15">
        <v>26950</v>
      </c>
      <c r="J83" s="15"/>
      <c r="K83" s="15"/>
      <c r="L83" s="15">
        <v>26720</v>
      </c>
      <c r="M83" s="15"/>
      <c r="N83" s="15"/>
      <c r="O83" s="15"/>
      <c r="P83" s="15">
        <v>26640</v>
      </c>
    </row>
    <row r="84" spans="1:16">
      <c r="A84" s="10" t="s">
        <v>34</v>
      </c>
      <c r="B84" s="10"/>
      <c r="C84" s="10"/>
      <c r="D84" s="15">
        <v>136130</v>
      </c>
      <c r="G84" s="15"/>
      <c r="H84" s="15">
        <v>135790</v>
      </c>
      <c r="J84" s="15"/>
      <c r="K84" s="15"/>
      <c r="L84" s="15">
        <v>134740</v>
      </c>
      <c r="M84" s="15"/>
      <c r="N84" s="15"/>
      <c r="O84" s="15"/>
      <c r="P84" s="15">
        <v>134220</v>
      </c>
    </row>
    <row r="85" spans="1:16">
      <c r="A85" s="10" t="s">
        <v>35</v>
      </c>
      <c r="B85" s="10"/>
      <c r="C85" s="10"/>
      <c r="D85" s="15">
        <v>338260</v>
      </c>
      <c r="G85" s="15"/>
      <c r="H85" s="15">
        <v>339960</v>
      </c>
      <c r="J85" s="15"/>
      <c r="K85" s="15"/>
      <c r="L85" s="15">
        <v>341370</v>
      </c>
      <c r="M85" s="15"/>
      <c r="N85" s="15"/>
      <c r="O85" s="15"/>
      <c r="P85" s="15">
        <v>341400</v>
      </c>
    </row>
    <row r="86" spans="1:16">
      <c r="A86" s="10" t="s">
        <v>36</v>
      </c>
      <c r="B86" s="10"/>
      <c r="C86" s="10"/>
      <c r="D86" s="15">
        <v>21670</v>
      </c>
      <c r="G86" s="15"/>
      <c r="H86" s="15">
        <v>22000</v>
      </c>
      <c r="J86" s="15"/>
      <c r="K86" s="15"/>
      <c r="L86" s="15">
        <v>22270</v>
      </c>
      <c r="M86" s="15"/>
      <c r="N86" s="15"/>
      <c r="O86" s="15"/>
      <c r="P86" s="15">
        <v>22540</v>
      </c>
    </row>
    <row r="87" spans="1:16">
      <c r="A87" s="10" t="s">
        <v>37</v>
      </c>
      <c r="B87" s="10"/>
      <c r="C87" s="10"/>
      <c r="D87" s="15">
        <v>149930</v>
      </c>
      <c r="G87" s="15"/>
      <c r="H87" s="15">
        <v>151100</v>
      </c>
      <c r="J87" s="15"/>
      <c r="K87" s="15"/>
      <c r="L87" s="15">
        <v>151950</v>
      </c>
      <c r="M87" s="15"/>
      <c r="N87" s="15"/>
      <c r="O87" s="15"/>
      <c r="P87" s="15">
        <v>153810</v>
      </c>
    </row>
    <row r="88" spans="1:16">
      <c r="A88" s="10" t="s">
        <v>38</v>
      </c>
      <c r="B88" s="10"/>
      <c r="C88" s="10"/>
      <c r="D88" s="15">
        <v>174560</v>
      </c>
      <c r="G88" s="15"/>
      <c r="H88" s="15">
        <v>176830</v>
      </c>
      <c r="J88" s="15"/>
      <c r="K88" s="15"/>
      <c r="L88" s="15">
        <v>179100</v>
      </c>
      <c r="M88" s="15"/>
      <c r="N88" s="15"/>
      <c r="O88" s="15"/>
      <c r="P88" s="15">
        <v>179940</v>
      </c>
    </row>
    <row r="89" spans="1:16">
      <c r="A89" s="10" t="s">
        <v>39</v>
      </c>
      <c r="B89" s="10"/>
      <c r="C89" s="10"/>
      <c r="D89" s="15">
        <v>114030</v>
      </c>
      <c r="G89" s="15"/>
      <c r="H89" s="15">
        <v>115020</v>
      </c>
      <c r="J89" s="15"/>
      <c r="K89" s="15"/>
      <c r="L89" s="15">
        <v>115510</v>
      </c>
      <c r="M89" s="15"/>
      <c r="N89" s="15"/>
      <c r="O89" s="15"/>
      <c r="P89" s="15">
        <v>116020</v>
      </c>
    </row>
    <row r="90" spans="1:16">
      <c r="A90" s="10" t="s">
        <v>40</v>
      </c>
      <c r="B90" s="10"/>
      <c r="C90" s="10"/>
      <c r="D90" s="15">
        <v>23200</v>
      </c>
      <c r="G90" s="15"/>
      <c r="H90" s="15">
        <v>23080</v>
      </c>
      <c r="J90" s="15"/>
      <c r="K90" s="15"/>
      <c r="L90" s="15">
        <v>22920</v>
      </c>
      <c r="M90" s="15"/>
      <c r="N90" s="15"/>
      <c r="O90" s="15"/>
      <c r="P90" s="15">
        <v>22940</v>
      </c>
    </row>
    <row r="91" spans="1:16">
      <c r="A91" s="10" t="s">
        <v>41</v>
      </c>
      <c r="B91" s="10"/>
      <c r="C91" s="10"/>
      <c r="D91" s="15">
        <v>112400</v>
      </c>
      <c r="G91" s="15"/>
      <c r="H91" s="15">
        <v>112680</v>
      </c>
      <c r="J91" s="15"/>
      <c r="K91" s="15"/>
      <c r="L91" s="15">
        <v>112610</v>
      </c>
      <c r="M91" s="15"/>
      <c r="N91" s="15"/>
      <c r="O91" s="15"/>
      <c r="P91" s="15">
        <v>112450</v>
      </c>
    </row>
    <row r="92" spans="1:16">
      <c r="A92" s="10" t="s">
        <v>42</v>
      </c>
      <c r="B92" s="10"/>
      <c r="C92" s="10"/>
      <c r="D92" s="15">
        <v>316230</v>
      </c>
      <c r="G92" s="15"/>
      <c r="H92" s="15">
        <v>318170</v>
      </c>
      <c r="J92" s="15"/>
      <c r="K92" s="15"/>
      <c r="L92" s="15">
        <v>320530</v>
      </c>
      <c r="M92" s="15"/>
      <c r="N92" s="15"/>
      <c r="O92" s="15"/>
      <c r="P92" s="15">
        <v>322630</v>
      </c>
    </row>
    <row r="93" spans="1:16">
      <c r="A93" s="10" t="s">
        <v>43</v>
      </c>
      <c r="B93" s="10"/>
      <c r="C93" s="10"/>
      <c r="D93" s="15">
        <v>92830</v>
      </c>
      <c r="G93" s="15"/>
      <c r="H93" s="15">
        <v>94000</v>
      </c>
      <c r="J93" s="15"/>
      <c r="K93" s="15"/>
      <c r="L93" s="15">
        <v>94210</v>
      </c>
      <c r="M93" s="15"/>
      <c r="N93" s="15"/>
      <c r="O93" s="15"/>
      <c r="P93" s="15">
        <v>93470</v>
      </c>
    </row>
    <row r="94" spans="1:16">
      <c r="A94" s="10" t="s">
        <v>44</v>
      </c>
      <c r="B94" s="10"/>
      <c r="C94" s="10"/>
      <c r="D94" s="15">
        <v>89590</v>
      </c>
      <c r="G94" s="15"/>
      <c r="H94" s="15">
        <v>89610</v>
      </c>
      <c r="J94" s="15"/>
      <c r="K94" s="15"/>
      <c r="L94" s="15">
        <v>88930</v>
      </c>
      <c r="M94" s="15"/>
      <c r="N94" s="15"/>
      <c r="O94" s="15"/>
      <c r="P94" s="15">
        <v>87790</v>
      </c>
    </row>
    <row r="95" spans="1:16">
      <c r="A95" s="10" t="s">
        <v>45</v>
      </c>
      <c r="B95" s="10"/>
      <c r="C95" s="10"/>
      <c r="D95" s="15">
        <v>178550</v>
      </c>
      <c r="G95" s="15"/>
      <c r="H95" s="15">
        <v>181310</v>
      </c>
      <c r="J95" s="15"/>
      <c r="K95" s="15"/>
      <c r="L95" s="15">
        <v>183100</v>
      </c>
      <c r="M95" s="15"/>
      <c r="N95" s="15"/>
      <c r="O95" s="15"/>
      <c r="P95" s="15">
        <v>185580</v>
      </c>
    </row>
    <row r="96" spans="1:16">
      <c r="A96" s="10"/>
      <c r="B96" s="10"/>
      <c r="C96" s="10"/>
      <c r="D96" s="15"/>
      <c r="G96" s="15"/>
      <c r="H96" s="15"/>
      <c r="J96" s="15"/>
      <c r="K96" s="15"/>
      <c r="L96" s="15"/>
      <c r="M96" s="15"/>
      <c r="N96" s="15"/>
      <c r="O96" s="15"/>
      <c r="P96" s="15"/>
    </row>
    <row r="97" spans="1:16">
      <c r="A97" s="10" t="s">
        <v>46</v>
      </c>
      <c r="B97" s="10"/>
      <c r="C97" s="10"/>
      <c r="D97" s="15">
        <v>5373000</v>
      </c>
      <c r="G97" s="15"/>
      <c r="H97" s="15">
        <v>5424800</v>
      </c>
      <c r="J97" s="15"/>
      <c r="K97" s="15"/>
      <c r="L97" s="15">
        <v>5463300</v>
      </c>
      <c r="M97" s="15"/>
      <c r="N97" s="15"/>
      <c r="O97" s="15"/>
      <c r="P97" s="15">
        <v>5479900</v>
      </c>
    </row>
    <row r="98" spans="1:16">
      <c r="A98" s="10" t="s">
        <v>47</v>
      </c>
      <c r="B98" s="10"/>
      <c r="C98" s="10"/>
      <c r="D98" s="15" t="s">
        <v>71</v>
      </c>
      <c r="G98" s="15"/>
      <c r="H98" s="15" t="s">
        <v>71</v>
      </c>
      <c r="J98" s="15"/>
      <c r="K98" s="15"/>
      <c r="L98" s="15" t="s">
        <v>71</v>
      </c>
      <c r="M98" s="15"/>
      <c r="N98" s="15"/>
      <c r="O98" s="15"/>
      <c r="P98" s="15" t="s">
        <v>71</v>
      </c>
    </row>
    <row r="99" spans="1:16">
      <c r="A99" s="10" t="s">
        <v>48</v>
      </c>
      <c r="B99" s="10"/>
      <c r="C99" s="10"/>
      <c r="D99" s="15">
        <v>1804380</v>
      </c>
      <c r="G99" s="15"/>
      <c r="H99" s="15">
        <v>1827240</v>
      </c>
      <c r="J99" s="15"/>
      <c r="K99" s="15"/>
      <c r="L99" s="15">
        <v>1845020</v>
      </c>
      <c r="M99" s="15"/>
      <c r="N99" s="15"/>
      <c r="O99" s="15"/>
      <c r="P99" s="15">
        <v>1849070</v>
      </c>
    </row>
    <row r="104" spans="1:16" ht="15.75">
      <c r="A104" s="1" t="s">
        <v>147</v>
      </c>
      <c r="B104" s="1"/>
      <c r="C104" s="1"/>
    </row>
    <row r="105" spans="1:16">
      <c r="A105" s="2" t="s">
        <v>140</v>
      </c>
      <c r="B105" s="2"/>
      <c r="C105" s="2"/>
    </row>
    <row r="107" spans="1:16">
      <c r="A107" s="10" t="s">
        <v>146</v>
      </c>
      <c r="B107" s="10"/>
      <c r="C107" s="10"/>
      <c r="D107" s="10" t="s">
        <v>162</v>
      </c>
      <c r="E107" s="10"/>
      <c r="F107" s="10"/>
      <c r="G107" s="10"/>
    </row>
    <row r="108" spans="1:16">
      <c r="A108" s="10" t="s">
        <v>145</v>
      </c>
      <c r="B108" s="10"/>
      <c r="C108" s="10"/>
      <c r="D108" s="10" t="s">
        <v>82</v>
      </c>
      <c r="E108" s="10"/>
      <c r="F108" s="10"/>
      <c r="G108" s="10"/>
    </row>
    <row r="109" spans="1:16">
      <c r="A109" s="10" t="s">
        <v>144</v>
      </c>
      <c r="B109" s="10"/>
      <c r="C109" s="10"/>
      <c r="D109" s="10" t="s">
        <v>82</v>
      </c>
      <c r="E109" s="10"/>
      <c r="F109" s="10"/>
      <c r="G109" s="10"/>
    </row>
    <row r="111" spans="1:16" ht="21.95" customHeight="1">
      <c r="A111" s="17" t="s">
        <v>7</v>
      </c>
      <c r="B111" s="17"/>
      <c r="C111" s="17"/>
      <c r="D111" s="46">
        <v>2015</v>
      </c>
      <c r="E111" s="46"/>
      <c r="F111" s="46"/>
      <c r="G111" s="46"/>
      <c r="H111" s="46">
        <v>2017</v>
      </c>
      <c r="I111" s="46"/>
      <c r="J111" s="46"/>
      <c r="K111" s="46"/>
      <c r="L111" s="46">
        <v>2019</v>
      </c>
      <c r="M111" s="46"/>
      <c r="N111" s="46"/>
      <c r="O111" s="46"/>
      <c r="P111" s="46">
        <v>2021</v>
      </c>
    </row>
    <row r="112" spans="1:16">
      <c r="A112" s="10" t="s">
        <v>15</v>
      </c>
      <c r="B112" s="10"/>
      <c r="C112" s="10"/>
      <c r="D112" s="15">
        <v>127</v>
      </c>
      <c r="E112" s="15"/>
      <c r="F112" s="15"/>
      <c r="G112" s="15"/>
      <c r="H112" s="15">
        <v>139</v>
      </c>
      <c r="I112" s="15"/>
      <c r="J112" s="15"/>
      <c r="K112" s="15"/>
      <c r="L112" s="15">
        <v>151</v>
      </c>
      <c r="M112" s="15"/>
      <c r="N112" s="15"/>
      <c r="O112" s="15"/>
      <c r="P112">
        <v>148</v>
      </c>
    </row>
    <row r="113" spans="1:16">
      <c r="A113" s="10" t="s">
        <v>16</v>
      </c>
      <c r="B113" s="10"/>
      <c r="C113" s="10"/>
      <c r="D113" s="15">
        <v>245</v>
      </c>
      <c r="E113" s="15"/>
      <c r="F113" s="15"/>
      <c r="G113" s="15"/>
      <c r="H113" s="15">
        <v>291</v>
      </c>
      <c r="I113" s="15"/>
      <c r="J113" s="15"/>
      <c r="K113" s="15"/>
      <c r="L113" s="15">
        <v>292</v>
      </c>
      <c r="M113" s="15"/>
      <c r="N113" s="15"/>
      <c r="O113" s="15"/>
      <c r="P113">
        <v>287</v>
      </c>
    </row>
    <row r="114" spans="1:16">
      <c r="A114" s="10" t="s">
        <v>17</v>
      </c>
      <c r="B114" s="10"/>
      <c r="C114" s="10"/>
      <c r="D114" s="15">
        <v>93</v>
      </c>
      <c r="E114" s="15"/>
      <c r="F114" s="15"/>
      <c r="G114" s="15"/>
      <c r="H114" s="15">
        <v>109</v>
      </c>
      <c r="I114" s="15"/>
      <c r="J114" s="15"/>
      <c r="K114" s="15"/>
      <c r="L114" s="15">
        <v>119</v>
      </c>
      <c r="M114" s="15"/>
      <c r="N114" s="15"/>
      <c r="O114" s="15"/>
      <c r="P114">
        <v>114</v>
      </c>
    </row>
    <row r="115" spans="1:16">
      <c r="A115" s="10" t="s">
        <v>18</v>
      </c>
      <c r="B115" s="10"/>
      <c r="C115" s="10"/>
      <c r="D115" s="15">
        <v>244</v>
      </c>
      <c r="E115" s="15"/>
      <c r="F115" s="15"/>
      <c r="G115" s="15"/>
      <c r="H115" s="15">
        <v>246</v>
      </c>
      <c r="I115" s="15"/>
      <c r="J115" s="15"/>
      <c r="K115" s="15"/>
      <c r="L115" s="15">
        <v>253</v>
      </c>
      <c r="M115" s="15"/>
      <c r="N115" s="15"/>
      <c r="O115" s="15"/>
      <c r="P115">
        <v>257</v>
      </c>
    </row>
    <row r="116" spans="1:16">
      <c r="A116" s="10" t="s">
        <v>126</v>
      </c>
      <c r="B116" s="10"/>
      <c r="C116" s="10"/>
      <c r="D116" s="15">
        <v>670</v>
      </c>
      <c r="E116" s="15"/>
      <c r="F116" s="15"/>
      <c r="G116" s="15"/>
      <c r="H116" s="15">
        <v>716</v>
      </c>
      <c r="I116" s="15"/>
      <c r="J116" s="15"/>
      <c r="K116" s="15"/>
      <c r="L116" s="15">
        <v>777</v>
      </c>
      <c r="M116" s="15"/>
      <c r="N116" s="15"/>
      <c r="O116" s="15"/>
      <c r="P116">
        <v>781</v>
      </c>
    </row>
    <row r="117" spans="1:16">
      <c r="A117" s="10" t="s">
        <v>19</v>
      </c>
      <c r="B117" s="10"/>
      <c r="C117" s="10"/>
      <c r="D117" s="15">
        <v>32</v>
      </c>
      <c r="E117" s="15"/>
      <c r="F117" s="15"/>
      <c r="G117" s="15"/>
      <c r="H117" s="15">
        <v>29</v>
      </c>
      <c r="I117" s="15"/>
      <c r="J117" s="15"/>
      <c r="K117" s="15"/>
      <c r="L117" s="15">
        <v>38</v>
      </c>
      <c r="M117" s="15"/>
      <c r="N117" s="15"/>
      <c r="O117" s="15"/>
      <c r="P117">
        <v>35</v>
      </c>
    </row>
    <row r="118" spans="1:16">
      <c r="A118" s="10" t="s">
        <v>20</v>
      </c>
      <c r="B118" s="10"/>
      <c r="C118" s="10"/>
      <c r="D118" s="15">
        <v>190</v>
      </c>
      <c r="E118" s="15"/>
      <c r="F118" s="15"/>
      <c r="G118" s="15"/>
      <c r="H118" s="15">
        <v>218</v>
      </c>
      <c r="I118" s="15"/>
      <c r="J118" s="15"/>
      <c r="K118" s="15"/>
      <c r="L118" s="15">
        <v>239</v>
      </c>
      <c r="M118" s="15"/>
      <c r="N118" s="15"/>
      <c r="O118" s="15"/>
      <c r="P118">
        <v>239</v>
      </c>
    </row>
    <row r="119" spans="1:16">
      <c r="A119" s="10" t="s">
        <v>21</v>
      </c>
      <c r="B119" s="10"/>
      <c r="C119" s="10"/>
      <c r="D119" s="15">
        <v>132</v>
      </c>
      <c r="E119" s="15"/>
      <c r="F119" s="15"/>
      <c r="G119" s="15"/>
      <c r="H119" s="15">
        <v>135</v>
      </c>
      <c r="I119" s="15"/>
      <c r="J119" s="15"/>
      <c r="K119" s="15"/>
      <c r="L119" s="15">
        <v>138</v>
      </c>
      <c r="M119" s="15"/>
      <c r="N119" s="15"/>
      <c r="O119" s="15"/>
      <c r="P119">
        <v>136</v>
      </c>
    </row>
    <row r="120" spans="1:16">
      <c r="A120" s="10" t="s">
        <v>22</v>
      </c>
      <c r="B120" s="10"/>
      <c r="C120" s="10"/>
      <c r="D120" s="15">
        <v>69</v>
      </c>
      <c r="E120" s="15"/>
      <c r="F120" s="15"/>
      <c r="G120" s="15"/>
      <c r="H120" s="15">
        <v>73</v>
      </c>
      <c r="I120" s="15"/>
      <c r="J120" s="15"/>
      <c r="K120" s="15"/>
      <c r="L120" s="15">
        <v>76</v>
      </c>
      <c r="M120" s="15"/>
      <c r="N120" s="15"/>
      <c r="O120" s="15"/>
      <c r="P120">
        <v>76</v>
      </c>
    </row>
    <row r="121" spans="1:16">
      <c r="A121" s="10" t="s">
        <v>23</v>
      </c>
      <c r="B121" s="10"/>
      <c r="C121" s="10"/>
      <c r="D121" s="15">
        <v>51</v>
      </c>
      <c r="E121" s="15"/>
      <c r="F121" s="15"/>
      <c r="G121" s="15"/>
      <c r="H121" s="15">
        <v>52</v>
      </c>
      <c r="I121" s="15"/>
      <c r="J121" s="15"/>
      <c r="K121" s="15"/>
      <c r="L121" s="15">
        <v>60</v>
      </c>
      <c r="M121" s="15"/>
      <c r="N121" s="15"/>
      <c r="O121" s="15"/>
      <c r="P121">
        <v>55</v>
      </c>
    </row>
    <row r="122" spans="1:16">
      <c r="A122" s="10" t="s">
        <v>24</v>
      </c>
      <c r="B122" s="10"/>
      <c r="C122" s="10"/>
      <c r="D122" s="15">
        <v>125</v>
      </c>
      <c r="E122" s="15"/>
      <c r="F122" s="15"/>
      <c r="G122" s="15"/>
      <c r="H122" s="15">
        <v>131</v>
      </c>
      <c r="I122" s="15"/>
      <c r="J122" s="15"/>
      <c r="K122" s="15"/>
      <c r="L122" s="15">
        <v>155</v>
      </c>
      <c r="M122" s="15"/>
      <c r="N122" s="15"/>
      <c r="O122" s="15"/>
      <c r="P122">
        <v>146</v>
      </c>
    </row>
    <row r="123" spans="1:16">
      <c r="A123" s="10" t="s">
        <v>25</v>
      </c>
      <c r="B123" s="10"/>
      <c r="C123" s="10"/>
      <c r="D123" s="15">
        <v>41</v>
      </c>
      <c r="E123" s="15"/>
      <c r="F123" s="15"/>
      <c r="G123" s="15"/>
      <c r="H123" s="15">
        <v>42</v>
      </c>
      <c r="I123" s="15"/>
      <c r="J123" s="15"/>
      <c r="K123" s="15"/>
      <c r="L123" s="15">
        <v>53</v>
      </c>
      <c r="M123" s="15"/>
      <c r="N123" s="15"/>
      <c r="O123" s="15"/>
      <c r="P123">
        <v>55</v>
      </c>
    </row>
    <row r="124" spans="1:16">
      <c r="A124" s="10" t="s">
        <v>26</v>
      </c>
      <c r="B124" s="10"/>
      <c r="C124" s="10"/>
      <c r="D124" s="15">
        <v>79</v>
      </c>
      <c r="E124" s="15"/>
      <c r="F124" s="15"/>
      <c r="G124" s="15"/>
      <c r="H124" s="15">
        <v>87</v>
      </c>
      <c r="I124" s="15"/>
      <c r="J124" s="15"/>
      <c r="K124" s="15"/>
      <c r="L124" s="15">
        <v>91</v>
      </c>
      <c r="M124" s="15"/>
      <c r="N124" s="15"/>
      <c r="O124" s="15"/>
      <c r="P124">
        <v>94</v>
      </c>
    </row>
    <row r="125" spans="1:16">
      <c r="A125" s="10" t="s">
        <v>27</v>
      </c>
      <c r="B125" s="10"/>
      <c r="C125" s="10"/>
      <c r="D125" s="15">
        <v>179</v>
      </c>
      <c r="E125" s="15"/>
      <c r="F125" s="15"/>
      <c r="G125" s="15"/>
      <c r="H125" s="15">
        <v>238</v>
      </c>
      <c r="I125" s="15"/>
      <c r="J125" s="15"/>
      <c r="K125" s="15"/>
      <c r="L125" s="15">
        <v>242</v>
      </c>
      <c r="M125" s="15"/>
      <c r="N125" s="15"/>
      <c r="O125" s="15"/>
      <c r="P125">
        <v>258</v>
      </c>
    </row>
    <row r="126" spans="1:16">
      <c r="A126" s="10" t="s">
        <v>28</v>
      </c>
      <c r="B126" s="10"/>
      <c r="C126" s="10"/>
      <c r="D126" s="15">
        <v>704</v>
      </c>
      <c r="E126" s="15"/>
      <c r="F126" s="15"/>
      <c r="G126" s="15"/>
      <c r="H126" s="15">
        <v>732</v>
      </c>
      <c r="I126" s="15"/>
      <c r="J126" s="15"/>
      <c r="K126" s="15"/>
      <c r="L126" s="15">
        <v>811</v>
      </c>
      <c r="M126" s="15"/>
      <c r="N126" s="15"/>
      <c r="O126" s="15"/>
      <c r="P126">
        <v>816</v>
      </c>
    </row>
    <row r="127" spans="1:16">
      <c r="A127" s="10" t="s">
        <v>29</v>
      </c>
      <c r="B127" s="10"/>
      <c r="C127" s="10"/>
      <c r="D127" s="15">
        <v>529</v>
      </c>
      <c r="E127" s="15"/>
      <c r="F127" s="15"/>
      <c r="G127" s="15"/>
      <c r="H127" s="15">
        <v>539</v>
      </c>
      <c r="I127" s="15"/>
      <c r="J127" s="15"/>
      <c r="K127" s="15"/>
      <c r="L127" s="15">
        <v>564</v>
      </c>
      <c r="M127" s="15"/>
      <c r="N127" s="15"/>
      <c r="O127" s="15"/>
      <c r="P127">
        <v>566</v>
      </c>
    </row>
    <row r="128" spans="1:16">
      <c r="A128" s="10" t="s">
        <v>30</v>
      </c>
      <c r="B128" s="10"/>
      <c r="C128" s="10"/>
      <c r="D128" s="15">
        <v>54</v>
      </c>
      <c r="E128" s="15"/>
      <c r="F128" s="15"/>
      <c r="G128" s="15"/>
      <c r="H128" s="15">
        <v>59</v>
      </c>
      <c r="I128" s="15"/>
      <c r="J128" s="15"/>
      <c r="K128" s="15"/>
      <c r="L128" s="15">
        <v>63</v>
      </c>
      <c r="M128" s="15"/>
      <c r="N128" s="15"/>
      <c r="O128" s="15"/>
      <c r="P128">
        <v>62</v>
      </c>
    </row>
    <row r="129" spans="1:16">
      <c r="A129" s="10" t="s">
        <v>31</v>
      </c>
      <c r="B129" s="10"/>
      <c r="C129" s="10"/>
      <c r="D129" s="15">
        <v>57</v>
      </c>
      <c r="E129" s="15"/>
      <c r="F129" s="15"/>
      <c r="G129" s="15"/>
      <c r="H129" s="15">
        <v>66</v>
      </c>
      <c r="I129" s="15"/>
      <c r="J129" s="15"/>
      <c r="K129" s="15"/>
      <c r="L129" s="15">
        <v>73</v>
      </c>
      <c r="M129" s="15"/>
      <c r="N129" s="15"/>
      <c r="O129" s="15"/>
      <c r="P129">
        <v>74</v>
      </c>
    </row>
    <row r="130" spans="1:16">
      <c r="A130" s="10" t="s">
        <v>32</v>
      </c>
      <c r="B130" s="10"/>
      <c r="C130" s="10"/>
      <c r="D130" s="15">
        <v>124</v>
      </c>
      <c r="E130" s="15"/>
      <c r="F130" s="15"/>
      <c r="G130" s="15"/>
      <c r="H130" s="15">
        <v>139</v>
      </c>
      <c r="I130" s="15"/>
      <c r="J130" s="15"/>
      <c r="K130" s="15"/>
      <c r="L130" s="15">
        <v>150</v>
      </c>
      <c r="M130" s="15"/>
      <c r="N130" s="15"/>
      <c r="O130" s="15"/>
      <c r="P130">
        <v>147</v>
      </c>
    </row>
    <row r="131" spans="1:16">
      <c r="A131" s="10" t="s">
        <v>33</v>
      </c>
      <c r="B131" s="10"/>
      <c r="C131" s="10"/>
      <c r="D131" s="15">
        <v>109</v>
      </c>
      <c r="E131" s="15"/>
      <c r="F131" s="15"/>
      <c r="G131" s="15"/>
      <c r="H131" s="15">
        <v>109</v>
      </c>
      <c r="I131" s="15"/>
      <c r="J131" s="15"/>
      <c r="K131" s="15"/>
      <c r="L131" s="15">
        <v>122</v>
      </c>
      <c r="M131" s="15"/>
      <c r="N131" s="15"/>
      <c r="O131" s="15"/>
      <c r="P131">
        <v>124</v>
      </c>
    </row>
    <row r="132" spans="1:16">
      <c r="A132" s="10" t="s">
        <v>34</v>
      </c>
      <c r="B132" s="10"/>
      <c r="C132" s="10"/>
      <c r="D132" s="15">
        <v>98</v>
      </c>
      <c r="E132" s="15"/>
      <c r="F132" s="15"/>
      <c r="G132" s="15"/>
      <c r="H132" s="15">
        <v>111</v>
      </c>
      <c r="I132" s="15"/>
      <c r="J132" s="15"/>
      <c r="K132" s="15"/>
      <c r="L132" s="15">
        <v>117</v>
      </c>
      <c r="M132" s="15"/>
      <c r="N132" s="15"/>
      <c r="O132" s="15"/>
      <c r="P132">
        <v>120</v>
      </c>
    </row>
    <row r="133" spans="1:16">
      <c r="A133" s="10" t="s">
        <v>35</v>
      </c>
      <c r="B133" s="10"/>
      <c r="C133" s="10"/>
      <c r="D133" s="15">
        <v>107</v>
      </c>
      <c r="E133" s="15"/>
      <c r="F133" s="15"/>
      <c r="G133" s="15"/>
      <c r="H133" s="15">
        <v>104</v>
      </c>
      <c r="I133" s="15"/>
      <c r="J133" s="15"/>
      <c r="K133" s="15"/>
      <c r="L133" s="15">
        <v>109</v>
      </c>
      <c r="M133" s="15"/>
      <c r="N133" s="15"/>
      <c r="O133" s="15"/>
      <c r="P133">
        <v>114</v>
      </c>
    </row>
    <row r="134" spans="1:16">
      <c r="A134" s="10" t="s">
        <v>36</v>
      </c>
      <c r="B134" s="10"/>
      <c r="C134" s="10"/>
      <c r="D134" s="15">
        <v>56</v>
      </c>
      <c r="E134" s="15"/>
      <c r="F134" s="15"/>
      <c r="G134" s="15"/>
      <c r="H134" s="15">
        <v>64</v>
      </c>
      <c r="I134" s="15"/>
      <c r="J134" s="15"/>
      <c r="K134" s="15"/>
      <c r="L134" s="15">
        <v>69</v>
      </c>
      <c r="M134" s="15"/>
      <c r="N134" s="15"/>
      <c r="O134" s="15"/>
      <c r="P134">
        <v>72</v>
      </c>
    </row>
    <row r="135" spans="1:16">
      <c r="A135" s="10" t="s">
        <v>37</v>
      </c>
      <c r="B135" s="10"/>
      <c r="C135" s="10"/>
      <c r="D135" s="15">
        <v>167</v>
      </c>
      <c r="E135" s="15"/>
      <c r="F135" s="15"/>
      <c r="G135" s="15"/>
      <c r="H135" s="15">
        <v>195</v>
      </c>
      <c r="I135" s="15"/>
      <c r="J135" s="15"/>
      <c r="K135" s="15"/>
      <c r="L135" s="15">
        <v>202</v>
      </c>
      <c r="M135" s="15"/>
      <c r="N135" s="15"/>
      <c r="O135" s="15"/>
      <c r="P135">
        <v>209</v>
      </c>
    </row>
    <row r="136" spans="1:16">
      <c r="A136" s="10" t="s">
        <v>38</v>
      </c>
      <c r="B136" s="10"/>
      <c r="C136" s="10"/>
      <c r="D136" s="15">
        <v>84</v>
      </c>
      <c r="E136" s="15"/>
      <c r="F136" s="15"/>
      <c r="G136" s="15"/>
      <c r="H136" s="15">
        <v>83</v>
      </c>
      <c r="I136" s="15"/>
      <c r="J136" s="15"/>
      <c r="K136" s="15"/>
      <c r="L136" s="15">
        <v>98</v>
      </c>
      <c r="M136" s="15"/>
      <c r="N136" s="15"/>
      <c r="O136" s="15"/>
      <c r="P136">
        <v>99</v>
      </c>
    </row>
    <row r="137" spans="1:16">
      <c r="A137" s="10" t="s">
        <v>39</v>
      </c>
      <c r="B137" s="10"/>
      <c r="C137" s="10"/>
      <c r="D137" s="15">
        <v>195</v>
      </c>
      <c r="E137" s="15"/>
      <c r="F137" s="15"/>
      <c r="G137" s="15"/>
      <c r="H137" s="15">
        <v>223</v>
      </c>
      <c r="I137" s="15"/>
      <c r="J137" s="15"/>
      <c r="K137" s="15"/>
      <c r="L137" s="15">
        <v>242</v>
      </c>
      <c r="M137" s="15"/>
      <c r="N137" s="15"/>
      <c r="O137" s="15"/>
      <c r="P137">
        <v>236</v>
      </c>
    </row>
    <row r="138" spans="1:16">
      <c r="A138" s="10" t="s">
        <v>40</v>
      </c>
      <c r="B138" s="10"/>
      <c r="C138" s="10"/>
      <c r="D138" s="15">
        <v>95</v>
      </c>
      <c r="E138" s="15"/>
      <c r="F138" s="15"/>
      <c r="G138" s="15"/>
      <c r="H138" s="15">
        <v>101</v>
      </c>
      <c r="I138" s="15"/>
      <c r="J138" s="15"/>
      <c r="K138" s="15"/>
      <c r="L138" s="15">
        <v>109</v>
      </c>
      <c r="M138" s="15"/>
      <c r="N138" s="15"/>
      <c r="O138" s="15"/>
      <c r="P138">
        <v>107</v>
      </c>
    </row>
    <row r="139" spans="1:16">
      <c r="A139" s="10" t="s">
        <v>41</v>
      </c>
      <c r="B139" s="10"/>
      <c r="C139" s="10"/>
      <c r="D139" s="15">
        <v>61</v>
      </c>
      <c r="E139" s="15"/>
      <c r="F139" s="15"/>
      <c r="G139" s="15"/>
      <c r="H139" s="15">
        <v>77</v>
      </c>
      <c r="I139" s="15"/>
      <c r="J139" s="15"/>
      <c r="K139" s="15"/>
      <c r="L139" s="15">
        <v>85</v>
      </c>
      <c r="M139" s="15"/>
      <c r="N139" s="15"/>
      <c r="O139" s="15"/>
      <c r="P139">
        <v>97</v>
      </c>
    </row>
    <row r="140" spans="1:16">
      <c r="A140" s="10" t="s">
        <v>42</v>
      </c>
      <c r="B140" s="10"/>
      <c r="C140" s="10"/>
      <c r="D140" s="15">
        <v>143</v>
      </c>
      <c r="E140" s="15"/>
      <c r="F140" s="15"/>
      <c r="G140" s="15"/>
      <c r="H140" s="15">
        <v>163</v>
      </c>
      <c r="I140" s="15"/>
      <c r="J140" s="15"/>
      <c r="K140" s="15"/>
      <c r="L140" s="15">
        <v>175</v>
      </c>
      <c r="M140" s="15"/>
      <c r="N140" s="15"/>
      <c r="O140" s="15"/>
      <c r="P140">
        <v>177</v>
      </c>
    </row>
    <row r="141" spans="1:16">
      <c r="A141" s="10" t="s">
        <v>43</v>
      </c>
      <c r="B141" s="10"/>
      <c r="C141" s="10"/>
      <c r="D141" s="15">
        <v>138</v>
      </c>
      <c r="E141" s="15"/>
      <c r="F141" s="15"/>
      <c r="G141" s="15"/>
      <c r="H141" s="15">
        <v>147</v>
      </c>
      <c r="I141" s="15"/>
      <c r="J141" s="15"/>
      <c r="K141" s="15"/>
      <c r="L141" s="15">
        <v>157</v>
      </c>
      <c r="M141" s="15"/>
      <c r="N141" s="15"/>
      <c r="O141" s="15"/>
      <c r="P141">
        <v>160</v>
      </c>
    </row>
    <row r="142" spans="1:16">
      <c r="A142" s="10" t="s">
        <v>44</v>
      </c>
      <c r="B142" s="10"/>
      <c r="C142" s="10"/>
      <c r="D142" s="15">
        <v>64</v>
      </c>
      <c r="E142" s="15"/>
      <c r="F142" s="15"/>
      <c r="G142" s="15"/>
      <c r="H142" s="15">
        <v>70</v>
      </c>
      <c r="I142" s="15"/>
      <c r="J142" s="15"/>
      <c r="K142" s="15"/>
      <c r="L142" s="15">
        <v>75</v>
      </c>
      <c r="M142" s="15"/>
      <c r="N142" s="15"/>
      <c r="O142" s="15"/>
      <c r="P142">
        <v>70</v>
      </c>
    </row>
    <row r="143" spans="1:16">
      <c r="A143" s="10" t="s">
        <v>45</v>
      </c>
      <c r="B143" s="10"/>
      <c r="C143" s="10"/>
      <c r="D143" s="15">
        <v>115</v>
      </c>
      <c r="E143" s="15"/>
      <c r="F143" s="15"/>
      <c r="G143" s="15"/>
      <c r="H143" s="15">
        <v>112</v>
      </c>
      <c r="I143" s="15"/>
      <c r="J143" s="15"/>
      <c r="K143" s="15"/>
      <c r="L143" s="15">
        <v>120</v>
      </c>
      <c r="M143" s="15"/>
      <c r="N143" s="15"/>
      <c r="O143" s="15"/>
      <c r="P143">
        <v>116</v>
      </c>
    </row>
    <row r="144" spans="1:16">
      <c r="A144" s="10"/>
      <c r="B144" s="10"/>
      <c r="C144" s="10"/>
      <c r="D144" s="15"/>
      <c r="E144" s="15"/>
      <c r="F144" s="15"/>
      <c r="G144" s="15"/>
      <c r="H144" s="15"/>
      <c r="I144" s="15"/>
      <c r="J144" s="15"/>
      <c r="K144" s="15"/>
      <c r="L144" s="15"/>
      <c r="M144" s="15"/>
      <c r="N144" s="15"/>
      <c r="O144" s="15"/>
    </row>
    <row r="145" spans="1:16">
      <c r="A145" s="10" t="s">
        <v>46</v>
      </c>
      <c r="B145" s="10"/>
      <c r="C145" s="10"/>
      <c r="D145" s="287">
        <f>SUM(D112:D143)+24</f>
        <v>5201</v>
      </c>
      <c r="E145" s="15"/>
      <c r="F145" s="15"/>
      <c r="G145" s="15"/>
      <c r="H145" s="15">
        <v>5600</v>
      </c>
      <c r="I145" s="15"/>
      <c r="J145" s="15"/>
      <c r="K145" s="15"/>
      <c r="L145" s="15">
        <v>6025</v>
      </c>
      <c r="M145" s="15"/>
      <c r="N145" s="15"/>
      <c r="O145" s="15"/>
      <c r="P145">
        <v>6047</v>
      </c>
    </row>
    <row r="146" spans="1:16">
      <c r="A146" s="10" t="s">
        <v>47</v>
      </c>
      <c r="B146" s="10"/>
      <c r="C146" s="10"/>
      <c r="D146" s="15" t="s">
        <v>71</v>
      </c>
      <c r="E146" s="15"/>
      <c r="F146" s="15"/>
      <c r="G146" s="15"/>
      <c r="H146" s="15" t="s">
        <v>71</v>
      </c>
      <c r="I146" s="15"/>
      <c r="J146" s="15"/>
      <c r="K146" s="15"/>
      <c r="L146" s="15" t="s">
        <v>71</v>
      </c>
      <c r="M146" s="15"/>
      <c r="N146" s="15"/>
      <c r="O146" s="15"/>
      <c r="P146" t="s">
        <v>71</v>
      </c>
    </row>
    <row r="147" spans="1:16">
      <c r="A147" s="10" t="s">
        <v>48</v>
      </c>
      <c r="B147" s="10"/>
      <c r="C147" s="10"/>
      <c r="D147" s="287">
        <f>SUM(D142+D140+D136+D133+D128+D126+D123+D121)</f>
        <v>1248</v>
      </c>
      <c r="E147" s="15"/>
      <c r="F147" s="15"/>
      <c r="G147" s="15"/>
      <c r="H147" s="287">
        <f>SUM(H142+H140+H136+H133+H128+H126+H123+H121)</f>
        <v>1305</v>
      </c>
      <c r="I147" s="15"/>
      <c r="J147" s="15"/>
      <c r="K147" s="15"/>
      <c r="L147" s="287">
        <f>SUM(L142+L140+L136+L133+L128+L126+L123+L121)</f>
        <v>1444</v>
      </c>
      <c r="M147" s="15"/>
      <c r="N147" s="15"/>
      <c r="O147" s="15"/>
      <c r="P147">
        <v>1448</v>
      </c>
    </row>
    <row r="149" spans="1:16">
      <c r="A149" s="2" t="s">
        <v>143</v>
      </c>
      <c r="B149" s="2"/>
      <c r="C149" s="2"/>
    </row>
    <row r="150" spans="1:16">
      <c r="A150" s="2" t="s">
        <v>142</v>
      </c>
      <c r="B150" s="2"/>
      <c r="C150" s="2"/>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autoPageBreaks="0"/>
  </sheetPr>
  <dimension ref="A1:G47"/>
  <sheetViews>
    <sheetView workbookViewId="0">
      <selection activeCell="T38" sqref="T38"/>
    </sheetView>
  </sheetViews>
  <sheetFormatPr defaultColWidth="8.7109375" defaultRowHeight="15"/>
  <cols>
    <col min="1" max="1" width="57.140625" style="384" customWidth="1"/>
    <col min="2" max="5" width="9.85546875" style="384" customWidth="1"/>
    <col min="6" max="16384" width="8.7109375" style="384"/>
  </cols>
  <sheetData>
    <row r="1" spans="1:7" ht="26.25">
      <c r="A1" s="383" t="s">
        <v>86</v>
      </c>
      <c r="C1" s="384" t="s">
        <v>85</v>
      </c>
      <c r="D1" s="384" t="s">
        <v>85</v>
      </c>
      <c r="E1" s="384" t="s">
        <v>84</v>
      </c>
    </row>
    <row r="2" spans="1:7">
      <c r="A2" s="385" t="s">
        <v>83</v>
      </c>
      <c r="B2">
        <v>2019</v>
      </c>
      <c r="C2">
        <v>2020</v>
      </c>
      <c r="D2">
        <v>2021</v>
      </c>
      <c r="E2">
        <v>2022</v>
      </c>
    </row>
    <row r="3" spans="1:7">
      <c r="A3" s="386" t="s">
        <v>15</v>
      </c>
      <c r="B3">
        <v>10276</v>
      </c>
      <c r="C3">
        <v>9230</v>
      </c>
      <c r="D3">
        <v>9544</v>
      </c>
      <c r="E3">
        <v>10847</v>
      </c>
      <c r="G3" s="387">
        <f>SUM(E3-B3)/B3</f>
        <v>5.5566368236667961E-2</v>
      </c>
    </row>
    <row r="4" spans="1:7">
      <c r="A4" s="386" t="s">
        <v>16</v>
      </c>
      <c r="B4">
        <v>6656</v>
      </c>
      <c r="C4">
        <v>6153</v>
      </c>
      <c r="D4">
        <v>6545</v>
      </c>
      <c r="E4">
        <v>7059</v>
      </c>
      <c r="G4" s="387">
        <f t="shared" ref="G4:G38" si="0">SUM(E4-B4)/B4</f>
        <v>6.0546875E-2</v>
      </c>
    </row>
    <row r="5" spans="1:7">
      <c r="A5" s="386" t="s">
        <v>17</v>
      </c>
      <c r="B5">
        <v>2125</v>
      </c>
      <c r="C5">
        <v>1946</v>
      </c>
      <c r="D5">
        <v>2186</v>
      </c>
      <c r="E5">
        <v>2401</v>
      </c>
      <c r="G5" s="387">
        <f t="shared" si="0"/>
        <v>0.12988235294117648</v>
      </c>
    </row>
    <row r="6" spans="1:7">
      <c r="A6" s="386" t="s">
        <v>18</v>
      </c>
      <c r="B6">
        <v>2151</v>
      </c>
      <c r="C6">
        <v>2000</v>
      </c>
      <c r="D6">
        <v>2185</v>
      </c>
      <c r="E6">
        <v>2383</v>
      </c>
      <c r="G6" s="387">
        <f t="shared" si="0"/>
        <v>0.10785681078568107</v>
      </c>
    </row>
    <row r="7" spans="1:7">
      <c r="A7" s="386" t="s">
        <v>126</v>
      </c>
      <c r="B7">
        <v>25759</v>
      </c>
      <c r="C7">
        <v>24200</v>
      </c>
      <c r="D7">
        <v>26582</v>
      </c>
      <c r="E7">
        <v>29713</v>
      </c>
      <c r="G7" s="387">
        <f t="shared" si="0"/>
        <v>0.15349974766101168</v>
      </c>
    </row>
    <row r="8" spans="1:7">
      <c r="A8" s="386" t="s">
        <v>19</v>
      </c>
      <c r="B8">
        <v>1091</v>
      </c>
      <c r="C8">
        <v>1023</v>
      </c>
      <c r="D8">
        <v>1158</v>
      </c>
      <c r="E8">
        <v>1251</v>
      </c>
      <c r="G8" s="387">
        <f t="shared" si="0"/>
        <v>0.14665444546287809</v>
      </c>
    </row>
    <row r="9" spans="1:7">
      <c r="A9" s="386" t="s">
        <v>20</v>
      </c>
      <c r="B9">
        <v>3559</v>
      </c>
      <c r="C9">
        <v>3397</v>
      </c>
      <c r="D9">
        <v>3537</v>
      </c>
      <c r="E9">
        <v>3782</v>
      </c>
      <c r="G9" s="387">
        <f t="shared" si="0"/>
        <v>6.2658050014048894E-2</v>
      </c>
    </row>
    <row r="10" spans="1:7">
      <c r="A10" s="386" t="s">
        <v>21</v>
      </c>
      <c r="B10">
        <v>3624</v>
      </c>
      <c r="C10">
        <v>3454</v>
      </c>
      <c r="D10">
        <v>3691</v>
      </c>
      <c r="E10">
        <v>3929</v>
      </c>
      <c r="G10" s="387">
        <f t="shared" si="0"/>
        <v>8.4161147902869757E-2</v>
      </c>
    </row>
    <row r="11" spans="1:7">
      <c r="A11" s="386" t="s">
        <v>22</v>
      </c>
      <c r="B11">
        <v>1897</v>
      </c>
      <c r="C11">
        <v>1818</v>
      </c>
      <c r="D11">
        <v>1953</v>
      </c>
      <c r="E11">
        <v>2185</v>
      </c>
      <c r="G11" s="387">
        <f t="shared" si="0"/>
        <v>0.1518186610437533</v>
      </c>
    </row>
    <row r="12" spans="1:7">
      <c r="A12" s="386" t="s">
        <v>23</v>
      </c>
      <c r="B12">
        <v>1448</v>
      </c>
      <c r="C12">
        <v>1301</v>
      </c>
      <c r="D12">
        <v>1435</v>
      </c>
      <c r="E12">
        <v>1605</v>
      </c>
      <c r="G12" s="387">
        <f t="shared" si="0"/>
        <v>0.10842541436464088</v>
      </c>
    </row>
    <row r="13" spans="1:7">
      <c r="A13" s="386" t="s">
        <v>24</v>
      </c>
      <c r="B13">
        <v>1820</v>
      </c>
      <c r="C13">
        <v>1714</v>
      </c>
      <c r="D13">
        <v>1918</v>
      </c>
      <c r="E13">
        <v>2055</v>
      </c>
      <c r="G13" s="387">
        <f t="shared" si="0"/>
        <v>0.12912087912087913</v>
      </c>
    </row>
    <row r="14" spans="1:7">
      <c r="A14" s="386" t="s">
        <v>25</v>
      </c>
      <c r="B14">
        <v>1080</v>
      </c>
      <c r="C14">
        <v>1073</v>
      </c>
      <c r="D14">
        <v>1155</v>
      </c>
      <c r="E14">
        <v>1232</v>
      </c>
      <c r="G14" s="387">
        <f t="shared" si="0"/>
        <v>0.14074074074074075</v>
      </c>
    </row>
    <row r="15" spans="1:7">
      <c r="A15" s="386" t="s">
        <v>26</v>
      </c>
      <c r="B15">
        <v>3995</v>
      </c>
      <c r="C15">
        <v>3800</v>
      </c>
      <c r="D15">
        <v>4074</v>
      </c>
      <c r="E15">
        <v>4199</v>
      </c>
      <c r="G15" s="387">
        <f t="shared" si="0"/>
        <v>5.106382978723404E-2</v>
      </c>
    </row>
    <row r="16" spans="1:7">
      <c r="A16" s="386" t="s">
        <v>27</v>
      </c>
      <c r="B16">
        <v>7331</v>
      </c>
      <c r="C16">
        <v>7204</v>
      </c>
      <c r="D16">
        <v>7718</v>
      </c>
      <c r="E16">
        <v>8439</v>
      </c>
      <c r="G16" s="387">
        <f t="shared" si="0"/>
        <v>0.15113899877233666</v>
      </c>
    </row>
    <row r="17" spans="1:7">
      <c r="A17" s="386" t="s">
        <v>28</v>
      </c>
      <c r="B17">
        <v>22250</v>
      </c>
      <c r="C17">
        <v>21531</v>
      </c>
      <c r="D17">
        <v>23438</v>
      </c>
      <c r="E17">
        <v>25845</v>
      </c>
      <c r="G17" s="387">
        <f t="shared" si="0"/>
        <v>0.16157303370786516</v>
      </c>
    </row>
    <row r="18" spans="1:7">
      <c r="A18" s="386" t="s">
        <v>29</v>
      </c>
      <c r="B18">
        <v>6373</v>
      </c>
      <c r="C18">
        <v>5894</v>
      </c>
      <c r="D18">
        <v>6298</v>
      </c>
      <c r="E18">
        <v>6957</v>
      </c>
      <c r="G18" s="387">
        <f t="shared" si="0"/>
        <v>9.1636591871959827E-2</v>
      </c>
    </row>
    <row r="19" spans="1:7">
      <c r="A19" s="386" t="s">
        <v>30</v>
      </c>
      <c r="B19">
        <v>1162</v>
      </c>
      <c r="C19">
        <v>1026</v>
      </c>
      <c r="D19">
        <v>1102</v>
      </c>
      <c r="E19">
        <v>1129</v>
      </c>
      <c r="G19" s="387">
        <f t="shared" si="0"/>
        <v>-2.8399311531841654E-2</v>
      </c>
    </row>
    <row r="20" spans="1:7">
      <c r="A20" s="386" t="s">
        <v>31</v>
      </c>
      <c r="B20">
        <v>1630</v>
      </c>
      <c r="C20">
        <v>1582</v>
      </c>
      <c r="D20">
        <v>1720</v>
      </c>
      <c r="E20">
        <v>1831</v>
      </c>
      <c r="G20" s="387">
        <f t="shared" si="0"/>
        <v>0.12331288343558282</v>
      </c>
    </row>
    <row r="21" spans="1:7">
      <c r="A21" s="386" t="s">
        <v>32</v>
      </c>
      <c r="B21">
        <v>2275</v>
      </c>
      <c r="C21">
        <v>2207</v>
      </c>
      <c r="D21">
        <v>2375</v>
      </c>
      <c r="E21">
        <v>2623</v>
      </c>
      <c r="G21" s="387">
        <f t="shared" si="0"/>
        <v>0.15296703296703296</v>
      </c>
    </row>
    <row r="22" spans="1:7">
      <c r="A22" s="386" t="s">
        <v>33</v>
      </c>
      <c r="B22">
        <v>565</v>
      </c>
      <c r="C22">
        <v>549</v>
      </c>
      <c r="D22">
        <v>581</v>
      </c>
      <c r="E22">
        <v>583</v>
      </c>
      <c r="G22" s="387">
        <f t="shared" si="0"/>
        <v>3.1858407079646017E-2</v>
      </c>
    </row>
    <row r="23" spans="1:7">
      <c r="A23" s="386" t="s">
        <v>34</v>
      </c>
      <c r="B23">
        <v>2291</v>
      </c>
      <c r="C23">
        <v>2265</v>
      </c>
      <c r="D23">
        <v>2379</v>
      </c>
      <c r="E23">
        <v>2656</v>
      </c>
      <c r="G23" s="387">
        <f t="shared" si="0"/>
        <v>0.15931907463989525</v>
      </c>
    </row>
    <row r="24" spans="1:7">
      <c r="A24" s="386" t="s">
        <v>35</v>
      </c>
      <c r="B24">
        <v>8274</v>
      </c>
      <c r="C24">
        <v>8013</v>
      </c>
      <c r="D24">
        <v>8505</v>
      </c>
      <c r="E24">
        <v>9208</v>
      </c>
      <c r="G24" s="387">
        <f t="shared" si="0"/>
        <v>0.11288373217307228</v>
      </c>
    </row>
    <row r="25" spans="1:7">
      <c r="A25" s="386" t="s">
        <v>36</v>
      </c>
      <c r="B25">
        <v>555</v>
      </c>
      <c r="C25">
        <v>512</v>
      </c>
      <c r="D25">
        <v>553</v>
      </c>
      <c r="E25">
        <v>603</v>
      </c>
      <c r="G25" s="387">
        <f t="shared" si="0"/>
        <v>8.6486486486486491E-2</v>
      </c>
    </row>
    <row r="26" spans="1:7">
      <c r="A26" s="386" t="s">
        <v>37</v>
      </c>
      <c r="B26">
        <v>4363</v>
      </c>
      <c r="C26">
        <v>3864</v>
      </c>
      <c r="D26">
        <v>4149</v>
      </c>
      <c r="E26">
        <v>4454</v>
      </c>
      <c r="G26" s="387">
        <f t="shared" si="0"/>
        <v>2.0857208342883338E-2</v>
      </c>
    </row>
    <row r="27" spans="1:7">
      <c r="A27" s="386" t="s">
        <v>38</v>
      </c>
      <c r="B27">
        <v>4492</v>
      </c>
      <c r="C27">
        <v>4348</v>
      </c>
      <c r="D27">
        <v>4796</v>
      </c>
      <c r="E27">
        <v>4857</v>
      </c>
      <c r="G27" s="387">
        <f t="shared" si="0"/>
        <v>8.125556544968833E-2</v>
      </c>
    </row>
    <row r="28" spans="1:7">
      <c r="A28" s="386" t="s">
        <v>39</v>
      </c>
      <c r="B28">
        <v>2422</v>
      </c>
      <c r="C28">
        <v>2335</v>
      </c>
      <c r="D28">
        <v>2512</v>
      </c>
      <c r="E28">
        <v>2506</v>
      </c>
      <c r="G28" s="387">
        <f t="shared" si="0"/>
        <v>3.4682080924855488E-2</v>
      </c>
    </row>
    <row r="29" spans="1:7">
      <c r="A29" s="386" t="s">
        <v>40</v>
      </c>
      <c r="B29">
        <v>810</v>
      </c>
      <c r="C29">
        <v>739</v>
      </c>
      <c r="D29">
        <v>759</v>
      </c>
      <c r="E29">
        <v>770</v>
      </c>
      <c r="G29" s="387">
        <f t="shared" si="0"/>
        <v>-4.9382716049382713E-2</v>
      </c>
    </row>
    <row r="30" spans="1:7">
      <c r="A30" s="386" t="s">
        <v>41</v>
      </c>
      <c r="B30">
        <v>2446</v>
      </c>
      <c r="C30">
        <v>2168</v>
      </c>
      <c r="D30">
        <v>2263</v>
      </c>
      <c r="E30">
        <v>2552</v>
      </c>
      <c r="G30" s="387">
        <f t="shared" si="0"/>
        <v>4.3336058871627149E-2</v>
      </c>
    </row>
    <row r="31" spans="1:7">
      <c r="A31" s="386" t="s">
        <v>42</v>
      </c>
      <c r="B31">
        <v>6881</v>
      </c>
      <c r="C31">
        <v>6476</v>
      </c>
      <c r="D31">
        <v>6670</v>
      </c>
      <c r="E31">
        <v>7463</v>
      </c>
      <c r="G31" s="387">
        <f t="shared" si="0"/>
        <v>8.4580729545124259E-2</v>
      </c>
    </row>
    <row r="32" spans="1:7">
      <c r="A32" s="388" t="s">
        <v>235</v>
      </c>
      <c r="B32" s="389">
        <f>SUM(B31,B24)</f>
        <v>15155</v>
      </c>
      <c r="C32" s="389">
        <f t="shared" ref="C32:E32" si="1">SUM(C31,C24)</f>
        <v>14489</v>
      </c>
      <c r="D32" s="389">
        <f t="shared" si="1"/>
        <v>15175</v>
      </c>
      <c r="E32" s="389">
        <f t="shared" si="1"/>
        <v>16671</v>
      </c>
      <c r="G32" s="387">
        <f t="shared" si="0"/>
        <v>0.10003299241174529</v>
      </c>
    </row>
    <row r="33" spans="1:7">
      <c r="A33" s="386" t="s">
        <v>43</v>
      </c>
      <c r="B33">
        <v>2580</v>
      </c>
      <c r="C33">
        <v>2408</v>
      </c>
      <c r="D33">
        <v>2667</v>
      </c>
      <c r="E33">
        <v>2778</v>
      </c>
      <c r="G33" s="387">
        <f t="shared" si="0"/>
        <v>7.6744186046511634E-2</v>
      </c>
    </row>
    <row r="34" spans="1:7">
      <c r="A34" s="386" t="s">
        <v>44</v>
      </c>
      <c r="B34">
        <v>1916</v>
      </c>
      <c r="C34">
        <v>1756</v>
      </c>
      <c r="D34">
        <v>1878</v>
      </c>
      <c r="E34">
        <v>2029</v>
      </c>
      <c r="G34" s="387">
        <f t="shared" si="0"/>
        <v>5.8977035490605428E-2</v>
      </c>
    </row>
    <row r="35" spans="1:7">
      <c r="A35" s="386" t="s">
        <v>45</v>
      </c>
      <c r="B35">
        <v>4808</v>
      </c>
      <c r="C35">
        <v>4737</v>
      </c>
      <c r="D35">
        <v>5173</v>
      </c>
      <c r="E35">
        <v>5791</v>
      </c>
      <c r="G35" s="387">
        <f t="shared" si="0"/>
        <v>0.20445091514143096</v>
      </c>
    </row>
    <row r="36" spans="1:7">
      <c r="G36" s="387"/>
    </row>
    <row r="37" spans="1:7">
      <c r="A37" s="386" t="s">
        <v>48</v>
      </c>
      <c r="B37" s="390">
        <v>47503</v>
      </c>
      <c r="C37" s="390">
        <v>45525</v>
      </c>
      <c r="D37" s="390">
        <v>48979</v>
      </c>
      <c r="E37" s="390">
        <v>53368</v>
      </c>
      <c r="G37" s="387">
        <f t="shared" si="0"/>
        <v>0.12346588636507168</v>
      </c>
    </row>
    <row r="38" spans="1:7">
      <c r="A38" s="10" t="s">
        <v>156</v>
      </c>
      <c r="B38" s="15" cm="1">
        <f t="array" ref="B38">SUM(SUMIFS(B$3:B$35,$A$3:$A$35,{"Aberdeen City","Aberdeenshire"}))</f>
        <v>16932</v>
      </c>
      <c r="C38" s="15" cm="1">
        <f t="array" ref="C38">SUM(SUMIFS(C$3:C$35,$A$3:$A$35,{"Aberdeen City","Aberdeenshire"}))</f>
        <v>15383</v>
      </c>
      <c r="D38" s="15" cm="1">
        <f t="array" ref="D38">SUM(SUMIFS(D$3:D$35,$A$3:$A$35,{"Aberdeen City","Aberdeenshire"}))</f>
        <v>16089</v>
      </c>
      <c r="E38" s="15" cm="1">
        <f t="array" ref="E38">SUM(SUMIFS(E$3:E$35,$A$3:$A$35,{"Aberdeen City","Aberdeenshire"}))</f>
        <v>17906</v>
      </c>
      <c r="G38" s="387">
        <f t="shared" si="0"/>
        <v>5.7524214505079142E-2</v>
      </c>
    </row>
    <row r="39" spans="1:7">
      <c r="A39" s="10" t="s">
        <v>359</v>
      </c>
      <c r="B39" s="15" cm="1">
        <f t="array" ref="B39">SUM(SUMIFS(B$3:B$35,$A$3:$A$35,{"Falkirk","Stirling","Clackmannanshire"}))</f>
        <v>7666</v>
      </c>
      <c r="C39" s="15" cm="1">
        <f t="array" ref="C39">SUM(SUMIFS(C$3:C$35,$A$3:$A$35,{"Falkirk","Stirling","Clackmannanshire"}))</f>
        <v>7231</v>
      </c>
      <c r="D39" s="15" cm="1">
        <f t="array" ref="D39">SUM(SUMIFS(D$3:D$35,$A$3:$A$35,{"Falkirk","Stirling","Clackmannanshire"}))</f>
        <v>7899</v>
      </c>
      <c r="E39" s="15" cm="1">
        <f t="array" ref="E39">SUM(SUMIFS(E$3:E$35,$A$3:$A$35,{"Falkirk","Stirling","Clackmannanshire"}))</f>
        <v>8228</v>
      </c>
      <c r="G39" s="387">
        <f t="shared" ref="G39" si="2">SUM(E39-B39)/B39</f>
        <v>7.3310722671536654E-2</v>
      </c>
    </row>
    <row r="40" spans="1:7">
      <c r="A40" s="10" t="s">
        <v>157</v>
      </c>
      <c r="B40" s="125" cm="1">
        <f t="array" ref="B40">SUM(SUMIFS(B$3:B$35,$A$3:$A$35,{"East Lothian","Edinburgh, City of","Fife","Midlothian","Scottish Borders","West Lothian"}))</f>
        <v>43770</v>
      </c>
      <c r="C40" s="125" cm="1">
        <f t="array" ref="C40">SUM(SUMIFS(C$3:C$35,$A$3:$A$35,{"East Lothian","Edinburgh, City of","Fife","Midlothian","Scottish Borders","West Lothian"}))</f>
        <v>41772</v>
      </c>
      <c r="D40" s="125" cm="1">
        <f t="array" ref="D40">SUM(SUMIFS(D$3:D$35,$A$3:$A$35,{"East Lothian","Edinburgh, City of","Fife","Midlothian","Scottish Borders","West Lothian"}))</f>
        <v>45623</v>
      </c>
      <c r="E40" s="125" cm="1">
        <f t="array" ref="E40">SUM(SUMIFS(E$3:E$35,$A$3:$A$35,{"East Lothian","Edinburgh, City of","Fife","Midlothian","Scottish Borders","West Lothian"}))</f>
        <v>50335</v>
      </c>
      <c r="G40" s="387">
        <f t="shared" ref="G40:G47" si="3">SUM(E40-B40)/B40</f>
        <v>0.14998857665067397</v>
      </c>
    </row>
    <row r="41" spans="1:7">
      <c r="A41" s="10" t="s">
        <v>158</v>
      </c>
      <c r="B41" s="125" cm="1">
        <f t="array" ref="B41">SUM(SUMIFS(B$3:B$35,$A$3:$A$35,{"Angus","Dundee City","Fife","Perth and Kinross"}))</f>
        <v>17443</v>
      </c>
      <c r="C41" s="125" cm="1">
        <f t="array" ref="C41">SUM(SUMIFS(C$3:C$35,$A$3:$A$35,{"Angus","Dundee City","Fife","Perth and Kinross"}))</f>
        <v>16468</v>
      </c>
      <c r="D41" s="125" cm="1">
        <f t="array" ref="D41">SUM(SUMIFS(D$3:D$35,$A$3:$A$35,{"Angus","Dundee City","Fife","Perth and Kinross"}))</f>
        <v>17744</v>
      </c>
      <c r="E41" s="125" cm="1">
        <f t="array" ref="E41">SUM(SUMIFS(E$3:E$35,$A$3:$A$35,{"Angus","Dundee City","Fife","Perth and Kinross"}))</f>
        <v>19223</v>
      </c>
      <c r="G41" s="387">
        <f t="shared" si="3"/>
        <v>0.10204666628446941</v>
      </c>
    </row>
    <row r="42" spans="1:7">
      <c r="A42" s="10" t="s">
        <v>246</v>
      </c>
      <c r="B42" s="125">
        <f>AVERAGE(AVERAGEIFS(B$3:B$35,$A$3:$A$35,{"Na h-Eileanan Siar","Argyll and Bute","Shetland Islands","Highland","Orkney Islands","Scottish Borders","Dumfries and Galloway","Aberdeenshire"}))</f>
        <v>2886.375</v>
      </c>
      <c r="C42" s="125">
        <f>AVERAGE(AVERAGEIFS(C$3:C$35,$A$3:$A$35,{"Na h-Eileanan Siar","Argyll and Bute","Shetland Islands","Highland","Orkney Islands","Scottish Borders","Dumfries and Galloway","Aberdeenshire"}))</f>
        <v>2697.375</v>
      </c>
      <c r="D42" s="125">
        <f>AVERAGE(AVERAGEIFS(D$3:D$35,$A$3:$A$35,{"Na h-Eileanan Siar","Argyll and Bute","Shetland Islands","Highland","Orkney Islands","Scottish Borders","Dumfries and Galloway","Aberdeenshire"}))</f>
        <v>2871.25</v>
      </c>
      <c r="E42" s="125">
        <f>AVERAGE(AVERAGEIFS(E$3:E$35,$A$3:$A$35,{"Na h-Eileanan Siar","Argyll and Bute","Shetland Islands","Highland","Orkney Islands","Scottish Borders","Dumfries and Galloway","Aberdeenshire"}))</f>
        <v>3080.375</v>
      </c>
      <c r="G42" s="387">
        <f t="shared" si="3"/>
        <v>6.721233380970941E-2</v>
      </c>
    </row>
    <row r="43" spans="1:7">
      <c r="A43" s="10" t="s">
        <v>247</v>
      </c>
      <c r="B43" s="125">
        <f>AVERAGE(AVERAGEIFS(B$3:B$35,$A$3:$A$35,{"Perth and Kinross","Stirling","Moray","South Ayrshire","East Ayrshire","East Lothian","North Ayrshire","Fife"}))</f>
        <v>3125.375</v>
      </c>
      <c r="C43" s="125">
        <f>AVERAGE(AVERAGEIFS(C$3:C$35,$A$3:$A$35,{"Perth and Kinross","Stirling","Moray","South Ayrshire","East Ayrshire","East Lothian","North Ayrshire","Fife"}))</f>
        <v>2956</v>
      </c>
      <c r="D43" s="125">
        <f>AVERAGE(AVERAGEIFS(D$3:D$35,$A$3:$A$35,{"Perth and Kinross","Stirling","Moray","South Ayrshire","East Ayrshire","East Lothian","North Ayrshire","Fife"}))</f>
        <v>3177.75</v>
      </c>
      <c r="E43" s="125">
        <f>AVERAGE(AVERAGEIFS(E$3:E$35,$A$3:$A$35,{"Perth and Kinross","Stirling","Moray","South Ayrshire","East Ayrshire","East Lothian","North Ayrshire","Fife"}))</f>
        <v>3467.75</v>
      </c>
      <c r="G43" s="387">
        <f t="shared" si="3"/>
        <v>0.1095468543774747</v>
      </c>
    </row>
    <row r="44" spans="1:7">
      <c r="A44" s="10" t="s">
        <v>248</v>
      </c>
      <c r="B44" s="125">
        <f>AVERAGE(AVERAGEIFS(B$3:B$35,$A$3:$A$35,{"Angus","Clackmannanshire","Midlothian","South Lanarkshire","Inverclyde","Renfrewshire","West Lothian","East Renfrewshire"}))</f>
        <v>2908.625</v>
      </c>
      <c r="C44" s="125">
        <f>AVERAGE(AVERAGEIFS(C$3:C$35,$A$3:$A$35,{"Angus","Clackmannanshire","Midlothian","South Lanarkshire","Inverclyde","Renfrewshire","West Lothian","East Renfrewshire"}))</f>
        <v>2776.375</v>
      </c>
      <c r="D44" s="125">
        <f>AVERAGE(AVERAGEIFS(D$3:D$35,$A$3:$A$35,{"Angus","Clackmannanshire","Midlothian","South Lanarkshire","Inverclyde","Renfrewshire","West Lothian","East Renfrewshire"}))</f>
        <v>2995</v>
      </c>
      <c r="E44" s="125">
        <f>AVERAGE(AVERAGEIFS(E$3:E$35,$A$3:$A$35,{"Angus","Clackmannanshire","Midlothian","South Lanarkshire","Inverclyde","Renfrewshire","West Lothian","East Renfrewshire"}))</f>
        <v>3244.375</v>
      </c>
      <c r="G44" s="387">
        <f t="shared" si="3"/>
        <v>0.11543254974429498</v>
      </c>
    </row>
    <row r="45" spans="1:7">
      <c r="A45" s="10" t="s">
        <v>249</v>
      </c>
      <c r="B45" s="125">
        <f>AVERAGE(AVERAGEIFS(B$3:B$35,$A$3:$A$35,{"North Lanarkshire","Falkirk","East Dunbartonshire","Aberdeen City","Edinburgh, City of","West Dunbartonshire","Dundee City","Glasgow City"}))</f>
        <v>9692.75</v>
      </c>
      <c r="C45" s="125">
        <f>AVERAGE(AVERAGEIFS(C$3:C$35,$A$3:$A$35,{"North Lanarkshire","Falkirk","East Dunbartonshire","Aberdeen City","Edinburgh, City of","West Dunbartonshire","Dundee City","Glasgow City"}))</f>
        <v>9160.625</v>
      </c>
      <c r="D45" s="125">
        <f>AVERAGE(AVERAGEIFS(D$3:D$35,$A$3:$A$35,{"North Lanarkshire","Falkirk","East Dunbartonshire","Aberdeen City","Edinburgh, City of","West Dunbartonshire","Dundee City","Glasgow City"}))</f>
        <v>9893.375</v>
      </c>
      <c r="E45" s="125">
        <f>AVERAGE(AVERAGEIFS(E$3:E$35,$A$3:$A$35,{"North Lanarkshire","Falkirk","East Dunbartonshire","Aberdeen City","Edinburgh, City of","West Dunbartonshire","Dundee City","Glasgow City"}))</f>
        <v>10921.875</v>
      </c>
      <c r="G45" s="387">
        <f t="shared" si="3"/>
        <v>0.12680869722215057</v>
      </c>
    </row>
    <row r="46" spans="1:7">
      <c r="A46" s="386" t="s">
        <v>46</v>
      </c>
      <c r="B46" s="390">
        <v>148903</v>
      </c>
      <c r="C46" s="390">
        <v>140724</v>
      </c>
      <c r="D46" s="390">
        <v>151499</v>
      </c>
      <c r="E46" s="390">
        <v>165714</v>
      </c>
      <c r="G46" s="387">
        <f t="shared" si="3"/>
        <v>0.11289900136330362</v>
      </c>
    </row>
    <row r="47" spans="1:7">
      <c r="A47" s="386" t="s">
        <v>47</v>
      </c>
      <c r="B47" s="390">
        <v>1995708</v>
      </c>
      <c r="C47" s="390">
        <v>1897957</v>
      </c>
      <c r="D47" s="390">
        <v>2046636</v>
      </c>
      <c r="E47" s="390">
        <v>2246047</v>
      </c>
      <c r="G47" s="387">
        <f t="shared" si="3"/>
        <v>0.12543869143181266</v>
      </c>
    </row>
  </sheetData>
  <conditionalFormatting sqref="A1:XFD1048576">
    <cfRule type="expression" dxfId="12" priority="1">
      <formula>_xlfn.ISFORMULA(A1)</formula>
    </cfRule>
  </conditionalFormatting>
  <conditionalFormatting sqref="B42:E45">
    <cfRule type="expression" dxfId="11" priority="2">
      <formula>#REF!="Other"</formula>
    </cfRule>
    <cfRule type="expression" dxfId="10" priority="3">
      <formula>#REF!="UK"</formula>
    </cfRule>
    <cfRule type="expression" dxfId="9" priority="4">
      <formula>#REF!="NUTS2"</formula>
    </cfRule>
    <cfRule type="expression" dxfId="8" priority="5">
      <formula>#REF!="NUTS1"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autoPageBreaks="0"/>
  </sheetPr>
  <dimension ref="A1:XFD660"/>
  <sheetViews>
    <sheetView showGridLines="0" workbookViewId="0">
      <pane xSplit="1" ySplit="5" topLeftCell="B36" activePane="bottomRight" state="frozen"/>
      <selection activeCell="T38" sqref="T38"/>
      <selection pane="topRight" activeCell="T38" sqref="T38"/>
      <selection pane="bottomLeft" activeCell="T38" sqref="T38"/>
      <selection pane="bottomRight" activeCell="I18" sqref="I18"/>
    </sheetView>
  </sheetViews>
  <sheetFormatPr defaultColWidth="9.140625" defaultRowHeight="15" zeroHeight="1"/>
  <cols>
    <col min="1" max="1" width="41.5703125" style="18" bestFit="1" customWidth="1"/>
    <col min="2" max="5" width="10" style="18" customWidth="1"/>
    <col min="6" max="7" width="9.140625" style="18" customWidth="1"/>
    <col min="8" max="16384" width="9.140625" style="18"/>
  </cols>
  <sheetData>
    <row r="1" spans="1:16384" s="392" customFormat="1" ht="15.75">
      <c r="A1" s="391" t="s">
        <v>94</v>
      </c>
    </row>
    <row r="2" spans="1:16384" s="392" customFormat="1" ht="15.75">
      <c r="A2" s="393" t="s">
        <v>91</v>
      </c>
    </row>
    <row r="3" spans="1:16384" s="392" customFormat="1" ht="15.75"/>
    <row r="4" spans="1:16384" s="392" customFormat="1" ht="15.75">
      <c r="A4" s="391"/>
      <c r="B4" s="391">
        <v>2018</v>
      </c>
      <c r="C4" s="391">
        <v>2019</v>
      </c>
      <c r="D4" s="391">
        <v>2020</v>
      </c>
      <c r="E4" s="392">
        <v>2021</v>
      </c>
      <c r="F4" s="392">
        <v>2022</v>
      </c>
    </row>
    <row r="5" spans="1:16384" s="392" customFormat="1" ht="15.75">
      <c r="A5" s="391" t="s">
        <v>90</v>
      </c>
      <c r="B5" s="394" t="s">
        <v>89</v>
      </c>
      <c r="C5" s="394" t="s">
        <v>89</v>
      </c>
      <c r="D5" s="394" t="s">
        <v>89</v>
      </c>
      <c r="E5" s="394" t="s">
        <v>89</v>
      </c>
      <c r="F5" s="394" t="s">
        <v>89</v>
      </c>
      <c r="G5" s="394" t="s">
        <v>89</v>
      </c>
      <c r="H5" s="394" t="s">
        <v>89</v>
      </c>
      <c r="I5" s="394" t="s">
        <v>89</v>
      </c>
      <c r="J5" s="394" t="s">
        <v>89</v>
      </c>
      <c r="K5" s="394" t="s">
        <v>89</v>
      </c>
      <c r="L5" s="394" t="s">
        <v>89</v>
      </c>
      <c r="M5" s="394" t="s">
        <v>89</v>
      </c>
      <c r="N5" s="394" t="s">
        <v>89</v>
      </c>
      <c r="O5" s="394" t="s">
        <v>89</v>
      </c>
      <c r="P5" s="394" t="s">
        <v>89</v>
      </c>
      <c r="Q5" s="394" t="s">
        <v>89</v>
      </c>
      <c r="R5" s="394" t="s">
        <v>89</v>
      </c>
      <c r="S5" s="394" t="s">
        <v>89</v>
      </c>
      <c r="T5" s="394" t="s">
        <v>89</v>
      </c>
      <c r="U5" s="394" t="s">
        <v>89</v>
      </c>
      <c r="V5" s="394" t="s">
        <v>89</v>
      </c>
      <c r="W5" s="394" t="s">
        <v>89</v>
      </c>
      <c r="X5" s="394" t="s">
        <v>89</v>
      </c>
      <c r="Y5" s="394" t="s">
        <v>89</v>
      </c>
      <c r="Z5" s="394" t="s">
        <v>89</v>
      </c>
      <c r="AA5" s="394" t="s">
        <v>89</v>
      </c>
      <c r="AB5" s="394" t="s">
        <v>89</v>
      </c>
      <c r="AC5" s="394" t="s">
        <v>89</v>
      </c>
      <c r="AD5" s="394" t="s">
        <v>89</v>
      </c>
      <c r="AE5" s="394" t="s">
        <v>89</v>
      </c>
      <c r="AF5" s="394" t="s">
        <v>89</v>
      </c>
      <c r="AG5" s="394" t="s">
        <v>89</v>
      </c>
      <c r="AH5" s="394" t="s">
        <v>89</v>
      </c>
      <c r="AI5" s="394" t="s">
        <v>89</v>
      </c>
      <c r="AJ5" s="394" t="s">
        <v>89</v>
      </c>
      <c r="AK5" s="394" t="s">
        <v>89</v>
      </c>
      <c r="AL5" s="394" t="s">
        <v>89</v>
      </c>
      <c r="AM5" s="394" t="s">
        <v>89</v>
      </c>
      <c r="AN5" s="394" t="s">
        <v>89</v>
      </c>
      <c r="AO5" s="394" t="s">
        <v>89</v>
      </c>
      <c r="AP5" s="394" t="s">
        <v>89</v>
      </c>
      <c r="AQ5" s="394" t="s">
        <v>89</v>
      </c>
      <c r="AR5" s="394" t="s">
        <v>89</v>
      </c>
      <c r="AS5" s="394" t="s">
        <v>89</v>
      </c>
      <c r="AT5" s="394" t="s">
        <v>89</v>
      </c>
      <c r="AU5" s="394" t="s">
        <v>89</v>
      </c>
      <c r="AV5" s="394" t="s">
        <v>89</v>
      </c>
      <c r="AW5" s="394" t="s">
        <v>89</v>
      </c>
      <c r="AX5" s="394" t="s">
        <v>89</v>
      </c>
      <c r="AY5" s="394" t="s">
        <v>89</v>
      </c>
      <c r="AZ5" s="394" t="s">
        <v>89</v>
      </c>
      <c r="BA5" s="394" t="s">
        <v>89</v>
      </c>
      <c r="BB5" s="394" t="s">
        <v>89</v>
      </c>
      <c r="BC5" s="394" t="s">
        <v>89</v>
      </c>
      <c r="BD5" s="394" t="s">
        <v>89</v>
      </c>
      <c r="BE5" s="394" t="s">
        <v>89</v>
      </c>
      <c r="BF5" s="394" t="s">
        <v>89</v>
      </c>
      <c r="BG5" s="394" t="s">
        <v>89</v>
      </c>
      <c r="BH5" s="394" t="s">
        <v>89</v>
      </c>
      <c r="BI5" s="394" t="s">
        <v>89</v>
      </c>
      <c r="BJ5" s="394" t="s">
        <v>89</v>
      </c>
      <c r="BK5" s="394" t="s">
        <v>89</v>
      </c>
      <c r="BL5" s="394" t="s">
        <v>89</v>
      </c>
      <c r="BM5" s="394" t="s">
        <v>89</v>
      </c>
      <c r="BN5" s="394" t="s">
        <v>89</v>
      </c>
      <c r="BO5" s="394" t="s">
        <v>89</v>
      </c>
      <c r="BP5" s="394" t="s">
        <v>89</v>
      </c>
      <c r="BQ5" s="394" t="s">
        <v>89</v>
      </c>
      <c r="BR5" s="394" t="s">
        <v>89</v>
      </c>
      <c r="BS5" s="394" t="s">
        <v>89</v>
      </c>
      <c r="BT5" s="394" t="s">
        <v>89</v>
      </c>
      <c r="BU5" s="394" t="s">
        <v>89</v>
      </c>
      <c r="BV5" s="394" t="s">
        <v>89</v>
      </c>
      <c r="BW5" s="394" t="s">
        <v>89</v>
      </c>
      <c r="BX5" s="394" t="s">
        <v>89</v>
      </c>
      <c r="BY5" s="394" t="s">
        <v>89</v>
      </c>
      <c r="BZ5" s="394" t="s">
        <v>89</v>
      </c>
      <c r="CA5" s="394" t="s">
        <v>89</v>
      </c>
      <c r="CB5" s="394" t="s">
        <v>89</v>
      </c>
      <c r="CC5" s="394" t="s">
        <v>89</v>
      </c>
      <c r="CD5" s="394" t="s">
        <v>89</v>
      </c>
      <c r="CE5" s="394" t="s">
        <v>89</v>
      </c>
      <c r="CF5" s="394" t="s">
        <v>89</v>
      </c>
      <c r="CG5" s="394" t="s">
        <v>89</v>
      </c>
      <c r="CH5" s="394" t="s">
        <v>89</v>
      </c>
      <c r="CI5" s="394" t="s">
        <v>89</v>
      </c>
      <c r="CJ5" s="394" t="s">
        <v>89</v>
      </c>
      <c r="CK5" s="394" t="s">
        <v>89</v>
      </c>
      <c r="CL5" s="394" t="s">
        <v>89</v>
      </c>
      <c r="CM5" s="394" t="s">
        <v>89</v>
      </c>
      <c r="CN5" s="394" t="s">
        <v>89</v>
      </c>
      <c r="CO5" s="394" t="s">
        <v>89</v>
      </c>
      <c r="CP5" s="394" t="s">
        <v>89</v>
      </c>
      <c r="CQ5" s="394" t="s">
        <v>89</v>
      </c>
      <c r="CR5" s="394" t="s">
        <v>89</v>
      </c>
      <c r="CS5" s="394" t="s">
        <v>89</v>
      </c>
      <c r="CT5" s="394" t="s">
        <v>89</v>
      </c>
      <c r="CU5" s="394" t="s">
        <v>89</v>
      </c>
      <c r="CV5" s="394" t="s">
        <v>89</v>
      </c>
      <c r="CW5" s="394" t="s">
        <v>89</v>
      </c>
      <c r="CX5" s="394" t="s">
        <v>89</v>
      </c>
      <c r="CY5" s="394" t="s">
        <v>89</v>
      </c>
      <c r="CZ5" s="394" t="s">
        <v>89</v>
      </c>
      <c r="DA5" s="394" t="s">
        <v>89</v>
      </c>
      <c r="DB5" s="394" t="s">
        <v>89</v>
      </c>
      <c r="DC5" s="394" t="s">
        <v>89</v>
      </c>
      <c r="DD5" s="394" t="s">
        <v>89</v>
      </c>
      <c r="DE5" s="394" t="s">
        <v>89</v>
      </c>
      <c r="DF5" s="394" t="s">
        <v>89</v>
      </c>
      <c r="DG5" s="394" t="s">
        <v>89</v>
      </c>
      <c r="DH5" s="394" t="s">
        <v>89</v>
      </c>
      <c r="DI5" s="394" t="s">
        <v>89</v>
      </c>
      <c r="DJ5" s="394" t="s">
        <v>89</v>
      </c>
      <c r="DK5" s="394" t="s">
        <v>89</v>
      </c>
      <c r="DL5" s="394" t="s">
        <v>89</v>
      </c>
      <c r="DM5" s="394" t="s">
        <v>89</v>
      </c>
      <c r="DN5" s="394" t="s">
        <v>89</v>
      </c>
      <c r="DO5" s="394" t="s">
        <v>89</v>
      </c>
      <c r="DP5" s="394" t="s">
        <v>89</v>
      </c>
      <c r="DQ5" s="394" t="s">
        <v>89</v>
      </c>
      <c r="DR5" s="394" t="s">
        <v>89</v>
      </c>
      <c r="DS5" s="394" t="s">
        <v>89</v>
      </c>
      <c r="DT5" s="394" t="s">
        <v>89</v>
      </c>
      <c r="DU5" s="394" t="s">
        <v>89</v>
      </c>
      <c r="DV5" s="394" t="s">
        <v>89</v>
      </c>
      <c r="DW5" s="394" t="s">
        <v>89</v>
      </c>
      <c r="DX5" s="394" t="s">
        <v>89</v>
      </c>
      <c r="DY5" s="394" t="s">
        <v>89</v>
      </c>
      <c r="DZ5" s="394" t="s">
        <v>89</v>
      </c>
      <c r="EA5" s="394" t="s">
        <v>89</v>
      </c>
      <c r="EB5" s="394" t="s">
        <v>89</v>
      </c>
      <c r="EC5" s="394" t="s">
        <v>89</v>
      </c>
      <c r="ED5" s="394" t="s">
        <v>89</v>
      </c>
      <c r="EE5" s="394" t="s">
        <v>89</v>
      </c>
      <c r="EF5" s="394" t="s">
        <v>89</v>
      </c>
      <c r="EG5" s="394" t="s">
        <v>89</v>
      </c>
      <c r="EH5" s="394" t="s">
        <v>89</v>
      </c>
      <c r="EI5" s="394" t="s">
        <v>89</v>
      </c>
      <c r="EJ5" s="394" t="s">
        <v>89</v>
      </c>
      <c r="EK5" s="394" t="s">
        <v>89</v>
      </c>
      <c r="EL5" s="394" t="s">
        <v>89</v>
      </c>
      <c r="EM5" s="394" t="s">
        <v>89</v>
      </c>
      <c r="EN5" s="394" t="s">
        <v>89</v>
      </c>
      <c r="EO5" s="394" t="s">
        <v>89</v>
      </c>
      <c r="EP5" s="394" t="s">
        <v>89</v>
      </c>
      <c r="EQ5" s="394" t="s">
        <v>89</v>
      </c>
      <c r="ER5" s="394" t="s">
        <v>89</v>
      </c>
      <c r="ES5" s="394" t="s">
        <v>89</v>
      </c>
      <c r="ET5" s="394" t="s">
        <v>89</v>
      </c>
      <c r="EU5" s="394" t="s">
        <v>89</v>
      </c>
      <c r="EV5" s="394" t="s">
        <v>89</v>
      </c>
      <c r="EW5" s="394" t="s">
        <v>89</v>
      </c>
      <c r="EX5" s="394" t="s">
        <v>89</v>
      </c>
      <c r="EY5" s="394" t="s">
        <v>89</v>
      </c>
      <c r="EZ5" s="394" t="s">
        <v>89</v>
      </c>
      <c r="FA5" s="394" t="s">
        <v>89</v>
      </c>
      <c r="FB5" s="394" t="s">
        <v>89</v>
      </c>
      <c r="FC5" s="394" t="s">
        <v>89</v>
      </c>
      <c r="FD5" s="394" t="s">
        <v>89</v>
      </c>
      <c r="FE5" s="394" t="s">
        <v>89</v>
      </c>
      <c r="FF5" s="394" t="s">
        <v>89</v>
      </c>
      <c r="FG5" s="394" t="s">
        <v>89</v>
      </c>
      <c r="FH5" s="394" t="s">
        <v>89</v>
      </c>
      <c r="FI5" s="394" t="s">
        <v>89</v>
      </c>
      <c r="FJ5" s="394" t="s">
        <v>89</v>
      </c>
      <c r="FK5" s="394" t="s">
        <v>89</v>
      </c>
      <c r="FL5" s="394" t="s">
        <v>89</v>
      </c>
      <c r="FM5" s="394" t="s">
        <v>89</v>
      </c>
      <c r="FN5" s="394" t="s">
        <v>89</v>
      </c>
      <c r="FO5" s="394" t="s">
        <v>89</v>
      </c>
      <c r="FP5" s="394" t="s">
        <v>89</v>
      </c>
      <c r="FQ5" s="394" t="s">
        <v>89</v>
      </c>
      <c r="FR5" s="394" t="s">
        <v>89</v>
      </c>
      <c r="FS5" s="394" t="s">
        <v>89</v>
      </c>
      <c r="FT5" s="394" t="s">
        <v>89</v>
      </c>
      <c r="FU5" s="394" t="s">
        <v>89</v>
      </c>
      <c r="FV5" s="394" t="s">
        <v>89</v>
      </c>
      <c r="FW5" s="394" t="s">
        <v>89</v>
      </c>
      <c r="FX5" s="394" t="s">
        <v>89</v>
      </c>
      <c r="FY5" s="394" t="s">
        <v>89</v>
      </c>
      <c r="FZ5" s="394" t="s">
        <v>89</v>
      </c>
      <c r="GA5" s="394" t="s">
        <v>89</v>
      </c>
      <c r="GB5" s="394" t="s">
        <v>89</v>
      </c>
      <c r="GC5" s="394" t="s">
        <v>89</v>
      </c>
      <c r="GD5" s="394" t="s">
        <v>89</v>
      </c>
      <c r="GE5" s="394" t="s">
        <v>89</v>
      </c>
      <c r="GF5" s="394" t="s">
        <v>89</v>
      </c>
      <c r="GG5" s="394" t="s">
        <v>89</v>
      </c>
      <c r="GH5" s="394" t="s">
        <v>89</v>
      </c>
      <c r="GI5" s="394" t="s">
        <v>89</v>
      </c>
      <c r="GJ5" s="394" t="s">
        <v>89</v>
      </c>
      <c r="GK5" s="394" t="s">
        <v>89</v>
      </c>
      <c r="GL5" s="394" t="s">
        <v>89</v>
      </c>
      <c r="GM5" s="394" t="s">
        <v>89</v>
      </c>
      <c r="GN5" s="394" t="s">
        <v>89</v>
      </c>
      <c r="GO5" s="394" t="s">
        <v>89</v>
      </c>
      <c r="GP5" s="394" t="s">
        <v>89</v>
      </c>
      <c r="GQ5" s="394" t="s">
        <v>89</v>
      </c>
      <c r="GR5" s="394" t="s">
        <v>89</v>
      </c>
      <c r="GS5" s="394" t="s">
        <v>89</v>
      </c>
      <c r="GT5" s="394" t="s">
        <v>89</v>
      </c>
      <c r="GU5" s="394" t="s">
        <v>89</v>
      </c>
      <c r="GV5" s="394" t="s">
        <v>89</v>
      </c>
      <c r="GW5" s="394" t="s">
        <v>89</v>
      </c>
      <c r="GX5" s="394" t="s">
        <v>89</v>
      </c>
      <c r="GY5" s="394" t="s">
        <v>89</v>
      </c>
      <c r="GZ5" s="394" t="s">
        <v>89</v>
      </c>
      <c r="HA5" s="394" t="s">
        <v>89</v>
      </c>
      <c r="HB5" s="394" t="s">
        <v>89</v>
      </c>
      <c r="HC5" s="394" t="s">
        <v>89</v>
      </c>
      <c r="HD5" s="394" t="s">
        <v>89</v>
      </c>
      <c r="HE5" s="394" t="s">
        <v>89</v>
      </c>
      <c r="HF5" s="394" t="s">
        <v>89</v>
      </c>
      <c r="HG5" s="394" t="s">
        <v>89</v>
      </c>
      <c r="HH5" s="394" t="s">
        <v>89</v>
      </c>
      <c r="HI5" s="394" t="s">
        <v>89</v>
      </c>
      <c r="HJ5" s="394" t="s">
        <v>89</v>
      </c>
      <c r="HK5" s="394" t="s">
        <v>89</v>
      </c>
      <c r="HL5" s="394" t="s">
        <v>89</v>
      </c>
      <c r="HM5" s="394" t="s">
        <v>89</v>
      </c>
      <c r="HN5" s="394" t="s">
        <v>89</v>
      </c>
      <c r="HO5" s="394" t="s">
        <v>89</v>
      </c>
      <c r="HP5" s="394" t="s">
        <v>89</v>
      </c>
      <c r="HQ5" s="394" t="s">
        <v>89</v>
      </c>
      <c r="HR5" s="394" t="s">
        <v>89</v>
      </c>
      <c r="HS5" s="394" t="s">
        <v>89</v>
      </c>
      <c r="HT5" s="394" t="s">
        <v>89</v>
      </c>
      <c r="HU5" s="394" t="s">
        <v>89</v>
      </c>
      <c r="HV5" s="394" t="s">
        <v>89</v>
      </c>
      <c r="HW5" s="394" t="s">
        <v>89</v>
      </c>
      <c r="HX5" s="394" t="s">
        <v>89</v>
      </c>
      <c r="HY5" s="394" t="s">
        <v>89</v>
      </c>
      <c r="HZ5" s="394" t="s">
        <v>89</v>
      </c>
      <c r="IA5" s="394" t="s">
        <v>89</v>
      </c>
      <c r="IB5" s="394" t="s">
        <v>89</v>
      </c>
      <c r="IC5" s="394" t="s">
        <v>89</v>
      </c>
      <c r="ID5" s="394" t="s">
        <v>89</v>
      </c>
      <c r="IE5" s="394" t="s">
        <v>89</v>
      </c>
      <c r="IF5" s="394" t="s">
        <v>89</v>
      </c>
      <c r="IG5" s="394" t="s">
        <v>89</v>
      </c>
      <c r="IH5" s="394" t="s">
        <v>89</v>
      </c>
      <c r="II5" s="394" t="s">
        <v>89</v>
      </c>
      <c r="IJ5" s="394" t="s">
        <v>89</v>
      </c>
      <c r="IK5" s="394" t="s">
        <v>89</v>
      </c>
      <c r="IL5" s="394" t="s">
        <v>89</v>
      </c>
      <c r="IM5" s="394" t="s">
        <v>89</v>
      </c>
      <c r="IN5" s="394" t="s">
        <v>89</v>
      </c>
      <c r="IO5" s="394" t="s">
        <v>89</v>
      </c>
      <c r="IP5" s="394" t="s">
        <v>89</v>
      </c>
      <c r="IQ5" s="394" t="s">
        <v>89</v>
      </c>
      <c r="IR5" s="394" t="s">
        <v>89</v>
      </c>
      <c r="IS5" s="394" t="s">
        <v>89</v>
      </c>
      <c r="IT5" s="394" t="s">
        <v>89</v>
      </c>
      <c r="IU5" s="394" t="s">
        <v>89</v>
      </c>
      <c r="IV5" s="394" t="s">
        <v>89</v>
      </c>
      <c r="IW5" s="394" t="s">
        <v>89</v>
      </c>
      <c r="IX5" s="394" t="s">
        <v>89</v>
      </c>
      <c r="IY5" s="394" t="s">
        <v>89</v>
      </c>
      <c r="IZ5" s="394" t="s">
        <v>89</v>
      </c>
      <c r="JA5" s="394" t="s">
        <v>89</v>
      </c>
      <c r="JB5" s="394" t="s">
        <v>89</v>
      </c>
      <c r="JC5" s="394" t="s">
        <v>89</v>
      </c>
      <c r="JD5" s="394" t="s">
        <v>89</v>
      </c>
      <c r="JE5" s="394" t="s">
        <v>89</v>
      </c>
      <c r="JF5" s="394" t="s">
        <v>89</v>
      </c>
      <c r="JG5" s="394" t="s">
        <v>89</v>
      </c>
      <c r="JH5" s="394" t="s">
        <v>89</v>
      </c>
      <c r="JI5" s="394" t="s">
        <v>89</v>
      </c>
      <c r="JJ5" s="394" t="s">
        <v>89</v>
      </c>
      <c r="JK5" s="394" t="s">
        <v>89</v>
      </c>
      <c r="JL5" s="394" t="s">
        <v>89</v>
      </c>
      <c r="JM5" s="394" t="s">
        <v>89</v>
      </c>
      <c r="JN5" s="394" t="s">
        <v>89</v>
      </c>
      <c r="JO5" s="394" t="s">
        <v>89</v>
      </c>
      <c r="JP5" s="394" t="s">
        <v>89</v>
      </c>
      <c r="JQ5" s="394" t="s">
        <v>89</v>
      </c>
      <c r="JR5" s="394" t="s">
        <v>89</v>
      </c>
      <c r="JS5" s="394" t="s">
        <v>89</v>
      </c>
      <c r="JT5" s="394" t="s">
        <v>89</v>
      </c>
      <c r="JU5" s="394" t="s">
        <v>89</v>
      </c>
      <c r="JV5" s="394" t="s">
        <v>89</v>
      </c>
      <c r="JW5" s="394" t="s">
        <v>89</v>
      </c>
      <c r="JX5" s="394" t="s">
        <v>89</v>
      </c>
      <c r="JY5" s="394" t="s">
        <v>89</v>
      </c>
      <c r="JZ5" s="394" t="s">
        <v>89</v>
      </c>
      <c r="KA5" s="394" t="s">
        <v>89</v>
      </c>
      <c r="KB5" s="394" t="s">
        <v>89</v>
      </c>
      <c r="KC5" s="394" t="s">
        <v>89</v>
      </c>
      <c r="KD5" s="394" t="s">
        <v>89</v>
      </c>
      <c r="KE5" s="394" t="s">
        <v>89</v>
      </c>
      <c r="KF5" s="394" t="s">
        <v>89</v>
      </c>
      <c r="KG5" s="394" t="s">
        <v>89</v>
      </c>
      <c r="KH5" s="394" t="s">
        <v>89</v>
      </c>
      <c r="KI5" s="394" t="s">
        <v>89</v>
      </c>
      <c r="KJ5" s="394" t="s">
        <v>89</v>
      </c>
      <c r="KK5" s="394" t="s">
        <v>89</v>
      </c>
      <c r="KL5" s="394" t="s">
        <v>89</v>
      </c>
      <c r="KM5" s="394" t="s">
        <v>89</v>
      </c>
      <c r="KN5" s="394" t="s">
        <v>89</v>
      </c>
      <c r="KO5" s="394" t="s">
        <v>89</v>
      </c>
      <c r="KP5" s="394" t="s">
        <v>89</v>
      </c>
      <c r="KQ5" s="394" t="s">
        <v>89</v>
      </c>
      <c r="KR5" s="394" t="s">
        <v>89</v>
      </c>
      <c r="KS5" s="394" t="s">
        <v>89</v>
      </c>
      <c r="KT5" s="394" t="s">
        <v>89</v>
      </c>
      <c r="KU5" s="394" t="s">
        <v>89</v>
      </c>
      <c r="KV5" s="394" t="s">
        <v>89</v>
      </c>
      <c r="KW5" s="394" t="s">
        <v>89</v>
      </c>
      <c r="KX5" s="394" t="s">
        <v>89</v>
      </c>
      <c r="KY5" s="394" t="s">
        <v>89</v>
      </c>
      <c r="KZ5" s="394" t="s">
        <v>89</v>
      </c>
      <c r="LA5" s="394" t="s">
        <v>89</v>
      </c>
      <c r="LB5" s="394" t="s">
        <v>89</v>
      </c>
      <c r="LC5" s="394" t="s">
        <v>89</v>
      </c>
      <c r="LD5" s="394" t="s">
        <v>89</v>
      </c>
      <c r="LE5" s="394" t="s">
        <v>89</v>
      </c>
      <c r="LF5" s="394" t="s">
        <v>89</v>
      </c>
      <c r="LG5" s="394" t="s">
        <v>89</v>
      </c>
      <c r="LH5" s="394" t="s">
        <v>89</v>
      </c>
      <c r="LI5" s="394" t="s">
        <v>89</v>
      </c>
      <c r="LJ5" s="394" t="s">
        <v>89</v>
      </c>
      <c r="LK5" s="394" t="s">
        <v>89</v>
      </c>
      <c r="LL5" s="394" t="s">
        <v>89</v>
      </c>
      <c r="LM5" s="394" t="s">
        <v>89</v>
      </c>
      <c r="LN5" s="394" t="s">
        <v>89</v>
      </c>
      <c r="LO5" s="394" t="s">
        <v>89</v>
      </c>
      <c r="LP5" s="394" t="s">
        <v>89</v>
      </c>
      <c r="LQ5" s="394" t="s">
        <v>89</v>
      </c>
      <c r="LR5" s="394" t="s">
        <v>89</v>
      </c>
      <c r="LS5" s="394" t="s">
        <v>89</v>
      </c>
      <c r="LT5" s="394" t="s">
        <v>89</v>
      </c>
      <c r="LU5" s="394" t="s">
        <v>89</v>
      </c>
      <c r="LV5" s="394" t="s">
        <v>89</v>
      </c>
      <c r="LW5" s="394" t="s">
        <v>89</v>
      </c>
      <c r="LX5" s="394" t="s">
        <v>89</v>
      </c>
      <c r="LY5" s="394" t="s">
        <v>89</v>
      </c>
      <c r="LZ5" s="394" t="s">
        <v>89</v>
      </c>
      <c r="MA5" s="394" t="s">
        <v>89</v>
      </c>
      <c r="MB5" s="394" t="s">
        <v>89</v>
      </c>
      <c r="MC5" s="394" t="s">
        <v>89</v>
      </c>
      <c r="MD5" s="394" t="s">
        <v>89</v>
      </c>
      <c r="ME5" s="394" t="s">
        <v>89</v>
      </c>
      <c r="MF5" s="394" t="s">
        <v>89</v>
      </c>
      <c r="MG5" s="394" t="s">
        <v>89</v>
      </c>
      <c r="MH5" s="394" t="s">
        <v>89</v>
      </c>
      <c r="MI5" s="394" t="s">
        <v>89</v>
      </c>
      <c r="MJ5" s="394" t="s">
        <v>89</v>
      </c>
      <c r="MK5" s="394" t="s">
        <v>89</v>
      </c>
      <c r="ML5" s="394" t="s">
        <v>89</v>
      </c>
      <c r="MM5" s="394" t="s">
        <v>89</v>
      </c>
      <c r="MN5" s="394" t="s">
        <v>89</v>
      </c>
      <c r="MO5" s="394" t="s">
        <v>89</v>
      </c>
      <c r="MP5" s="394" t="s">
        <v>89</v>
      </c>
      <c r="MQ5" s="394" t="s">
        <v>89</v>
      </c>
      <c r="MR5" s="394" t="s">
        <v>89</v>
      </c>
      <c r="MS5" s="394" t="s">
        <v>89</v>
      </c>
      <c r="MT5" s="394" t="s">
        <v>89</v>
      </c>
      <c r="MU5" s="394" t="s">
        <v>89</v>
      </c>
      <c r="MV5" s="394" t="s">
        <v>89</v>
      </c>
      <c r="MW5" s="394" t="s">
        <v>89</v>
      </c>
      <c r="MX5" s="394" t="s">
        <v>89</v>
      </c>
      <c r="MY5" s="394" t="s">
        <v>89</v>
      </c>
      <c r="MZ5" s="394" t="s">
        <v>89</v>
      </c>
      <c r="NA5" s="394" t="s">
        <v>89</v>
      </c>
      <c r="NB5" s="394" t="s">
        <v>89</v>
      </c>
      <c r="NC5" s="394" t="s">
        <v>89</v>
      </c>
      <c r="ND5" s="394" t="s">
        <v>89</v>
      </c>
      <c r="NE5" s="394" t="s">
        <v>89</v>
      </c>
      <c r="NF5" s="394" t="s">
        <v>89</v>
      </c>
      <c r="NG5" s="394" t="s">
        <v>89</v>
      </c>
      <c r="NH5" s="394" t="s">
        <v>89</v>
      </c>
      <c r="NI5" s="394" t="s">
        <v>89</v>
      </c>
      <c r="NJ5" s="394" t="s">
        <v>89</v>
      </c>
      <c r="NK5" s="394" t="s">
        <v>89</v>
      </c>
      <c r="NL5" s="394" t="s">
        <v>89</v>
      </c>
      <c r="NM5" s="394" t="s">
        <v>89</v>
      </c>
      <c r="NN5" s="394" t="s">
        <v>89</v>
      </c>
      <c r="NO5" s="394" t="s">
        <v>89</v>
      </c>
      <c r="NP5" s="394" t="s">
        <v>89</v>
      </c>
      <c r="NQ5" s="394" t="s">
        <v>89</v>
      </c>
      <c r="NR5" s="394" t="s">
        <v>89</v>
      </c>
      <c r="NS5" s="394" t="s">
        <v>89</v>
      </c>
      <c r="NT5" s="394" t="s">
        <v>89</v>
      </c>
      <c r="NU5" s="394" t="s">
        <v>89</v>
      </c>
      <c r="NV5" s="394" t="s">
        <v>89</v>
      </c>
      <c r="NW5" s="394" t="s">
        <v>89</v>
      </c>
      <c r="NX5" s="394" t="s">
        <v>89</v>
      </c>
      <c r="NY5" s="394" t="s">
        <v>89</v>
      </c>
      <c r="NZ5" s="394" t="s">
        <v>89</v>
      </c>
      <c r="OA5" s="394" t="s">
        <v>89</v>
      </c>
      <c r="OB5" s="394" t="s">
        <v>89</v>
      </c>
      <c r="OC5" s="394" t="s">
        <v>89</v>
      </c>
      <c r="OD5" s="394" t="s">
        <v>89</v>
      </c>
      <c r="OE5" s="394" t="s">
        <v>89</v>
      </c>
      <c r="OF5" s="394" t="s">
        <v>89</v>
      </c>
      <c r="OG5" s="394" t="s">
        <v>89</v>
      </c>
      <c r="OH5" s="394" t="s">
        <v>89</v>
      </c>
      <c r="OI5" s="394" t="s">
        <v>89</v>
      </c>
      <c r="OJ5" s="394" t="s">
        <v>89</v>
      </c>
      <c r="OK5" s="394" t="s">
        <v>89</v>
      </c>
      <c r="OL5" s="394" t="s">
        <v>89</v>
      </c>
      <c r="OM5" s="394" t="s">
        <v>89</v>
      </c>
      <c r="ON5" s="394" t="s">
        <v>89</v>
      </c>
      <c r="OO5" s="394" t="s">
        <v>89</v>
      </c>
      <c r="OP5" s="394" t="s">
        <v>89</v>
      </c>
      <c r="OQ5" s="394" t="s">
        <v>89</v>
      </c>
      <c r="OR5" s="394" t="s">
        <v>89</v>
      </c>
      <c r="OS5" s="394" t="s">
        <v>89</v>
      </c>
      <c r="OT5" s="394" t="s">
        <v>89</v>
      </c>
      <c r="OU5" s="394" t="s">
        <v>89</v>
      </c>
      <c r="OV5" s="394" t="s">
        <v>89</v>
      </c>
      <c r="OW5" s="394" t="s">
        <v>89</v>
      </c>
      <c r="OX5" s="394" t="s">
        <v>89</v>
      </c>
      <c r="OY5" s="394" t="s">
        <v>89</v>
      </c>
      <c r="OZ5" s="394" t="s">
        <v>89</v>
      </c>
      <c r="PA5" s="394" t="s">
        <v>89</v>
      </c>
      <c r="PB5" s="394" t="s">
        <v>89</v>
      </c>
      <c r="PC5" s="394" t="s">
        <v>89</v>
      </c>
      <c r="PD5" s="394" t="s">
        <v>89</v>
      </c>
      <c r="PE5" s="394" t="s">
        <v>89</v>
      </c>
      <c r="PF5" s="394" t="s">
        <v>89</v>
      </c>
      <c r="PG5" s="394" t="s">
        <v>89</v>
      </c>
      <c r="PH5" s="394" t="s">
        <v>89</v>
      </c>
      <c r="PI5" s="394" t="s">
        <v>89</v>
      </c>
      <c r="PJ5" s="394" t="s">
        <v>89</v>
      </c>
      <c r="PK5" s="394" t="s">
        <v>89</v>
      </c>
      <c r="PL5" s="394" t="s">
        <v>89</v>
      </c>
      <c r="PM5" s="394" t="s">
        <v>89</v>
      </c>
      <c r="PN5" s="394" t="s">
        <v>89</v>
      </c>
      <c r="PO5" s="394" t="s">
        <v>89</v>
      </c>
      <c r="PP5" s="394" t="s">
        <v>89</v>
      </c>
      <c r="PQ5" s="394" t="s">
        <v>89</v>
      </c>
      <c r="PR5" s="394" t="s">
        <v>89</v>
      </c>
      <c r="PS5" s="394" t="s">
        <v>89</v>
      </c>
      <c r="PT5" s="394" t="s">
        <v>89</v>
      </c>
      <c r="PU5" s="394" t="s">
        <v>89</v>
      </c>
      <c r="PV5" s="394" t="s">
        <v>89</v>
      </c>
      <c r="PW5" s="394" t="s">
        <v>89</v>
      </c>
      <c r="PX5" s="394" t="s">
        <v>89</v>
      </c>
      <c r="PY5" s="394" t="s">
        <v>89</v>
      </c>
      <c r="PZ5" s="394" t="s">
        <v>89</v>
      </c>
      <c r="QA5" s="394" t="s">
        <v>89</v>
      </c>
      <c r="QB5" s="394" t="s">
        <v>89</v>
      </c>
      <c r="QC5" s="394" t="s">
        <v>89</v>
      </c>
      <c r="QD5" s="394" t="s">
        <v>89</v>
      </c>
      <c r="QE5" s="394" t="s">
        <v>89</v>
      </c>
      <c r="QF5" s="394" t="s">
        <v>89</v>
      </c>
      <c r="QG5" s="394" t="s">
        <v>89</v>
      </c>
      <c r="QH5" s="394" t="s">
        <v>89</v>
      </c>
      <c r="QI5" s="394" t="s">
        <v>89</v>
      </c>
      <c r="QJ5" s="394" t="s">
        <v>89</v>
      </c>
      <c r="QK5" s="394" t="s">
        <v>89</v>
      </c>
      <c r="QL5" s="394" t="s">
        <v>89</v>
      </c>
      <c r="QM5" s="394" t="s">
        <v>89</v>
      </c>
      <c r="QN5" s="394" t="s">
        <v>89</v>
      </c>
      <c r="QO5" s="394" t="s">
        <v>89</v>
      </c>
      <c r="QP5" s="394" t="s">
        <v>89</v>
      </c>
      <c r="QQ5" s="394" t="s">
        <v>89</v>
      </c>
      <c r="QR5" s="394" t="s">
        <v>89</v>
      </c>
      <c r="QS5" s="394" t="s">
        <v>89</v>
      </c>
      <c r="QT5" s="394" t="s">
        <v>89</v>
      </c>
      <c r="QU5" s="394" t="s">
        <v>89</v>
      </c>
      <c r="QV5" s="394" t="s">
        <v>89</v>
      </c>
      <c r="QW5" s="394" t="s">
        <v>89</v>
      </c>
      <c r="QX5" s="394" t="s">
        <v>89</v>
      </c>
      <c r="QY5" s="394" t="s">
        <v>89</v>
      </c>
      <c r="QZ5" s="394" t="s">
        <v>89</v>
      </c>
      <c r="RA5" s="394" t="s">
        <v>89</v>
      </c>
      <c r="RB5" s="394" t="s">
        <v>89</v>
      </c>
      <c r="RC5" s="394" t="s">
        <v>89</v>
      </c>
      <c r="RD5" s="394" t="s">
        <v>89</v>
      </c>
      <c r="RE5" s="394" t="s">
        <v>89</v>
      </c>
      <c r="RF5" s="394" t="s">
        <v>89</v>
      </c>
      <c r="RG5" s="394" t="s">
        <v>89</v>
      </c>
      <c r="RH5" s="394" t="s">
        <v>89</v>
      </c>
      <c r="RI5" s="394" t="s">
        <v>89</v>
      </c>
      <c r="RJ5" s="394" t="s">
        <v>89</v>
      </c>
      <c r="RK5" s="394" t="s">
        <v>89</v>
      </c>
      <c r="RL5" s="394" t="s">
        <v>89</v>
      </c>
      <c r="RM5" s="394" t="s">
        <v>89</v>
      </c>
      <c r="RN5" s="394" t="s">
        <v>89</v>
      </c>
      <c r="RO5" s="394" t="s">
        <v>89</v>
      </c>
      <c r="RP5" s="394" t="s">
        <v>89</v>
      </c>
      <c r="RQ5" s="394" t="s">
        <v>89</v>
      </c>
      <c r="RR5" s="394" t="s">
        <v>89</v>
      </c>
      <c r="RS5" s="394" t="s">
        <v>89</v>
      </c>
      <c r="RT5" s="394" t="s">
        <v>89</v>
      </c>
      <c r="RU5" s="394" t="s">
        <v>89</v>
      </c>
      <c r="RV5" s="394" t="s">
        <v>89</v>
      </c>
      <c r="RW5" s="394" t="s">
        <v>89</v>
      </c>
      <c r="RX5" s="394" t="s">
        <v>89</v>
      </c>
      <c r="RY5" s="394" t="s">
        <v>89</v>
      </c>
      <c r="RZ5" s="394" t="s">
        <v>89</v>
      </c>
      <c r="SA5" s="394" t="s">
        <v>89</v>
      </c>
      <c r="SB5" s="394" t="s">
        <v>89</v>
      </c>
      <c r="SC5" s="394" t="s">
        <v>89</v>
      </c>
      <c r="SD5" s="394" t="s">
        <v>89</v>
      </c>
      <c r="SE5" s="394" t="s">
        <v>89</v>
      </c>
      <c r="SF5" s="394" t="s">
        <v>89</v>
      </c>
      <c r="SG5" s="394" t="s">
        <v>89</v>
      </c>
      <c r="SH5" s="394" t="s">
        <v>89</v>
      </c>
      <c r="SI5" s="394" t="s">
        <v>89</v>
      </c>
      <c r="SJ5" s="394" t="s">
        <v>89</v>
      </c>
      <c r="SK5" s="394" t="s">
        <v>89</v>
      </c>
      <c r="SL5" s="394" t="s">
        <v>89</v>
      </c>
      <c r="SM5" s="394" t="s">
        <v>89</v>
      </c>
      <c r="SN5" s="394" t="s">
        <v>89</v>
      </c>
      <c r="SO5" s="394" t="s">
        <v>89</v>
      </c>
      <c r="SP5" s="394" t="s">
        <v>89</v>
      </c>
      <c r="SQ5" s="394" t="s">
        <v>89</v>
      </c>
      <c r="SR5" s="394" t="s">
        <v>89</v>
      </c>
      <c r="SS5" s="394" t="s">
        <v>89</v>
      </c>
      <c r="ST5" s="394" t="s">
        <v>89</v>
      </c>
      <c r="SU5" s="394" t="s">
        <v>89</v>
      </c>
      <c r="SV5" s="394" t="s">
        <v>89</v>
      </c>
      <c r="SW5" s="394" t="s">
        <v>89</v>
      </c>
      <c r="SX5" s="394" t="s">
        <v>89</v>
      </c>
      <c r="SY5" s="394" t="s">
        <v>89</v>
      </c>
      <c r="SZ5" s="394" t="s">
        <v>89</v>
      </c>
      <c r="TA5" s="394" t="s">
        <v>89</v>
      </c>
      <c r="TB5" s="394" t="s">
        <v>89</v>
      </c>
      <c r="TC5" s="394" t="s">
        <v>89</v>
      </c>
      <c r="TD5" s="394" t="s">
        <v>89</v>
      </c>
      <c r="TE5" s="394" t="s">
        <v>89</v>
      </c>
      <c r="TF5" s="394" t="s">
        <v>89</v>
      </c>
      <c r="TG5" s="394" t="s">
        <v>89</v>
      </c>
      <c r="TH5" s="394" t="s">
        <v>89</v>
      </c>
      <c r="TI5" s="394" t="s">
        <v>89</v>
      </c>
      <c r="TJ5" s="394" t="s">
        <v>89</v>
      </c>
      <c r="TK5" s="394" t="s">
        <v>89</v>
      </c>
      <c r="TL5" s="394" t="s">
        <v>89</v>
      </c>
      <c r="TM5" s="394" t="s">
        <v>89</v>
      </c>
      <c r="TN5" s="394" t="s">
        <v>89</v>
      </c>
      <c r="TO5" s="394" t="s">
        <v>89</v>
      </c>
      <c r="TP5" s="394" t="s">
        <v>89</v>
      </c>
      <c r="TQ5" s="394" t="s">
        <v>89</v>
      </c>
      <c r="TR5" s="394" t="s">
        <v>89</v>
      </c>
      <c r="TS5" s="394" t="s">
        <v>89</v>
      </c>
      <c r="TT5" s="394" t="s">
        <v>89</v>
      </c>
      <c r="TU5" s="394" t="s">
        <v>89</v>
      </c>
      <c r="TV5" s="394" t="s">
        <v>89</v>
      </c>
      <c r="TW5" s="394" t="s">
        <v>89</v>
      </c>
      <c r="TX5" s="394" t="s">
        <v>89</v>
      </c>
      <c r="TY5" s="394" t="s">
        <v>89</v>
      </c>
      <c r="TZ5" s="394" t="s">
        <v>89</v>
      </c>
      <c r="UA5" s="394" t="s">
        <v>89</v>
      </c>
      <c r="UB5" s="394" t="s">
        <v>89</v>
      </c>
      <c r="UC5" s="394" t="s">
        <v>89</v>
      </c>
      <c r="UD5" s="394" t="s">
        <v>89</v>
      </c>
      <c r="UE5" s="394" t="s">
        <v>89</v>
      </c>
      <c r="UF5" s="394" t="s">
        <v>89</v>
      </c>
      <c r="UG5" s="394" t="s">
        <v>89</v>
      </c>
      <c r="UH5" s="394" t="s">
        <v>89</v>
      </c>
      <c r="UI5" s="394" t="s">
        <v>89</v>
      </c>
      <c r="UJ5" s="394" t="s">
        <v>89</v>
      </c>
      <c r="UK5" s="394" t="s">
        <v>89</v>
      </c>
      <c r="UL5" s="394" t="s">
        <v>89</v>
      </c>
      <c r="UM5" s="394" t="s">
        <v>89</v>
      </c>
      <c r="UN5" s="394" t="s">
        <v>89</v>
      </c>
      <c r="UO5" s="394" t="s">
        <v>89</v>
      </c>
      <c r="UP5" s="394" t="s">
        <v>89</v>
      </c>
      <c r="UQ5" s="394" t="s">
        <v>89</v>
      </c>
      <c r="UR5" s="394" t="s">
        <v>89</v>
      </c>
      <c r="US5" s="394" t="s">
        <v>89</v>
      </c>
      <c r="UT5" s="394" t="s">
        <v>89</v>
      </c>
      <c r="UU5" s="394" t="s">
        <v>89</v>
      </c>
      <c r="UV5" s="394" t="s">
        <v>89</v>
      </c>
      <c r="UW5" s="394" t="s">
        <v>89</v>
      </c>
      <c r="UX5" s="394" t="s">
        <v>89</v>
      </c>
      <c r="UY5" s="394" t="s">
        <v>89</v>
      </c>
      <c r="UZ5" s="394" t="s">
        <v>89</v>
      </c>
      <c r="VA5" s="394" t="s">
        <v>89</v>
      </c>
      <c r="VB5" s="394" t="s">
        <v>89</v>
      </c>
      <c r="VC5" s="394" t="s">
        <v>89</v>
      </c>
      <c r="VD5" s="394" t="s">
        <v>89</v>
      </c>
      <c r="VE5" s="394" t="s">
        <v>89</v>
      </c>
      <c r="VF5" s="394" t="s">
        <v>89</v>
      </c>
      <c r="VG5" s="394" t="s">
        <v>89</v>
      </c>
      <c r="VH5" s="394" t="s">
        <v>89</v>
      </c>
      <c r="VI5" s="394" t="s">
        <v>89</v>
      </c>
      <c r="VJ5" s="394" t="s">
        <v>89</v>
      </c>
      <c r="VK5" s="394" t="s">
        <v>89</v>
      </c>
      <c r="VL5" s="394" t="s">
        <v>89</v>
      </c>
      <c r="VM5" s="394" t="s">
        <v>89</v>
      </c>
      <c r="VN5" s="394" t="s">
        <v>89</v>
      </c>
      <c r="VO5" s="394" t="s">
        <v>89</v>
      </c>
      <c r="VP5" s="394" t="s">
        <v>89</v>
      </c>
      <c r="VQ5" s="394" t="s">
        <v>89</v>
      </c>
      <c r="VR5" s="394" t="s">
        <v>89</v>
      </c>
      <c r="VS5" s="394" t="s">
        <v>89</v>
      </c>
      <c r="VT5" s="394" t="s">
        <v>89</v>
      </c>
      <c r="VU5" s="394" t="s">
        <v>89</v>
      </c>
      <c r="VV5" s="394" t="s">
        <v>89</v>
      </c>
      <c r="VW5" s="394" t="s">
        <v>89</v>
      </c>
      <c r="VX5" s="394" t="s">
        <v>89</v>
      </c>
      <c r="VY5" s="394" t="s">
        <v>89</v>
      </c>
      <c r="VZ5" s="394" t="s">
        <v>89</v>
      </c>
      <c r="WA5" s="394" t="s">
        <v>89</v>
      </c>
      <c r="WB5" s="394" t="s">
        <v>89</v>
      </c>
      <c r="WC5" s="394" t="s">
        <v>89</v>
      </c>
      <c r="WD5" s="394" t="s">
        <v>89</v>
      </c>
      <c r="WE5" s="394" t="s">
        <v>89</v>
      </c>
      <c r="WF5" s="394" t="s">
        <v>89</v>
      </c>
      <c r="WG5" s="394" t="s">
        <v>89</v>
      </c>
      <c r="WH5" s="394" t="s">
        <v>89</v>
      </c>
      <c r="WI5" s="394" t="s">
        <v>89</v>
      </c>
      <c r="WJ5" s="394" t="s">
        <v>89</v>
      </c>
      <c r="WK5" s="394" t="s">
        <v>89</v>
      </c>
      <c r="WL5" s="394" t="s">
        <v>89</v>
      </c>
      <c r="WM5" s="394" t="s">
        <v>89</v>
      </c>
      <c r="WN5" s="394" t="s">
        <v>89</v>
      </c>
      <c r="WO5" s="394" t="s">
        <v>89</v>
      </c>
      <c r="WP5" s="394" t="s">
        <v>89</v>
      </c>
      <c r="WQ5" s="394" t="s">
        <v>89</v>
      </c>
      <c r="WR5" s="394" t="s">
        <v>89</v>
      </c>
      <c r="WS5" s="394" t="s">
        <v>89</v>
      </c>
      <c r="WT5" s="394" t="s">
        <v>89</v>
      </c>
      <c r="WU5" s="394" t="s">
        <v>89</v>
      </c>
      <c r="WV5" s="394" t="s">
        <v>89</v>
      </c>
      <c r="WW5" s="394" t="s">
        <v>89</v>
      </c>
      <c r="WX5" s="394" t="s">
        <v>89</v>
      </c>
      <c r="WY5" s="394" t="s">
        <v>89</v>
      </c>
      <c r="WZ5" s="394" t="s">
        <v>89</v>
      </c>
      <c r="XA5" s="394" t="s">
        <v>89</v>
      </c>
      <c r="XB5" s="394" t="s">
        <v>89</v>
      </c>
      <c r="XC5" s="394" t="s">
        <v>89</v>
      </c>
      <c r="XD5" s="394" t="s">
        <v>89</v>
      </c>
      <c r="XE5" s="394" t="s">
        <v>89</v>
      </c>
      <c r="XF5" s="394" t="s">
        <v>89</v>
      </c>
      <c r="XG5" s="394" t="s">
        <v>89</v>
      </c>
      <c r="XH5" s="394" t="s">
        <v>89</v>
      </c>
      <c r="XI5" s="394" t="s">
        <v>89</v>
      </c>
      <c r="XJ5" s="394" t="s">
        <v>89</v>
      </c>
      <c r="XK5" s="394" t="s">
        <v>89</v>
      </c>
      <c r="XL5" s="394" t="s">
        <v>89</v>
      </c>
      <c r="XM5" s="394" t="s">
        <v>89</v>
      </c>
      <c r="XN5" s="394" t="s">
        <v>89</v>
      </c>
      <c r="XO5" s="394" t="s">
        <v>89</v>
      </c>
      <c r="XP5" s="394" t="s">
        <v>89</v>
      </c>
      <c r="XQ5" s="394" t="s">
        <v>89</v>
      </c>
      <c r="XR5" s="394" t="s">
        <v>89</v>
      </c>
      <c r="XS5" s="394" t="s">
        <v>89</v>
      </c>
      <c r="XT5" s="394" t="s">
        <v>89</v>
      </c>
      <c r="XU5" s="394" t="s">
        <v>89</v>
      </c>
      <c r="XV5" s="394" t="s">
        <v>89</v>
      </c>
      <c r="XW5" s="394" t="s">
        <v>89</v>
      </c>
      <c r="XX5" s="394" t="s">
        <v>89</v>
      </c>
      <c r="XY5" s="394" t="s">
        <v>89</v>
      </c>
      <c r="XZ5" s="394" t="s">
        <v>89</v>
      </c>
      <c r="YA5" s="394" t="s">
        <v>89</v>
      </c>
      <c r="YB5" s="394" t="s">
        <v>89</v>
      </c>
      <c r="YC5" s="394" t="s">
        <v>89</v>
      </c>
      <c r="YD5" s="394" t="s">
        <v>89</v>
      </c>
      <c r="YE5" s="394" t="s">
        <v>89</v>
      </c>
      <c r="YF5" s="394" t="s">
        <v>89</v>
      </c>
      <c r="YG5" s="394" t="s">
        <v>89</v>
      </c>
      <c r="YH5" s="394" t="s">
        <v>89</v>
      </c>
      <c r="YI5" s="394" t="s">
        <v>89</v>
      </c>
      <c r="YJ5" s="394" t="s">
        <v>89</v>
      </c>
      <c r="YK5" s="394" t="s">
        <v>89</v>
      </c>
      <c r="YL5" s="394" t="s">
        <v>89</v>
      </c>
      <c r="YM5" s="394" t="s">
        <v>89</v>
      </c>
      <c r="YN5" s="394" t="s">
        <v>89</v>
      </c>
      <c r="YO5" s="394" t="s">
        <v>89</v>
      </c>
      <c r="YP5" s="394" t="s">
        <v>89</v>
      </c>
      <c r="YQ5" s="394" t="s">
        <v>89</v>
      </c>
      <c r="YR5" s="394" t="s">
        <v>89</v>
      </c>
      <c r="YS5" s="394" t="s">
        <v>89</v>
      </c>
      <c r="YT5" s="394" t="s">
        <v>89</v>
      </c>
      <c r="YU5" s="394" t="s">
        <v>89</v>
      </c>
      <c r="YV5" s="394" t="s">
        <v>89</v>
      </c>
      <c r="YW5" s="394" t="s">
        <v>89</v>
      </c>
      <c r="YX5" s="394" t="s">
        <v>89</v>
      </c>
      <c r="YY5" s="394" t="s">
        <v>89</v>
      </c>
      <c r="YZ5" s="394" t="s">
        <v>89</v>
      </c>
      <c r="ZA5" s="394" t="s">
        <v>89</v>
      </c>
      <c r="ZB5" s="394" t="s">
        <v>89</v>
      </c>
      <c r="ZC5" s="394" t="s">
        <v>89</v>
      </c>
      <c r="ZD5" s="394" t="s">
        <v>89</v>
      </c>
      <c r="ZE5" s="394" t="s">
        <v>89</v>
      </c>
      <c r="ZF5" s="394" t="s">
        <v>89</v>
      </c>
      <c r="ZG5" s="394" t="s">
        <v>89</v>
      </c>
      <c r="ZH5" s="394" t="s">
        <v>89</v>
      </c>
      <c r="ZI5" s="394" t="s">
        <v>89</v>
      </c>
      <c r="ZJ5" s="394" t="s">
        <v>89</v>
      </c>
      <c r="ZK5" s="394" t="s">
        <v>89</v>
      </c>
      <c r="ZL5" s="394" t="s">
        <v>89</v>
      </c>
      <c r="ZM5" s="394" t="s">
        <v>89</v>
      </c>
      <c r="ZN5" s="394" t="s">
        <v>89</v>
      </c>
      <c r="ZO5" s="394" t="s">
        <v>89</v>
      </c>
      <c r="ZP5" s="394" t="s">
        <v>89</v>
      </c>
      <c r="ZQ5" s="394" t="s">
        <v>89</v>
      </c>
      <c r="ZR5" s="394" t="s">
        <v>89</v>
      </c>
      <c r="ZS5" s="394" t="s">
        <v>89</v>
      </c>
      <c r="ZT5" s="394" t="s">
        <v>89</v>
      </c>
      <c r="ZU5" s="394" t="s">
        <v>89</v>
      </c>
      <c r="ZV5" s="394" t="s">
        <v>89</v>
      </c>
      <c r="ZW5" s="394" t="s">
        <v>89</v>
      </c>
      <c r="ZX5" s="394" t="s">
        <v>89</v>
      </c>
      <c r="ZY5" s="394" t="s">
        <v>89</v>
      </c>
      <c r="ZZ5" s="394" t="s">
        <v>89</v>
      </c>
      <c r="AAA5" s="394" t="s">
        <v>89</v>
      </c>
      <c r="AAB5" s="394" t="s">
        <v>89</v>
      </c>
      <c r="AAC5" s="394" t="s">
        <v>89</v>
      </c>
      <c r="AAD5" s="394" t="s">
        <v>89</v>
      </c>
      <c r="AAE5" s="394" t="s">
        <v>89</v>
      </c>
      <c r="AAF5" s="394" t="s">
        <v>89</v>
      </c>
      <c r="AAG5" s="394" t="s">
        <v>89</v>
      </c>
      <c r="AAH5" s="394" t="s">
        <v>89</v>
      </c>
      <c r="AAI5" s="394" t="s">
        <v>89</v>
      </c>
      <c r="AAJ5" s="394" t="s">
        <v>89</v>
      </c>
      <c r="AAK5" s="394" t="s">
        <v>89</v>
      </c>
      <c r="AAL5" s="394" t="s">
        <v>89</v>
      </c>
      <c r="AAM5" s="394" t="s">
        <v>89</v>
      </c>
      <c r="AAN5" s="394" t="s">
        <v>89</v>
      </c>
      <c r="AAO5" s="394" t="s">
        <v>89</v>
      </c>
      <c r="AAP5" s="394" t="s">
        <v>89</v>
      </c>
      <c r="AAQ5" s="394" t="s">
        <v>89</v>
      </c>
      <c r="AAR5" s="394" t="s">
        <v>89</v>
      </c>
      <c r="AAS5" s="394" t="s">
        <v>89</v>
      </c>
      <c r="AAT5" s="394" t="s">
        <v>89</v>
      </c>
      <c r="AAU5" s="394" t="s">
        <v>89</v>
      </c>
      <c r="AAV5" s="394" t="s">
        <v>89</v>
      </c>
      <c r="AAW5" s="394" t="s">
        <v>89</v>
      </c>
      <c r="AAX5" s="394" t="s">
        <v>89</v>
      </c>
      <c r="AAY5" s="394" t="s">
        <v>89</v>
      </c>
      <c r="AAZ5" s="394" t="s">
        <v>89</v>
      </c>
      <c r="ABA5" s="394" t="s">
        <v>89</v>
      </c>
      <c r="ABB5" s="394" t="s">
        <v>89</v>
      </c>
      <c r="ABC5" s="394" t="s">
        <v>89</v>
      </c>
      <c r="ABD5" s="394" t="s">
        <v>89</v>
      </c>
      <c r="ABE5" s="394" t="s">
        <v>89</v>
      </c>
      <c r="ABF5" s="394" t="s">
        <v>89</v>
      </c>
      <c r="ABG5" s="394" t="s">
        <v>89</v>
      </c>
      <c r="ABH5" s="394" t="s">
        <v>89</v>
      </c>
      <c r="ABI5" s="394" t="s">
        <v>89</v>
      </c>
      <c r="ABJ5" s="394" t="s">
        <v>89</v>
      </c>
      <c r="ABK5" s="394" t="s">
        <v>89</v>
      </c>
      <c r="ABL5" s="394" t="s">
        <v>89</v>
      </c>
      <c r="ABM5" s="394" t="s">
        <v>89</v>
      </c>
      <c r="ABN5" s="394" t="s">
        <v>89</v>
      </c>
      <c r="ABO5" s="394" t="s">
        <v>89</v>
      </c>
      <c r="ABP5" s="394" t="s">
        <v>89</v>
      </c>
      <c r="ABQ5" s="394" t="s">
        <v>89</v>
      </c>
      <c r="ABR5" s="394" t="s">
        <v>89</v>
      </c>
      <c r="ABS5" s="394" t="s">
        <v>89</v>
      </c>
      <c r="ABT5" s="394" t="s">
        <v>89</v>
      </c>
      <c r="ABU5" s="394" t="s">
        <v>89</v>
      </c>
      <c r="ABV5" s="394" t="s">
        <v>89</v>
      </c>
      <c r="ABW5" s="394" t="s">
        <v>89</v>
      </c>
      <c r="ABX5" s="394" t="s">
        <v>89</v>
      </c>
      <c r="ABY5" s="394" t="s">
        <v>89</v>
      </c>
      <c r="ABZ5" s="394" t="s">
        <v>89</v>
      </c>
      <c r="ACA5" s="394" t="s">
        <v>89</v>
      </c>
      <c r="ACB5" s="394" t="s">
        <v>89</v>
      </c>
      <c r="ACC5" s="394" t="s">
        <v>89</v>
      </c>
      <c r="ACD5" s="394" t="s">
        <v>89</v>
      </c>
      <c r="ACE5" s="394" t="s">
        <v>89</v>
      </c>
      <c r="ACF5" s="394" t="s">
        <v>89</v>
      </c>
      <c r="ACG5" s="394" t="s">
        <v>89</v>
      </c>
      <c r="ACH5" s="394" t="s">
        <v>89</v>
      </c>
      <c r="ACI5" s="394" t="s">
        <v>89</v>
      </c>
      <c r="ACJ5" s="394" t="s">
        <v>89</v>
      </c>
      <c r="ACK5" s="394" t="s">
        <v>89</v>
      </c>
      <c r="ACL5" s="394" t="s">
        <v>89</v>
      </c>
      <c r="ACM5" s="394" t="s">
        <v>89</v>
      </c>
      <c r="ACN5" s="394" t="s">
        <v>89</v>
      </c>
      <c r="ACO5" s="394" t="s">
        <v>89</v>
      </c>
      <c r="ACP5" s="394" t="s">
        <v>89</v>
      </c>
      <c r="ACQ5" s="394" t="s">
        <v>89</v>
      </c>
      <c r="ACR5" s="394" t="s">
        <v>89</v>
      </c>
      <c r="ACS5" s="394" t="s">
        <v>89</v>
      </c>
      <c r="ACT5" s="394" t="s">
        <v>89</v>
      </c>
      <c r="ACU5" s="394" t="s">
        <v>89</v>
      </c>
      <c r="ACV5" s="394" t="s">
        <v>89</v>
      </c>
      <c r="ACW5" s="394" t="s">
        <v>89</v>
      </c>
      <c r="ACX5" s="394" t="s">
        <v>89</v>
      </c>
      <c r="ACY5" s="394" t="s">
        <v>89</v>
      </c>
      <c r="ACZ5" s="394" t="s">
        <v>89</v>
      </c>
      <c r="ADA5" s="394" t="s">
        <v>89</v>
      </c>
      <c r="ADB5" s="394" t="s">
        <v>89</v>
      </c>
      <c r="ADC5" s="394" t="s">
        <v>89</v>
      </c>
      <c r="ADD5" s="394" t="s">
        <v>89</v>
      </c>
      <c r="ADE5" s="394" t="s">
        <v>89</v>
      </c>
      <c r="ADF5" s="394" t="s">
        <v>89</v>
      </c>
      <c r="ADG5" s="394" t="s">
        <v>89</v>
      </c>
      <c r="ADH5" s="394" t="s">
        <v>89</v>
      </c>
      <c r="ADI5" s="394" t="s">
        <v>89</v>
      </c>
      <c r="ADJ5" s="394" t="s">
        <v>89</v>
      </c>
      <c r="ADK5" s="394" t="s">
        <v>89</v>
      </c>
      <c r="ADL5" s="394" t="s">
        <v>89</v>
      </c>
      <c r="ADM5" s="394" t="s">
        <v>89</v>
      </c>
      <c r="ADN5" s="394" t="s">
        <v>89</v>
      </c>
      <c r="ADO5" s="394" t="s">
        <v>89</v>
      </c>
      <c r="ADP5" s="394" t="s">
        <v>89</v>
      </c>
      <c r="ADQ5" s="394" t="s">
        <v>89</v>
      </c>
      <c r="ADR5" s="394" t="s">
        <v>89</v>
      </c>
      <c r="ADS5" s="394" t="s">
        <v>89</v>
      </c>
      <c r="ADT5" s="394" t="s">
        <v>89</v>
      </c>
      <c r="ADU5" s="394" t="s">
        <v>89</v>
      </c>
      <c r="ADV5" s="394" t="s">
        <v>89</v>
      </c>
      <c r="ADW5" s="394" t="s">
        <v>89</v>
      </c>
      <c r="ADX5" s="394" t="s">
        <v>89</v>
      </c>
      <c r="ADY5" s="394" t="s">
        <v>89</v>
      </c>
      <c r="ADZ5" s="394" t="s">
        <v>89</v>
      </c>
      <c r="AEA5" s="394" t="s">
        <v>89</v>
      </c>
      <c r="AEB5" s="394" t="s">
        <v>89</v>
      </c>
      <c r="AEC5" s="394" t="s">
        <v>89</v>
      </c>
      <c r="AED5" s="394" t="s">
        <v>89</v>
      </c>
      <c r="AEE5" s="394" t="s">
        <v>89</v>
      </c>
      <c r="AEF5" s="394" t="s">
        <v>89</v>
      </c>
      <c r="AEG5" s="394" t="s">
        <v>89</v>
      </c>
      <c r="AEH5" s="394" t="s">
        <v>89</v>
      </c>
      <c r="AEI5" s="394" t="s">
        <v>89</v>
      </c>
      <c r="AEJ5" s="394" t="s">
        <v>89</v>
      </c>
      <c r="AEK5" s="394" t="s">
        <v>89</v>
      </c>
      <c r="AEL5" s="394" t="s">
        <v>89</v>
      </c>
      <c r="AEM5" s="394" t="s">
        <v>89</v>
      </c>
      <c r="AEN5" s="394" t="s">
        <v>89</v>
      </c>
      <c r="AEO5" s="394" t="s">
        <v>89</v>
      </c>
      <c r="AEP5" s="394" t="s">
        <v>89</v>
      </c>
      <c r="AEQ5" s="394" t="s">
        <v>89</v>
      </c>
      <c r="AER5" s="394" t="s">
        <v>89</v>
      </c>
      <c r="AES5" s="394" t="s">
        <v>89</v>
      </c>
      <c r="AET5" s="394" t="s">
        <v>89</v>
      </c>
      <c r="AEU5" s="394" t="s">
        <v>89</v>
      </c>
      <c r="AEV5" s="394" t="s">
        <v>89</v>
      </c>
      <c r="AEW5" s="394" t="s">
        <v>89</v>
      </c>
      <c r="AEX5" s="394" t="s">
        <v>89</v>
      </c>
      <c r="AEY5" s="394" t="s">
        <v>89</v>
      </c>
      <c r="AEZ5" s="394" t="s">
        <v>89</v>
      </c>
      <c r="AFA5" s="394" t="s">
        <v>89</v>
      </c>
      <c r="AFB5" s="394" t="s">
        <v>89</v>
      </c>
      <c r="AFC5" s="394" t="s">
        <v>89</v>
      </c>
      <c r="AFD5" s="394" t="s">
        <v>89</v>
      </c>
      <c r="AFE5" s="394" t="s">
        <v>89</v>
      </c>
      <c r="AFF5" s="394" t="s">
        <v>89</v>
      </c>
      <c r="AFG5" s="394" t="s">
        <v>89</v>
      </c>
      <c r="AFH5" s="394" t="s">
        <v>89</v>
      </c>
      <c r="AFI5" s="394" t="s">
        <v>89</v>
      </c>
      <c r="AFJ5" s="394" t="s">
        <v>89</v>
      </c>
      <c r="AFK5" s="394" t="s">
        <v>89</v>
      </c>
      <c r="AFL5" s="394" t="s">
        <v>89</v>
      </c>
      <c r="AFM5" s="394" t="s">
        <v>89</v>
      </c>
      <c r="AFN5" s="394" t="s">
        <v>89</v>
      </c>
      <c r="AFO5" s="394" t="s">
        <v>89</v>
      </c>
      <c r="AFP5" s="394" t="s">
        <v>89</v>
      </c>
      <c r="AFQ5" s="394" t="s">
        <v>89</v>
      </c>
      <c r="AFR5" s="394" t="s">
        <v>89</v>
      </c>
      <c r="AFS5" s="394" t="s">
        <v>89</v>
      </c>
      <c r="AFT5" s="394" t="s">
        <v>89</v>
      </c>
      <c r="AFU5" s="394" t="s">
        <v>89</v>
      </c>
      <c r="AFV5" s="394" t="s">
        <v>89</v>
      </c>
      <c r="AFW5" s="394" t="s">
        <v>89</v>
      </c>
      <c r="AFX5" s="394" t="s">
        <v>89</v>
      </c>
      <c r="AFY5" s="394" t="s">
        <v>89</v>
      </c>
      <c r="AFZ5" s="394" t="s">
        <v>89</v>
      </c>
      <c r="AGA5" s="394" t="s">
        <v>89</v>
      </c>
      <c r="AGB5" s="394" t="s">
        <v>89</v>
      </c>
      <c r="AGC5" s="394" t="s">
        <v>89</v>
      </c>
      <c r="AGD5" s="394" t="s">
        <v>89</v>
      </c>
      <c r="AGE5" s="394" t="s">
        <v>89</v>
      </c>
      <c r="AGF5" s="394" t="s">
        <v>89</v>
      </c>
      <c r="AGG5" s="394" t="s">
        <v>89</v>
      </c>
      <c r="AGH5" s="394" t="s">
        <v>89</v>
      </c>
      <c r="AGI5" s="394" t="s">
        <v>89</v>
      </c>
      <c r="AGJ5" s="394" t="s">
        <v>89</v>
      </c>
      <c r="AGK5" s="394" t="s">
        <v>89</v>
      </c>
      <c r="AGL5" s="394" t="s">
        <v>89</v>
      </c>
      <c r="AGM5" s="394" t="s">
        <v>89</v>
      </c>
      <c r="AGN5" s="394" t="s">
        <v>89</v>
      </c>
      <c r="AGO5" s="394" t="s">
        <v>89</v>
      </c>
      <c r="AGP5" s="394" t="s">
        <v>89</v>
      </c>
      <c r="AGQ5" s="394" t="s">
        <v>89</v>
      </c>
      <c r="AGR5" s="394" t="s">
        <v>89</v>
      </c>
      <c r="AGS5" s="394" t="s">
        <v>89</v>
      </c>
      <c r="AGT5" s="394" t="s">
        <v>89</v>
      </c>
      <c r="AGU5" s="394" t="s">
        <v>89</v>
      </c>
      <c r="AGV5" s="394" t="s">
        <v>89</v>
      </c>
      <c r="AGW5" s="394" t="s">
        <v>89</v>
      </c>
      <c r="AGX5" s="394" t="s">
        <v>89</v>
      </c>
      <c r="AGY5" s="394" t="s">
        <v>89</v>
      </c>
      <c r="AGZ5" s="394" t="s">
        <v>89</v>
      </c>
      <c r="AHA5" s="394" t="s">
        <v>89</v>
      </c>
      <c r="AHB5" s="394" t="s">
        <v>89</v>
      </c>
      <c r="AHC5" s="394" t="s">
        <v>89</v>
      </c>
      <c r="AHD5" s="394" t="s">
        <v>89</v>
      </c>
      <c r="AHE5" s="394" t="s">
        <v>89</v>
      </c>
      <c r="AHF5" s="394" t="s">
        <v>89</v>
      </c>
      <c r="AHG5" s="394" t="s">
        <v>89</v>
      </c>
      <c r="AHH5" s="394" t="s">
        <v>89</v>
      </c>
      <c r="AHI5" s="394" t="s">
        <v>89</v>
      </c>
      <c r="AHJ5" s="394" t="s">
        <v>89</v>
      </c>
      <c r="AHK5" s="394" t="s">
        <v>89</v>
      </c>
      <c r="AHL5" s="394" t="s">
        <v>89</v>
      </c>
      <c r="AHM5" s="394" t="s">
        <v>89</v>
      </c>
      <c r="AHN5" s="394" t="s">
        <v>89</v>
      </c>
      <c r="AHO5" s="394" t="s">
        <v>89</v>
      </c>
      <c r="AHP5" s="394" t="s">
        <v>89</v>
      </c>
      <c r="AHQ5" s="394" t="s">
        <v>89</v>
      </c>
      <c r="AHR5" s="394" t="s">
        <v>89</v>
      </c>
      <c r="AHS5" s="394" t="s">
        <v>89</v>
      </c>
      <c r="AHT5" s="394" t="s">
        <v>89</v>
      </c>
      <c r="AHU5" s="394" t="s">
        <v>89</v>
      </c>
      <c r="AHV5" s="394" t="s">
        <v>89</v>
      </c>
      <c r="AHW5" s="394" t="s">
        <v>89</v>
      </c>
      <c r="AHX5" s="394" t="s">
        <v>89</v>
      </c>
      <c r="AHY5" s="394" t="s">
        <v>89</v>
      </c>
      <c r="AHZ5" s="394" t="s">
        <v>89</v>
      </c>
      <c r="AIA5" s="394" t="s">
        <v>89</v>
      </c>
      <c r="AIB5" s="394" t="s">
        <v>89</v>
      </c>
      <c r="AIC5" s="394" t="s">
        <v>89</v>
      </c>
      <c r="AID5" s="394" t="s">
        <v>89</v>
      </c>
      <c r="AIE5" s="394" t="s">
        <v>89</v>
      </c>
      <c r="AIF5" s="394" t="s">
        <v>89</v>
      </c>
      <c r="AIG5" s="394" t="s">
        <v>89</v>
      </c>
      <c r="AIH5" s="394" t="s">
        <v>89</v>
      </c>
      <c r="AII5" s="394" t="s">
        <v>89</v>
      </c>
      <c r="AIJ5" s="394" t="s">
        <v>89</v>
      </c>
      <c r="AIK5" s="394" t="s">
        <v>89</v>
      </c>
      <c r="AIL5" s="394" t="s">
        <v>89</v>
      </c>
      <c r="AIM5" s="394" t="s">
        <v>89</v>
      </c>
      <c r="AIN5" s="394" t="s">
        <v>89</v>
      </c>
      <c r="AIO5" s="394" t="s">
        <v>89</v>
      </c>
      <c r="AIP5" s="394" t="s">
        <v>89</v>
      </c>
      <c r="AIQ5" s="394" t="s">
        <v>89</v>
      </c>
      <c r="AIR5" s="394" t="s">
        <v>89</v>
      </c>
      <c r="AIS5" s="394" t="s">
        <v>89</v>
      </c>
      <c r="AIT5" s="394" t="s">
        <v>89</v>
      </c>
      <c r="AIU5" s="394" t="s">
        <v>89</v>
      </c>
      <c r="AIV5" s="394" t="s">
        <v>89</v>
      </c>
      <c r="AIW5" s="394" t="s">
        <v>89</v>
      </c>
      <c r="AIX5" s="394" t="s">
        <v>89</v>
      </c>
      <c r="AIY5" s="394" t="s">
        <v>89</v>
      </c>
      <c r="AIZ5" s="394" t="s">
        <v>89</v>
      </c>
      <c r="AJA5" s="394" t="s">
        <v>89</v>
      </c>
      <c r="AJB5" s="394" t="s">
        <v>89</v>
      </c>
      <c r="AJC5" s="394" t="s">
        <v>89</v>
      </c>
      <c r="AJD5" s="394" t="s">
        <v>89</v>
      </c>
      <c r="AJE5" s="394" t="s">
        <v>89</v>
      </c>
      <c r="AJF5" s="394" t="s">
        <v>89</v>
      </c>
      <c r="AJG5" s="394" t="s">
        <v>89</v>
      </c>
      <c r="AJH5" s="394" t="s">
        <v>89</v>
      </c>
      <c r="AJI5" s="394" t="s">
        <v>89</v>
      </c>
      <c r="AJJ5" s="394" t="s">
        <v>89</v>
      </c>
      <c r="AJK5" s="394" t="s">
        <v>89</v>
      </c>
      <c r="AJL5" s="394" t="s">
        <v>89</v>
      </c>
      <c r="AJM5" s="394" t="s">
        <v>89</v>
      </c>
      <c r="AJN5" s="394" t="s">
        <v>89</v>
      </c>
      <c r="AJO5" s="394" t="s">
        <v>89</v>
      </c>
      <c r="AJP5" s="394" t="s">
        <v>89</v>
      </c>
      <c r="AJQ5" s="394" t="s">
        <v>89</v>
      </c>
      <c r="AJR5" s="394" t="s">
        <v>89</v>
      </c>
      <c r="AJS5" s="394" t="s">
        <v>89</v>
      </c>
      <c r="AJT5" s="394" t="s">
        <v>89</v>
      </c>
      <c r="AJU5" s="394" t="s">
        <v>89</v>
      </c>
      <c r="AJV5" s="394" t="s">
        <v>89</v>
      </c>
      <c r="AJW5" s="394" t="s">
        <v>89</v>
      </c>
      <c r="AJX5" s="394" t="s">
        <v>89</v>
      </c>
      <c r="AJY5" s="394" t="s">
        <v>89</v>
      </c>
      <c r="AJZ5" s="394" t="s">
        <v>89</v>
      </c>
      <c r="AKA5" s="394" t="s">
        <v>89</v>
      </c>
      <c r="AKB5" s="394" t="s">
        <v>89</v>
      </c>
      <c r="AKC5" s="394" t="s">
        <v>89</v>
      </c>
      <c r="AKD5" s="394" t="s">
        <v>89</v>
      </c>
      <c r="AKE5" s="394" t="s">
        <v>89</v>
      </c>
      <c r="AKF5" s="394" t="s">
        <v>89</v>
      </c>
      <c r="AKG5" s="394" t="s">
        <v>89</v>
      </c>
      <c r="AKH5" s="394" t="s">
        <v>89</v>
      </c>
      <c r="AKI5" s="394" t="s">
        <v>89</v>
      </c>
      <c r="AKJ5" s="394" t="s">
        <v>89</v>
      </c>
      <c r="AKK5" s="394" t="s">
        <v>89</v>
      </c>
      <c r="AKL5" s="394" t="s">
        <v>89</v>
      </c>
      <c r="AKM5" s="394" t="s">
        <v>89</v>
      </c>
      <c r="AKN5" s="394" t="s">
        <v>89</v>
      </c>
      <c r="AKO5" s="394" t="s">
        <v>89</v>
      </c>
      <c r="AKP5" s="394" t="s">
        <v>89</v>
      </c>
      <c r="AKQ5" s="394" t="s">
        <v>89</v>
      </c>
      <c r="AKR5" s="394" t="s">
        <v>89</v>
      </c>
      <c r="AKS5" s="394" t="s">
        <v>89</v>
      </c>
      <c r="AKT5" s="394" t="s">
        <v>89</v>
      </c>
      <c r="AKU5" s="394" t="s">
        <v>89</v>
      </c>
      <c r="AKV5" s="394" t="s">
        <v>89</v>
      </c>
      <c r="AKW5" s="394" t="s">
        <v>89</v>
      </c>
      <c r="AKX5" s="394" t="s">
        <v>89</v>
      </c>
      <c r="AKY5" s="394" t="s">
        <v>89</v>
      </c>
      <c r="AKZ5" s="394" t="s">
        <v>89</v>
      </c>
      <c r="ALA5" s="394" t="s">
        <v>89</v>
      </c>
      <c r="ALB5" s="394" t="s">
        <v>89</v>
      </c>
      <c r="ALC5" s="394" t="s">
        <v>89</v>
      </c>
      <c r="ALD5" s="394" t="s">
        <v>89</v>
      </c>
      <c r="ALE5" s="394" t="s">
        <v>89</v>
      </c>
      <c r="ALF5" s="394" t="s">
        <v>89</v>
      </c>
      <c r="ALG5" s="394" t="s">
        <v>89</v>
      </c>
      <c r="ALH5" s="394" t="s">
        <v>89</v>
      </c>
      <c r="ALI5" s="394" t="s">
        <v>89</v>
      </c>
      <c r="ALJ5" s="394" t="s">
        <v>89</v>
      </c>
      <c r="ALK5" s="394" t="s">
        <v>89</v>
      </c>
      <c r="ALL5" s="394" t="s">
        <v>89</v>
      </c>
      <c r="ALM5" s="394" t="s">
        <v>89</v>
      </c>
      <c r="ALN5" s="394" t="s">
        <v>89</v>
      </c>
      <c r="ALO5" s="394" t="s">
        <v>89</v>
      </c>
      <c r="ALP5" s="394" t="s">
        <v>89</v>
      </c>
      <c r="ALQ5" s="394" t="s">
        <v>89</v>
      </c>
      <c r="ALR5" s="394" t="s">
        <v>89</v>
      </c>
      <c r="ALS5" s="394" t="s">
        <v>89</v>
      </c>
      <c r="ALT5" s="394" t="s">
        <v>89</v>
      </c>
      <c r="ALU5" s="394" t="s">
        <v>89</v>
      </c>
      <c r="ALV5" s="394" t="s">
        <v>89</v>
      </c>
      <c r="ALW5" s="394" t="s">
        <v>89</v>
      </c>
      <c r="ALX5" s="394" t="s">
        <v>89</v>
      </c>
      <c r="ALY5" s="394" t="s">
        <v>89</v>
      </c>
      <c r="ALZ5" s="394" t="s">
        <v>89</v>
      </c>
      <c r="AMA5" s="394" t="s">
        <v>89</v>
      </c>
      <c r="AMB5" s="394" t="s">
        <v>89</v>
      </c>
      <c r="AMC5" s="394" t="s">
        <v>89</v>
      </c>
      <c r="AMD5" s="394" t="s">
        <v>89</v>
      </c>
      <c r="AME5" s="394" t="s">
        <v>89</v>
      </c>
      <c r="AMF5" s="394" t="s">
        <v>89</v>
      </c>
      <c r="AMG5" s="394" t="s">
        <v>89</v>
      </c>
      <c r="AMH5" s="394" t="s">
        <v>89</v>
      </c>
      <c r="AMI5" s="394" t="s">
        <v>89</v>
      </c>
      <c r="AMJ5" s="394" t="s">
        <v>89</v>
      </c>
      <c r="AMK5" s="394" t="s">
        <v>89</v>
      </c>
      <c r="AML5" s="394" t="s">
        <v>89</v>
      </c>
      <c r="AMM5" s="394" t="s">
        <v>89</v>
      </c>
      <c r="AMN5" s="394" t="s">
        <v>89</v>
      </c>
      <c r="AMO5" s="394" t="s">
        <v>89</v>
      </c>
      <c r="AMP5" s="394" t="s">
        <v>89</v>
      </c>
      <c r="AMQ5" s="394" t="s">
        <v>89</v>
      </c>
      <c r="AMR5" s="394" t="s">
        <v>89</v>
      </c>
      <c r="AMS5" s="394" t="s">
        <v>89</v>
      </c>
      <c r="AMT5" s="394" t="s">
        <v>89</v>
      </c>
      <c r="AMU5" s="394" t="s">
        <v>89</v>
      </c>
      <c r="AMV5" s="394" t="s">
        <v>89</v>
      </c>
      <c r="AMW5" s="394" t="s">
        <v>89</v>
      </c>
      <c r="AMX5" s="394" t="s">
        <v>89</v>
      </c>
      <c r="AMY5" s="394" t="s">
        <v>89</v>
      </c>
      <c r="AMZ5" s="394" t="s">
        <v>89</v>
      </c>
      <c r="ANA5" s="394" t="s">
        <v>89</v>
      </c>
      <c r="ANB5" s="394" t="s">
        <v>89</v>
      </c>
      <c r="ANC5" s="394" t="s">
        <v>89</v>
      </c>
      <c r="AND5" s="394" t="s">
        <v>89</v>
      </c>
      <c r="ANE5" s="394" t="s">
        <v>89</v>
      </c>
      <c r="ANF5" s="394" t="s">
        <v>89</v>
      </c>
      <c r="ANG5" s="394" t="s">
        <v>89</v>
      </c>
      <c r="ANH5" s="394" t="s">
        <v>89</v>
      </c>
      <c r="ANI5" s="394" t="s">
        <v>89</v>
      </c>
      <c r="ANJ5" s="394" t="s">
        <v>89</v>
      </c>
      <c r="ANK5" s="394" t="s">
        <v>89</v>
      </c>
      <c r="ANL5" s="394" t="s">
        <v>89</v>
      </c>
      <c r="ANM5" s="394" t="s">
        <v>89</v>
      </c>
      <c r="ANN5" s="394" t="s">
        <v>89</v>
      </c>
      <c r="ANO5" s="394" t="s">
        <v>89</v>
      </c>
      <c r="ANP5" s="394" t="s">
        <v>89</v>
      </c>
      <c r="ANQ5" s="394" t="s">
        <v>89</v>
      </c>
      <c r="ANR5" s="394" t="s">
        <v>89</v>
      </c>
      <c r="ANS5" s="394" t="s">
        <v>89</v>
      </c>
      <c r="ANT5" s="394" t="s">
        <v>89</v>
      </c>
      <c r="ANU5" s="394" t="s">
        <v>89</v>
      </c>
      <c r="ANV5" s="394" t="s">
        <v>89</v>
      </c>
      <c r="ANW5" s="394" t="s">
        <v>89</v>
      </c>
      <c r="ANX5" s="394" t="s">
        <v>89</v>
      </c>
      <c r="ANY5" s="394" t="s">
        <v>89</v>
      </c>
      <c r="ANZ5" s="394" t="s">
        <v>89</v>
      </c>
      <c r="AOA5" s="394" t="s">
        <v>89</v>
      </c>
      <c r="AOB5" s="394" t="s">
        <v>89</v>
      </c>
      <c r="AOC5" s="394" t="s">
        <v>89</v>
      </c>
      <c r="AOD5" s="394" t="s">
        <v>89</v>
      </c>
      <c r="AOE5" s="394" t="s">
        <v>89</v>
      </c>
      <c r="AOF5" s="394" t="s">
        <v>89</v>
      </c>
      <c r="AOG5" s="394" t="s">
        <v>89</v>
      </c>
      <c r="AOH5" s="394" t="s">
        <v>89</v>
      </c>
      <c r="AOI5" s="394" t="s">
        <v>89</v>
      </c>
      <c r="AOJ5" s="394" t="s">
        <v>89</v>
      </c>
      <c r="AOK5" s="394" t="s">
        <v>89</v>
      </c>
      <c r="AOL5" s="394" t="s">
        <v>89</v>
      </c>
      <c r="AOM5" s="394" t="s">
        <v>89</v>
      </c>
      <c r="AON5" s="394" t="s">
        <v>89</v>
      </c>
      <c r="AOO5" s="394" t="s">
        <v>89</v>
      </c>
      <c r="AOP5" s="394" t="s">
        <v>89</v>
      </c>
      <c r="AOQ5" s="394" t="s">
        <v>89</v>
      </c>
      <c r="AOR5" s="394" t="s">
        <v>89</v>
      </c>
      <c r="AOS5" s="394" t="s">
        <v>89</v>
      </c>
      <c r="AOT5" s="394" t="s">
        <v>89</v>
      </c>
      <c r="AOU5" s="394" t="s">
        <v>89</v>
      </c>
      <c r="AOV5" s="394" t="s">
        <v>89</v>
      </c>
      <c r="AOW5" s="394" t="s">
        <v>89</v>
      </c>
      <c r="AOX5" s="394" t="s">
        <v>89</v>
      </c>
      <c r="AOY5" s="394" t="s">
        <v>89</v>
      </c>
      <c r="AOZ5" s="394" t="s">
        <v>89</v>
      </c>
      <c r="APA5" s="394" t="s">
        <v>89</v>
      </c>
      <c r="APB5" s="394" t="s">
        <v>89</v>
      </c>
      <c r="APC5" s="394" t="s">
        <v>89</v>
      </c>
      <c r="APD5" s="394" t="s">
        <v>89</v>
      </c>
      <c r="APE5" s="394" t="s">
        <v>89</v>
      </c>
      <c r="APF5" s="394" t="s">
        <v>89</v>
      </c>
      <c r="APG5" s="394" t="s">
        <v>89</v>
      </c>
      <c r="APH5" s="394" t="s">
        <v>89</v>
      </c>
      <c r="API5" s="394" t="s">
        <v>89</v>
      </c>
      <c r="APJ5" s="394" t="s">
        <v>89</v>
      </c>
      <c r="APK5" s="394" t="s">
        <v>89</v>
      </c>
      <c r="APL5" s="394" t="s">
        <v>89</v>
      </c>
      <c r="APM5" s="394" t="s">
        <v>89</v>
      </c>
      <c r="APN5" s="394" t="s">
        <v>89</v>
      </c>
      <c r="APO5" s="394" t="s">
        <v>89</v>
      </c>
      <c r="APP5" s="394" t="s">
        <v>89</v>
      </c>
      <c r="APQ5" s="394" t="s">
        <v>89</v>
      </c>
      <c r="APR5" s="394" t="s">
        <v>89</v>
      </c>
      <c r="APS5" s="394" t="s">
        <v>89</v>
      </c>
      <c r="APT5" s="394" t="s">
        <v>89</v>
      </c>
      <c r="APU5" s="394" t="s">
        <v>89</v>
      </c>
      <c r="APV5" s="394" t="s">
        <v>89</v>
      </c>
      <c r="APW5" s="394" t="s">
        <v>89</v>
      </c>
      <c r="APX5" s="394" t="s">
        <v>89</v>
      </c>
      <c r="APY5" s="394" t="s">
        <v>89</v>
      </c>
      <c r="APZ5" s="394" t="s">
        <v>89</v>
      </c>
      <c r="AQA5" s="394" t="s">
        <v>89</v>
      </c>
      <c r="AQB5" s="394" t="s">
        <v>89</v>
      </c>
      <c r="AQC5" s="394" t="s">
        <v>89</v>
      </c>
      <c r="AQD5" s="394" t="s">
        <v>89</v>
      </c>
      <c r="AQE5" s="394" t="s">
        <v>89</v>
      </c>
      <c r="AQF5" s="394" t="s">
        <v>89</v>
      </c>
      <c r="AQG5" s="394" t="s">
        <v>89</v>
      </c>
      <c r="AQH5" s="394" t="s">
        <v>89</v>
      </c>
      <c r="AQI5" s="394" t="s">
        <v>89</v>
      </c>
      <c r="AQJ5" s="394" t="s">
        <v>89</v>
      </c>
      <c r="AQK5" s="394" t="s">
        <v>89</v>
      </c>
      <c r="AQL5" s="394" t="s">
        <v>89</v>
      </c>
      <c r="AQM5" s="394" t="s">
        <v>89</v>
      </c>
      <c r="AQN5" s="394" t="s">
        <v>89</v>
      </c>
      <c r="AQO5" s="394" t="s">
        <v>89</v>
      </c>
      <c r="AQP5" s="394" t="s">
        <v>89</v>
      </c>
      <c r="AQQ5" s="394" t="s">
        <v>89</v>
      </c>
      <c r="AQR5" s="394" t="s">
        <v>89</v>
      </c>
      <c r="AQS5" s="394" t="s">
        <v>89</v>
      </c>
      <c r="AQT5" s="394" t="s">
        <v>89</v>
      </c>
      <c r="AQU5" s="394" t="s">
        <v>89</v>
      </c>
      <c r="AQV5" s="394" t="s">
        <v>89</v>
      </c>
      <c r="AQW5" s="394" t="s">
        <v>89</v>
      </c>
      <c r="AQX5" s="394" t="s">
        <v>89</v>
      </c>
      <c r="AQY5" s="394" t="s">
        <v>89</v>
      </c>
      <c r="AQZ5" s="394" t="s">
        <v>89</v>
      </c>
      <c r="ARA5" s="394" t="s">
        <v>89</v>
      </c>
      <c r="ARB5" s="394" t="s">
        <v>89</v>
      </c>
      <c r="ARC5" s="394" t="s">
        <v>89</v>
      </c>
      <c r="ARD5" s="394" t="s">
        <v>89</v>
      </c>
      <c r="ARE5" s="394" t="s">
        <v>89</v>
      </c>
      <c r="ARF5" s="394" t="s">
        <v>89</v>
      </c>
      <c r="ARG5" s="394" t="s">
        <v>89</v>
      </c>
      <c r="ARH5" s="394" t="s">
        <v>89</v>
      </c>
      <c r="ARI5" s="394" t="s">
        <v>89</v>
      </c>
      <c r="ARJ5" s="394" t="s">
        <v>89</v>
      </c>
      <c r="ARK5" s="394" t="s">
        <v>89</v>
      </c>
      <c r="ARL5" s="394" t="s">
        <v>89</v>
      </c>
      <c r="ARM5" s="394" t="s">
        <v>89</v>
      </c>
      <c r="ARN5" s="394" t="s">
        <v>89</v>
      </c>
      <c r="ARO5" s="394" t="s">
        <v>89</v>
      </c>
      <c r="ARP5" s="394" t="s">
        <v>89</v>
      </c>
      <c r="ARQ5" s="394" t="s">
        <v>89</v>
      </c>
      <c r="ARR5" s="394" t="s">
        <v>89</v>
      </c>
      <c r="ARS5" s="394" t="s">
        <v>89</v>
      </c>
      <c r="ART5" s="394" t="s">
        <v>89</v>
      </c>
      <c r="ARU5" s="394" t="s">
        <v>89</v>
      </c>
      <c r="ARV5" s="394" t="s">
        <v>89</v>
      </c>
      <c r="ARW5" s="394" t="s">
        <v>89</v>
      </c>
      <c r="ARX5" s="394" t="s">
        <v>89</v>
      </c>
      <c r="ARY5" s="394" t="s">
        <v>89</v>
      </c>
      <c r="ARZ5" s="394" t="s">
        <v>89</v>
      </c>
      <c r="ASA5" s="394" t="s">
        <v>89</v>
      </c>
      <c r="ASB5" s="394" t="s">
        <v>89</v>
      </c>
      <c r="ASC5" s="394" t="s">
        <v>89</v>
      </c>
      <c r="ASD5" s="394" t="s">
        <v>89</v>
      </c>
      <c r="ASE5" s="394" t="s">
        <v>89</v>
      </c>
      <c r="ASF5" s="394" t="s">
        <v>89</v>
      </c>
      <c r="ASG5" s="394" t="s">
        <v>89</v>
      </c>
      <c r="ASH5" s="394" t="s">
        <v>89</v>
      </c>
      <c r="ASI5" s="394" t="s">
        <v>89</v>
      </c>
      <c r="ASJ5" s="394" t="s">
        <v>89</v>
      </c>
      <c r="ASK5" s="394" t="s">
        <v>89</v>
      </c>
      <c r="ASL5" s="394" t="s">
        <v>89</v>
      </c>
      <c r="ASM5" s="394" t="s">
        <v>89</v>
      </c>
      <c r="ASN5" s="394" t="s">
        <v>89</v>
      </c>
      <c r="ASO5" s="394" t="s">
        <v>89</v>
      </c>
      <c r="ASP5" s="394" t="s">
        <v>89</v>
      </c>
      <c r="ASQ5" s="394" t="s">
        <v>89</v>
      </c>
      <c r="ASR5" s="394" t="s">
        <v>89</v>
      </c>
      <c r="ASS5" s="394" t="s">
        <v>89</v>
      </c>
      <c r="AST5" s="394" t="s">
        <v>89</v>
      </c>
      <c r="ASU5" s="394" t="s">
        <v>89</v>
      </c>
      <c r="ASV5" s="394" t="s">
        <v>89</v>
      </c>
      <c r="ASW5" s="394" t="s">
        <v>89</v>
      </c>
      <c r="ASX5" s="394" t="s">
        <v>89</v>
      </c>
      <c r="ASY5" s="394" t="s">
        <v>89</v>
      </c>
      <c r="ASZ5" s="394" t="s">
        <v>89</v>
      </c>
      <c r="ATA5" s="394" t="s">
        <v>89</v>
      </c>
      <c r="ATB5" s="394" t="s">
        <v>89</v>
      </c>
      <c r="ATC5" s="394" t="s">
        <v>89</v>
      </c>
      <c r="ATD5" s="394" t="s">
        <v>89</v>
      </c>
      <c r="ATE5" s="394" t="s">
        <v>89</v>
      </c>
      <c r="ATF5" s="394" t="s">
        <v>89</v>
      </c>
      <c r="ATG5" s="394" t="s">
        <v>89</v>
      </c>
      <c r="ATH5" s="394" t="s">
        <v>89</v>
      </c>
      <c r="ATI5" s="394" t="s">
        <v>89</v>
      </c>
      <c r="ATJ5" s="394" t="s">
        <v>89</v>
      </c>
      <c r="ATK5" s="394" t="s">
        <v>89</v>
      </c>
      <c r="ATL5" s="394" t="s">
        <v>89</v>
      </c>
      <c r="ATM5" s="394" t="s">
        <v>89</v>
      </c>
      <c r="ATN5" s="394" t="s">
        <v>89</v>
      </c>
      <c r="ATO5" s="394" t="s">
        <v>89</v>
      </c>
      <c r="ATP5" s="394" t="s">
        <v>89</v>
      </c>
      <c r="ATQ5" s="394" t="s">
        <v>89</v>
      </c>
      <c r="ATR5" s="394" t="s">
        <v>89</v>
      </c>
      <c r="ATS5" s="394" t="s">
        <v>89</v>
      </c>
      <c r="ATT5" s="394" t="s">
        <v>89</v>
      </c>
      <c r="ATU5" s="394" t="s">
        <v>89</v>
      </c>
      <c r="ATV5" s="394" t="s">
        <v>89</v>
      </c>
      <c r="ATW5" s="394" t="s">
        <v>89</v>
      </c>
      <c r="ATX5" s="394" t="s">
        <v>89</v>
      </c>
      <c r="ATY5" s="394" t="s">
        <v>89</v>
      </c>
      <c r="ATZ5" s="394" t="s">
        <v>89</v>
      </c>
      <c r="AUA5" s="394" t="s">
        <v>89</v>
      </c>
      <c r="AUB5" s="394" t="s">
        <v>89</v>
      </c>
      <c r="AUC5" s="394" t="s">
        <v>89</v>
      </c>
      <c r="AUD5" s="394" t="s">
        <v>89</v>
      </c>
      <c r="AUE5" s="394" t="s">
        <v>89</v>
      </c>
      <c r="AUF5" s="394" t="s">
        <v>89</v>
      </c>
      <c r="AUG5" s="394" t="s">
        <v>89</v>
      </c>
      <c r="AUH5" s="394" t="s">
        <v>89</v>
      </c>
      <c r="AUI5" s="394" t="s">
        <v>89</v>
      </c>
      <c r="AUJ5" s="394" t="s">
        <v>89</v>
      </c>
      <c r="AUK5" s="394" t="s">
        <v>89</v>
      </c>
      <c r="AUL5" s="394" t="s">
        <v>89</v>
      </c>
      <c r="AUM5" s="394" t="s">
        <v>89</v>
      </c>
      <c r="AUN5" s="394" t="s">
        <v>89</v>
      </c>
      <c r="AUO5" s="394" t="s">
        <v>89</v>
      </c>
      <c r="AUP5" s="394" t="s">
        <v>89</v>
      </c>
      <c r="AUQ5" s="394" t="s">
        <v>89</v>
      </c>
      <c r="AUR5" s="394" t="s">
        <v>89</v>
      </c>
      <c r="AUS5" s="394" t="s">
        <v>89</v>
      </c>
      <c r="AUT5" s="394" t="s">
        <v>89</v>
      </c>
      <c r="AUU5" s="394" t="s">
        <v>89</v>
      </c>
      <c r="AUV5" s="394" t="s">
        <v>89</v>
      </c>
      <c r="AUW5" s="394" t="s">
        <v>89</v>
      </c>
      <c r="AUX5" s="394" t="s">
        <v>89</v>
      </c>
      <c r="AUY5" s="394" t="s">
        <v>89</v>
      </c>
      <c r="AUZ5" s="394" t="s">
        <v>89</v>
      </c>
      <c r="AVA5" s="394" t="s">
        <v>89</v>
      </c>
      <c r="AVB5" s="394" t="s">
        <v>89</v>
      </c>
      <c r="AVC5" s="394" t="s">
        <v>89</v>
      </c>
      <c r="AVD5" s="394" t="s">
        <v>89</v>
      </c>
      <c r="AVE5" s="394" t="s">
        <v>89</v>
      </c>
      <c r="AVF5" s="394" t="s">
        <v>89</v>
      </c>
      <c r="AVG5" s="394" t="s">
        <v>89</v>
      </c>
      <c r="AVH5" s="394" t="s">
        <v>89</v>
      </c>
      <c r="AVI5" s="394" t="s">
        <v>89</v>
      </c>
      <c r="AVJ5" s="394" t="s">
        <v>89</v>
      </c>
      <c r="AVK5" s="394" t="s">
        <v>89</v>
      </c>
      <c r="AVL5" s="394" t="s">
        <v>89</v>
      </c>
      <c r="AVM5" s="394" t="s">
        <v>89</v>
      </c>
      <c r="AVN5" s="394" t="s">
        <v>89</v>
      </c>
      <c r="AVO5" s="394" t="s">
        <v>89</v>
      </c>
      <c r="AVP5" s="394" t="s">
        <v>89</v>
      </c>
      <c r="AVQ5" s="394" t="s">
        <v>89</v>
      </c>
      <c r="AVR5" s="394" t="s">
        <v>89</v>
      </c>
      <c r="AVS5" s="394" t="s">
        <v>89</v>
      </c>
      <c r="AVT5" s="394" t="s">
        <v>89</v>
      </c>
      <c r="AVU5" s="394" t="s">
        <v>89</v>
      </c>
      <c r="AVV5" s="394" t="s">
        <v>89</v>
      </c>
      <c r="AVW5" s="394" t="s">
        <v>89</v>
      </c>
      <c r="AVX5" s="394" t="s">
        <v>89</v>
      </c>
      <c r="AVY5" s="394" t="s">
        <v>89</v>
      </c>
      <c r="AVZ5" s="394" t="s">
        <v>89</v>
      </c>
      <c r="AWA5" s="394" t="s">
        <v>89</v>
      </c>
      <c r="AWB5" s="394" t="s">
        <v>89</v>
      </c>
      <c r="AWC5" s="394" t="s">
        <v>89</v>
      </c>
      <c r="AWD5" s="394" t="s">
        <v>89</v>
      </c>
      <c r="AWE5" s="394" t="s">
        <v>89</v>
      </c>
      <c r="AWF5" s="394" t="s">
        <v>89</v>
      </c>
      <c r="AWG5" s="394" t="s">
        <v>89</v>
      </c>
      <c r="AWH5" s="394" t="s">
        <v>89</v>
      </c>
      <c r="AWI5" s="394" t="s">
        <v>89</v>
      </c>
      <c r="AWJ5" s="394" t="s">
        <v>89</v>
      </c>
      <c r="AWK5" s="394" t="s">
        <v>89</v>
      </c>
      <c r="AWL5" s="394" t="s">
        <v>89</v>
      </c>
      <c r="AWM5" s="394" t="s">
        <v>89</v>
      </c>
      <c r="AWN5" s="394" t="s">
        <v>89</v>
      </c>
      <c r="AWO5" s="394" t="s">
        <v>89</v>
      </c>
      <c r="AWP5" s="394" t="s">
        <v>89</v>
      </c>
      <c r="AWQ5" s="394" t="s">
        <v>89</v>
      </c>
      <c r="AWR5" s="394" t="s">
        <v>89</v>
      </c>
      <c r="AWS5" s="394" t="s">
        <v>89</v>
      </c>
      <c r="AWT5" s="394" t="s">
        <v>89</v>
      </c>
      <c r="AWU5" s="394" t="s">
        <v>89</v>
      </c>
      <c r="AWV5" s="394" t="s">
        <v>89</v>
      </c>
      <c r="AWW5" s="394" t="s">
        <v>89</v>
      </c>
      <c r="AWX5" s="394" t="s">
        <v>89</v>
      </c>
      <c r="AWY5" s="394" t="s">
        <v>89</v>
      </c>
      <c r="AWZ5" s="394" t="s">
        <v>89</v>
      </c>
      <c r="AXA5" s="394" t="s">
        <v>89</v>
      </c>
      <c r="AXB5" s="394" t="s">
        <v>89</v>
      </c>
      <c r="AXC5" s="394" t="s">
        <v>89</v>
      </c>
      <c r="AXD5" s="394" t="s">
        <v>89</v>
      </c>
      <c r="AXE5" s="394" t="s">
        <v>89</v>
      </c>
      <c r="AXF5" s="394" t="s">
        <v>89</v>
      </c>
      <c r="AXG5" s="394" t="s">
        <v>89</v>
      </c>
      <c r="AXH5" s="394" t="s">
        <v>89</v>
      </c>
      <c r="AXI5" s="394" t="s">
        <v>89</v>
      </c>
      <c r="AXJ5" s="394" t="s">
        <v>89</v>
      </c>
      <c r="AXK5" s="394" t="s">
        <v>89</v>
      </c>
      <c r="AXL5" s="394" t="s">
        <v>89</v>
      </c>
      <c r="AXM5" s="394" t="s">
        <v>89</v>
      </c>
      <c r="AXN5" s="394" t="s">
        <v>89</v>
      </c>
      <c r="AXO5" s="394" t="s">
        <v>89</v>
      </c>
      <c r="AXP5" s="394" t="s">
        <v>89</v>
      </c>
      <c r="AXQ5" s="394" t="s">
        <v>89</v>
      </c>
      <c r="AXR5" s="394" t="s">
        <v>89</v>
      </c>
      <c r="AXS5" s="394" t="s">
        <v>89</v>
      </c>
      <c r="AXT5" s="394" t="s">
        <v>89</v>
      </c>
      <c r="AXU5" s="394" t="s">
        <v>89</v>
      </c>
      <c r="AXV5" s="394" t="s">
        <v>89</v>
      </c>
      <c r="AXW5" s="394" t="s">
        <v>89</v>
      </c>
      <c r="AXX5" s="394" t="s">
        <v>89</v>
      </c>
      <c r="AXY5" s="394" t="s">
        <v>89</v>
      </c>
      <c r="AXZ5" s="394" t="s">
        <v>89</v>
      </c>
      <c r="AYA5" s="394" t="s">
        <v>89</v>
      </c>
      <c r="AYB5" s="394" t="s">
        <v>89</v>
      </c>
      <c r="AYC5" s="394" t="s">
        <v>89</v>
      </c>
      <c r="AYD5" s="394" t="s">
        <v>89</v>
      </c>
      <c r="AYE5" s="394" t="s">
        <v>89</v>
      </c>
      <c r="AYF5" s="394" t="s">
        <v>89</v>
      </c>
      <c r="AYG5" s="394" t="s">
        <v>89</v>
      </c>
      <c r="AYH5" s="394" t="s">
        <v>89</v>
      </c>
      <c r="AYI5" s="394" t="s">
        <v>89</v>
      </c>
      <c r="AYJ5" s="394" t="s">
        <v>89</v>
      </c>
      <c r="AYK5" s="394" t="s">
        <v>89</v>
      </c>
      <c r="AYL5" s="394" t="s">
        <v>89</v>
      </c>
      <c r="AYM5" s="394" t="s">
        <v>89</v>
      </c>
      <c r="AYN5" s="394" t="s">
        <v>89</v>
      </c>
      <c r="AYO5" s="394" t="s">
        <v>89</v>
      </c>
      <c r="AYP5" s="394" t="s">
        <v>89</v>
      </c>
      <c r="AYQ5" s="394" t="s">
        <v>89</v>
      </c>
      <c r="AYR5" s="394" t="s">
        <v>89</v>
      </c>
      <c r="AYS5" s="394" t="s">
        <v>89</v>
      </c>
      <c r="AYT5" s="394" t="s">
        <v>89</v>
      </c>
      <c r="AYU5" s="394" t="s">
        <v>89</v>
      </c>
      <c r="AYV5" s="394" t="s">
        <v>89</v>
      </c>
      <c r="AYW5" s="394" t="s">
        <v>89</v>
      </c>
      <c r="AYX5" s="394" t="s">
        <v>89</v>
      </c>
      <c r="AYY5" s="394" t="s">
        <v>89</v>
      </c>
      <c r="AYZ5" s="394" t="s">
        <v>89</v>
      </c>
      <c r="AZA5" s="394" t="s">
        <v>89</v>
      </c>
      <c r="AZB5" s="394" t="s">
        <v>89</v>
      </c>
      <c r="AZC5" s="394" t="s">
        <v>89</v>
      </c>
      <c r="AZD5" s="394" t="s">
        <v>89</v>
      </c>
      <c r="AZE5" s="394" t="s">
        <v>89</v>
      </c>
      <c r="AZF5" s="394" t="s">
        <v>89</v>
      </c>
      <c r="AZG5" s="394" t="s">
        <v>89</v>
      </c>
      <c r="AZH5" s="394" t="s">
        <v>89</v>
      </c>
      <c r="AZI5" s="394" t="s">
        <v>89</v>
      </c>
      <c r="AZJ5" s="394" t="s">
        <v>89</v>
      </c>
      <c r="AZK5" s="394" t="s">
        <v>89</v>
      </c>
      <c r="AZL5" s="394" t="s">
        <v>89</v>
      </c>
      <c r="AZM5" s="394" t="s">
        <v>89</v>
      </c>
      <c r="AZN5" s="394" t="s">
        <v>89</v>
      </c>
      <c r="AZO5" s="394" t="s">
        <v>89</v>
      </c>
      <c r="AZP5" s="394" t="s">
        <v>89</v>
      </c>
      <c r="AZQ5" s="394" t="s">
        <v>89</v>
      </c>
      <c r="AZR5" s="394" t="s">
        <v>89</v>
      </c>
      <c r="AZS5" s="394" t="s">
        <v>89</v>
      </c>
      <c r="AZT5" s="394" t="s">
        <v>89</v>
      </c>
      <c r="AZU5" s="394" t="s">
        <v>89</v>
      </c>
      <c r="AZV5" s="394" t="s">
        <v>89</v>
      </c>
      <c r="AZW5" s="394" t="s">
        <v>89</v>
      </c>
      <c r="AZX5" s="394" t="s">
        <v>89</v>
      </c>
      <c r="AZY5" s="394" t="s">
        <v>89</v>
      </c>
      <c r="AZZ5" s="394" t="s">
        <v>89</v>
      </c>
      <c r="BAA5" s="394" t="s">
        <v>89</v>
      </c>
      <c r="BAB5" s="394" t="s">
        <v>89</v>
      </c>
      <c r="BAC5" s="394" t="s">
        <v>89</v>
      </c>
      <c r="BAD5" s="394" t="s">
        <v>89</v>
      </c>
      <c r="BAE5" s="394" t="s">
        <v>89</v>
      </c>
      <c r="BAF5" s="394" t="s">
        <v>89</v>
      </c>
      <c r="BAG5" s="394" t="s">
        <v>89</v>
      </c>
      <c r="BAH5" s="394" t="s">
        <v>89</v>
      </c>
      <c r="BAI5" s="394" t="s">
        <v>89</v>
      </c>
      <c r="BAJ5" s="394" t="s">
        <v>89</v>
      </c>
      <c r="BAK5" s="394" t="s">
        <v>89</v>
      </c>
      <c r="BAL5" s="394" t="s">
        <v>89</v>
      </c>
      <c r="BAM5" s="394" t="s">
        <v>89</v>
      </c>
      <c r="BAN5" s="394" t="s">
        <v>89</v>
      </c>
      <c r="BAO5" s="394" t="s">
        <v>89</v>
      </c>
      <c r="BAP5" s="394" t="s">
        <v>89</v>
      </c>
      <c r="BAQ5" s="394" t="s">
        <v>89</v>
      </c>
      <c r="BAR5" s="394" t="s">
        <v>89</v>
      </c>
      <c r="BAS5" s="394" t="s">
        <v>89</v>
      </c>
      <c r="BAT5" s="394" t="s">
        <v>89</v>
      </c>
      <c r="BAU5" s="394" t="s">
        <v>89</v>
      </c>
      <c r="BAV5" s="394" t="s">
        <v>89</v>
      </c>
      <c r="BAW5" s="394" t="s">
        <v>89</v>
      </c>
      <c r="BAX5" s="394" t="s">
        <v>89</v>
      </c>
      <c r="BAY5" s="394" t="s">
        <v>89</v>
      </c>
      <c r="BAZ5" s="394" t="s">
        <v>89</v>
      </c>
      <c r="BBA5" s="394" t="s">
        <v>89</v>
      </c>
      <c r="BBB5" s="394" t="s">
        <v>89</v>
      </c>
      <c r="BBC5" s="394" t="s">
        <v>89</v>
      </c>
      <c r="BBD5" s="394" t="s">
        <v>89</v>
      </c>
      <c r="BBE5" s="394" t="s">
        <v>89</v>
      </c>
      <c r="BBF5" s="394" t="s">
        <v>89</v>
      </c>
      <c r="BBG5" s="394" t="s">
        <v>89</v>
      </c>
      <c r="BBH5" s="394" t="s">
        <v>89</v>
      </c>
      <c r="BBI5" s="394" t="s">
        <v>89</v>
      </c>
      <c r="BBJ5" s="394" t="s">
        <v>89</v>
      </c>
      <c r="BBK5" s="394" t="s">
        <v>89</v>
      </c>
      <c r="BBL5" s="394" t="s">
        <v>89</v>
      </c>
      <c r="BBM5" s="394" t="s">
        <v>89</v>
      </c>
      <c r="BBN5" s="394" t="s">
        <v>89</v>
      </c>
      <c r="BBO5" s="394" t="s">
        <v>89</v>
      </c>
      <c r="BBP5" s="394" t="s">
        <v>89</v>
      </c>
      <c r="BBQ5" s="394" t="s">
        <v>89</v>
      </c>
      <c r="BBR5" s="394" t="s">
        <v>89</v>
      </c>
      <c r="BBS5" s="394" t="s">
        <v>89</v>
      </c>
      <c r="BBT5" s="394" t="s">
        <v>89</v>
      </c>
      <c r="BBU5" s="394" t="s">
        <v>89</v>
      </c>
      <c r="BBV5" s="394" t="s">
        <v>89</v>
      </c>
      <c r="BBW5" s="394" t="s">
        <v>89</v>
      </c>
      <c r="BBX5" s="394" t="s">
        <v>89</v>
      </c>
      <c r="BBY5" s="394" t="s">
        <v>89</v>
      </c>
      <c r="BBZ5" s="394" t="s">
        <v>89</v>
      </c>
      <c r="BCA5" s="394" t="s">
        <v>89</v>
      </c>
      <c r="BCB5" s="394" t="s">
        <v>89</v>
      </c>
      <c r="BCC5" s="394" t="s">
        <v>89</v>
      </c>
      <c r="BCD5" s="394" t="s">
        <v>89</v>
      </c>
      <c r="BCE5" s="394" t="s">
        <v>89</v>
      </c>
      <c r="BCF5" s="394" t="s">
        <v>89</v>
      </c>
      <c r="BCG5" s="394" t="s">
        <v>89</v>
      </c>
      <c r="BCH5" s="394" t="s">
        <v>89</v>
      </c>
      <c r="BCI5" s="394" t="s">
        <v>89</v>
      </c>
      <c r="BCJ5" s="394" t="s">
        <v>89</v>
      </c>
      <c r="BCK5" s="394" t="s">
        <v>89</v>
      </c>
      <c r="BCL5" s="394" t="s">
        <v>89</v>
      </c>
      <c r="BCM5" s="394" t="s">
        <v>89</v>
      </c>
      <c r="BCN5" s="394" t="s">
        <v>89</v>
      </c>
      <c r="BCO5" s="394" t="s">
        <v>89</v>
      </c>
      <c r="BCP5" s="394" t="s">
        <v>89</v>
      </c>
      <c r="BCQ5" s="394" t="s">
        <v>89</v>
      </c>
      <c r="BCR5" s="394" t="s">
        <v>89</v>
      </c>
      <c r="BCS5" s="394" t="s">
        <v>89</v>
      </c>
      <c r="BCT5" s="394" t="s">
        <v>89</v>
      </c>
      <c r="BCU5" s="394" t="s">
        <v>89</v>
      </c>
      <c r="BCV5" s="394" t="s">
        <v>89</v>
      </c>
      <c r="BCW5" s="394" t="s">
        <v>89</v>
      </c>
      <c r="BCX5" s="394" t="s">
        <v>89</v>
      </c>
      <c r="BCY5" s="394" t="s">
        <v>89</v>
      </c>
      <c r="BCZ5" s="394" t="s">
        <v>89</v>
      </c>
      <c r="BDA5" s="394" t="s">
        <v>89</v>
      </c>
      <c r="BDB5" s="394" t="s">
        <v>89</v>
      </c>
      <c r="BDC5" s="394" t="s">
        <v>89</v>
      </c>
      <c r="BDD5" s="394" t="s">
        <v>89</v>
      </c>
      <c r="BDE5" s="394" t="s">
        <v>89</v>
      </c>
      <c r="BDF5" s="394" t="s">
        <v>89</v>
      </c>
      <c r="BDG5" s="394" t="s">
        <v>89</v>
      </c>
      <c r="BDH5" s="394" t="s">
        <v>89</v>
      </c>
      <c r="BDI5" s="394" t="s">
        <v>89</v>
      </c>
      <c r="BDJ5" s="394" t="s">
        <v>89</v>
      </c>
      <c r="BDK5" s="394" t="s">
        <v>89</v>
      </c>
      <c r="BDL5" s="394" t="s">
        <v>89</v>
      </c>
      <c r="BDM5" s="394" t="s">
        <v>89</v>
      </c>
      <c r="BDN5" s="394" t="s">
        <v>89</v>
      </c>
      <c r="BDO5" s="394" t="s">
        <v>89</v>
      </c>
      <c r="BDP5" s="394" t="s">
        <v>89</v>
      </c>
      <c r="BDQ5" s="394" t="s">
        <v>89</v>
      </c>
      <c r="BDR5" s="394" t="s">
        <v>89</v>
      </c>
      <c r="BDS5" s="394" t="s">
        <v>89</v>
      </c>
      <c r="BDT5" s="394" t="s">
        <v>89</v>
      </c>
      <c r="BDU5" s="394" t="s">
        <v>89</v>
      </c>
      <c r="BDV5" s="394" t="s">
        <v>89</v>
      </c>
      <c r="BDW5" s="394" t="s">
        <v>89</v>
      </c>
      <c r="BDX5" s="394" t="s">
        <v>89</v>
      </c>
      <c r="BDY5" s="394" t="s">
        <v>89</v>
      </c>
      <c r="BDZ5" s="394" t="s">
        <v>89</v>
      </c>
      <c r="BEA5" s="394" t="s">
        <v>89</v>
      </c>
      <c r="BEB5" s="394" t="s">
        <v>89</v>
      </c>
      <c r="BEC5" s="394" t="s">
        <v>89</v>
      </c>
      <c r="BED5" s="394" t="s">
        <v>89</v>
      </c>
      <c r="BEE5" s="394" t="s">
        <v>89</v>
      </c>
      <c r="BEF5" s="394" t="s">
        <v>89</v>
      </c>
      <c r="BEG5" s="394" t="s">
        <v>89</v>
      </c>
      <c r="BEH5" s="394" t="s">
        <v>89</v>
      </c>
      <c r="BEI5" s="394" t="s">
        <v>89</v>
      </c>
      <c r="BEJ5" s="394" t="s">
        <v>89</v>
      </c>
      <c r="BEK5" s="394" t="s">
        <v>89</v>
      </c>
      <c r="BEL5" s="394" t="s">
        <v>89</v>
      </c>
      <c r="BEM5" s="394" t="s">
        <v>89</v>
      </c>
      <c r="BEN5" s="394" t="s">
        <v>89</v>
      </c>
      <c r="BEO5" s="394" t="s">
        <v>89</v>
      </c>
      <c r="BEP5" s="394" t="s">
        <v>89</v>
      </c>
      <c r="BEQ5" s="394" t="s">
        <v>89</v>
      </c>
      <c r="BER5" s="394" t="s">
        <v>89</v>
      </c>
      <c r="BES5" s="394" t="s">
        <v>89</v>
      </c>
      <c r="BET5" s="394" t="s">
        <v>89</v>
      </c>
      <c r="BEU5" s="394" t="s">
        <v>89</v>
      </c>
      <c r="BEV5" s="394" t="s">
        <v>89</v>
      </c>
      <c r="BEW5" s="394" t="s">
        <v>89</v>
      </c>
      <c r="BEX5" s="394" t="s">
        <v>89</v>
      </c>
      <c r="BEY5" s="394" t="s">
        <v>89</v>
      </c>
      <c r="BEZ5" s="394" t="s">
        <v>89</v>
      </c>
      <c r="BFA5" s="394" t="s">
        <v>89</v>
      </c>
      <c r="BFB5" s="394" t="s">
        <v>89</v>
      </c>
      <c r="BFC5" s="394" t="s">
        <v>89</v>
      </c>
      <c r="BFD5" s="394" t="s">
        <v>89</v>
      </c>
      <c r="BFE5" s="394" t="s">
        <v>89</v>
      </c>
      <c r="BFF5" s="394" t="s">
        <v>89</v>
      </c>
      <c r="BFG5" s="394" t="s">
        <v>89</v>
      </c>
      <c r="BFH5" s="394" t="s">
        <v>89</v>
      </c>
      <c r="BFI5" s="394" t="s">
        <v>89</v>
      </c>
      <c r="BFJ5" s="394" t="s">
        <v>89</v>
      </c>
      <c r="BFK5" s="394" t="s">
        <v>89</v>
      </c>
      <c r="BFL5" s="394" t="s">
        <v>89</v>
      </c>
      <c r="BFM5" s="394" t="s">
        <v>89</v>
      </c>
      <c r="BFN5" s="394" t="s">
        <v>89</v>
      </c>
      <c r="BFO5" s="394" t="s">
        <v>89</v>
      </c>
      <c r="BFP5" s="394" t="s">
        <v>89</v>
      </c>
      <c r="BFQ5" s="394" t="s">
        <v>89</v>
      </c>
      <c r="BFR5" s="394" t="s">
        <v>89</v>
      </c>
      <c r="BFS5" s="394" t="s">
        <v>89</v>
      </c>
      <c r="BFT5" s="394" t="s">
        <v>89</v>
      </c>
      <c r="BFU5" s="394" t="s">
        <v>89</v>
      </c>
      <c r="BFV5" s="394" t="s">
        <v>89</v>
      </c>
      <c r="BFW5" s="394" t="s">
        <v>89</v>
      </c>
      <c r="BFX5" s="394" t="s">
        <v>89</v>
      </c>
      <c r="BFY5" s="394" t="s">
        <v>89</v>
      </c>
      <c r="BFZ5" s="394" t="s">
        <v>89</v>
      </c>
      <c r="BGA5" s="394" t="s">
        <v>89</v>
      </c>
      <c r="BGB5" s="394" t="s">
        <v>89</v>
      </c>
      <c r="BGC5" s="394" t="s">
        <v>89</v>
      </c>
      <c r="BGD5" s="394" t="s">
        <v>89</v>
      </c>
      <c r="BGE5" s="394" t="s">
        <v>89</v>
      </c>
      <c r="BGF5" s="394" t="s">
        <v>89</v>
      </c>
      <c r="BGG5" s="394" t="s">
        <v>89</v>
      </c>
      <c r="BGH5" s="394" t="s">
        <v>89</v>
      </c>
      <c r="BGI5" s="394" t="s">
        <v>89</v>
      </c>
      <c r="BGJ5" s="394" t="s">
        <v>89</v>
      </c>
      <c r="BGK5" s="394" t="s">
        <v>89</v>
      </c>
      <c r="BGL5" s="394" t="s">
        <v>89</v>
      </c>
      <c r="BGM5" s="394" t="s">
        <v>89</v>
      </c>
      <c r="BGN5" s="394" t="s">
        <v>89</v>
      </c>
      <c r="BGO5" s="394" t="s">
        <v>89</v>
      </c>
      <c r="BGP5" s="394" t="s">
        <v>89</v>
      </c>
      <c r="BGQ5" s="394" t="s">
        <v>89</v>
      </c>
      <c r="BGR5" s="394" t="s">
        <v>89</v>
      </c>
      <c r="BGS5" s="394" t="s">
        <v>89</v>
      </c>
      <c r="BGT5" s="394" t="s">
        <v>89</v>
      </c>
      <c r="BGU5" s="394" t="s">
        <v>89</v>
      </c>
      <c r="BGV5" s="394" t="s">
        <v>89</v>
      </c>
      <c r="BGW5" s="394" t="s">
        <v>89</v>
      </c>
      <c r="BGX5" s="394" t="s">
        <v>89</v>
      </c>
      <c r="BGY5" s="394" t="s">
        <v>89</v>
      </c>
      <c r="BGZ5" s="394" t="s">
        <v>89</v>
      </c>
      <c r="BHA5" s="394" t="s">
        <v>89</v>
      </c>
      <c r="BHB5" s="394" t="s">
        <v>89</v>
      </c>
      <c r="BHC5" s="394" t="s">
        <v>89</v>
      </c>
      <c r="BHD5" s="394" t="s">
        <v>89</v>
      </c>
      <c r="BHE5" s="394" t="s">
        <v>89</v>
      </c>
      <c r="BHF5" s="394" t="s">
        <v>89</v>
      </c>
      <c r="BHG5" s="394" t="s">
        <v>89</v>
      </c>
      <c r="BHH5" s="394" t="s">
        <v>89</v>
      </c>
      <c r="BHI5" s="394" t="s">
        <v>89</v>
      </c>
      <c r="BHJ5" s="394" t="s">
        <v>89</v>
      </c>
      <c r="BHK5" s="394" t="s">
        <v>89</v>
      </c>
      <c r="BHL5" s="394" t="s">
        <v>89</v>
      </c>
      <c r="BHM5" s="394" t="s">
        <v>89</v>
      </c>
      <c r="BHN5" s="394" t="s">
        <v>89</v>
      </c>
      <c r="BHO5" s="394" t="s">
        <v>89</v>
      </c>
      <c r="BHP5" s="394" t="s">
        <v>89</v>
      </c>
      <c r="BHQ5" s="394" t="s">
        <v>89</v>
      </c>
      <c r="BHR5" s="394" t="s">
        <v>89</v>
      </c>
      <c r="BHS5" s="394" t="s">
        <v>89</v>
      </c>
      <c r="BHT5" s="394" t="s">
        <v>89</v>
      </c>
      <c r="BHU5" s="394" t="s">
        <v>89</v>
      </c>
      <c r="BHV5" s="394" t="s">
        <v>89</v>
      </c>
      <c r="BHW5" s="394" t="s">
        <v>89</v>
      </c>
      <c r="BHX5" s="394" t="s">
        <v>89</v>
      </c>
      <c r="BHY5" s="394" t="s">
        <v>89</v>
      </c>
      <c r="BHZ5" s="394" t="s">
        <v>89</v>
      </c>
      <c r="BIA5" s="394" t="s">
        <v>89</v>
      </c>
      <c r="BIB5" s="394" t="s">
        <v>89</v>
      </c>
      <c r="BIC5" s="394" t="s">
        <v>89</v>
      </c>
      <c r="BID5" s="394" t="s">
        <v>89</v>
      </c>
      <c r="BIE5" s="394" t="s">
        <v>89</v>
      </c>
      <c r="BIF5" s="394" t="s">
        <v>89</v>
      </c>
      <c r="BIG5" s="394" t="s">
        <v>89</v>
      </c>
      <c r="BIH5" s="394" t="s">
        <v>89</v>
      </c>
      <c r="BII5" s="394" t="s">
        <v>89</v>
      </c>
      <c r="BIJ5" s="394" t="s">
        <v>89</v>
      </c>
      <c r="BIK5" s="394" t="s">
        <v>89</v>
      </c>
      <c r="BIL5" s="394" t="s">
        <v>89</v>
      </c>
      <c r="BIM5" s="394" t="s">
        <v>89</v>
      </c>
      <c r="BIN5" s="394" t="s">
        <v>89</v>
      </c>
      <c r="BIO5" s="394" t="s">
        <v>89</v>
      </c>
      <c r="BIP5" s="394" t="s">
        <v>89</v>
      </c>
      <c r="BIQ5" s="394" t="s">
        <v>89</v>
      </c>
      <c r="BIR5" s="394" t="s">
        <v>89</v>
      </c>
      <c r="BIS5" s="394" t="s">
        <v>89</v>
      </c>
      <c r="BIT5" s="394" t="s">
        <v>89</v>
      </c>
      <c r="BIU5" s="394" t="s">
        <v>89</v>
      </c>
      <c r="BIV5" s="394" t="s">
        <v>89</v>
      </c>
      <c r="BIW5" s="394" t="s">
        <v>89</v>
      </c>
      <c r="BIX5" s="394" t="s">
        <v>89</v>
      </c>
      <c r="BIY5" s="394" t="s">
        <v>89</v>
      </c>
      <c r="BIZ5" s="394" t="s">
        <v>89</v>
      </c>
      <c r="BJA5" s="394" t="s">
        <v>89</v>
      </c>
      <c r="BJB5" s="394" t="s">
        <v>89</v>
      </c>
      <c r="BJC5" s="394" t="s">
        <v>89</v>
      </c>
      <c r="BJD5" s="394" t="s">
        <v>89</v>
      </c>
      <c r="BJE5" s="394" t="s">
        <v>89</v>
      </c>
      <c r="BJF5" s="394" t="s">
        <v>89</v>
      </c>
      <c r="BJG5" s="394" t="s">
        <v>89</v>
      </c>
      <c r="BJH5" s="394" t="s">
        <v>89</v>
      </c>
      <c r="BJI5" s="394" t="s">
        <v>89</v>
      </c>
      <c r="BJJ5" s="394" t="s">
        <v>89</v>
      </c>
      <c r="BJK5" s="394" t="s">
        <v>89</v>
      </c>
      <c r="BJL5" s="394" t="s">
        <v>89</v>
      </c>
      <c r="BJM5" s="394" t="s">
        <v>89</v>
      </c>
      <c r="BJN5" s="394" t="s">
        <v>89</v>
      </c>
      <c r="BJO5" s="394" t="s">
        <v>89</v>
      </c>
      <c r="BJP5" s="394" t="s">
        <v>89</v>
      </c>
      <c r="BJQ5" s="394" t="s">
        <v>89</v>
      </c>
      <c r="BJR5" s="394" t="s">
        <v>89</v>
      </c>
      <c r="BJS5" s="394" t="s">
        <v>89</v>
      </c>
      <c r="BJT5" s="394" t="s">
        <v>89</v>
      </c>
      <c r="BJU5" s="394" t="s">
        <v>89</v>
      </c>
      <c r="BJV5" s="394" t="s">
        <v>89</v>
      </c>
      <c r="BJW5" s="394" t="s">
        <v>89</v>
      </c>
      <c r="BJX5" s="394" t="s">
        <v>89</v>
      </c>
      <c r="BJY5" s="394" t="s">
        <v>89</v>
      </c>
      <c r="BJZ5" s="394" t="s">
        <v>89</v>
      </c>
      <c r="BKA5" s="394" t="s">
        <v>89</v>
      </c>
      <c r="BKB5" s="394" t="s">
        <v>89</v>
      </c>
      <c r="BKC5" s="394" t="s">
        <v>89</v>
      </c>
      <c r="BKD5" s="394" t="s">
        <v>89</v>
      </c>
      <c r="BKE5" s="394" t="s">
        <v>89</v>
      </c>
      <c r="BKF5" s="394" t="s">
        <v>89</v>
      </c>
      <c r="BKG5" s="394" t="s">
        <v>89</v>
      </c>
      <c r="BKH5" s="394" t="s">
        <v>89</v>
      </c>
      <c r="BKI5" s="394" t="s">
        <v>89</v>
      </c>
      <c r="BKJ5" s="394" t="s">
        <v>89</v>
      </c>
      <c r="BKK5" s="394" t="s">
        <v>89</v>
      </c>
      <c r="BKL5" s="394" t="s">
        <v>89</v>
      </c>
      <c r="BKM5" s="394" t="s">
        <v>89</v>
      </c>
      <c r="BKN5" s="394" t="s">
        <v>89</v>
      </c>
      <c r="BKO5" s="394" t="s">
        <v>89</v>
      </c>
      <c r="BKP5" s="394" t="s">
        <v>89</v>
      </c>
      <c r="BKQ5" s="394" t="s">
        <v>89</v>
      </c>
      <c r="BKR5" s="394" t="s">
        <v>89</v>
      </c>
      <c r="BKS5" s="394" t="s">
        <v>89</v>
      </c>
      <c r="BKT5" s="394" t="s">
        <v>89</v>
      </c>
      <c r="BKU5" s="394" t="s">
        <v>89</v>
      </c>
      <c r="BKV5" s="394" t="s">
        <v>89</v>
      </c>
      <c r="BKW5" s="394" t="s">
        <v>89</v>
      </c>
      <c r="BKX5" s="394" t="s">
        <v>89</v>
      </c>
      <c r="BKY5" s="394" t="s">
        <v>89</v>
      </c>
      <c r="BKZ5" s="394" t="s">
        <v>89</v>
      </c>
      <c r="BLA5" s="394" t="s">
        <v>89</v>
      </c>
      <c r="BLB5" s="394" t="s">
        <v>89</v>
      </c>
      <c r="BLC5" s="394" t="s">
        <v>89</v>
      </c>
      <c r="BLD5" s="394" t="s">
        <v>89</v>
      </c>
      <c r="BLE5" s="394" t="s">
        <v>89</v>
      </c>
      <c r="BLF5" s="394" t="s">
        <v>89</v>
      </c>
      <c r="BLG5" s="394" t="s">
        <v>89</v>
      </c>
      <c r="BLH5" s="394" t="s">
        <v>89</v>
      </c>
      <c r="BLI5" s="394" t="s">
        <v>89</v>
      </c>
      <c r="BLJ5" s="394" t="s">
        <v>89</v>
      </c>
      <c r="BLK5" s="394" t="s">
        <v>89</v>
      </c>
      <c r="BLL5" s="394" t="s">
        <v>89</v>
      </c>
      <c r="BLM5" s="394" t="s">
        <v>89</v>
      </c>
      <c r="BLN5" s="394" t="s">
        <v>89</v>
      </c>
      <c r="BLO5" s="394" t="s">
        <v>89</v>
      </c>
      <c r="BLP5" s="394" t="s">
        <v>89</v>
      </c>
      <c r="BLQ5" s="394" t="s">
        <v>89</v>
      </c>
      <c r="BLR5" s="394" t="s">
        <v>89</v>
      </c>
      <c r="BLS5" s="394" t="s">
        <v>89</v>
      </c>
      <c r="BLT5" s="394" t="s">
        <v>89</v>
      </c>
      <c r="BLU5" s="394" t="s">
        <v>89</v>
      </c>
      <c r="BLV5" s="394" t="s">
        <v>89</v>
      </c>
      <c r="BLW5" s="394" t="s">
        <v>89</v>
      </c>
      <c r="BLX5" s="394" t="s">
        <v>89</v>
      </c>
      <c r="BLY5" s="394" t="s">
        <v>89</v>
      </c>
      <c r="BLZ5" s="394" t="s">
        <v>89</v>
      </c>
      <c r="BMA5" s="394" t="s">
        <v>89</v>
      </c>
      <c r="BMB5" s="394" t="s">
        <v>89</v>
      </c>
      <c r="BMC5" s="394" t="s">
        <v>89</v>
      </c>
      <c r="BMD5" s="394" t="s">
        <v>89</v>
      </c>
      <c r="BME5" s="394" t="s">
        <v>89</v>
      </c>
      <c r="BMF5" s="394" t="s">
        <v>89</v>
      </c>
      <c r="BMG5" s="394" t="s">
        <v>89</v>
      </c>
      <c r="BMH5" s="394" t="s">
        <v>89</v>
      </c>
      <c r="BMI5" s="394" t="s">
        <v>89</v>
      </c>
      <c r="BMJ5" s="394" t="s">
        <v>89</v>
      </c>
      <c r="BMK5" s="394" t="s">
        <v>89</v>
      </c>
      <c r="BML5" s="394" t="s">
        <v>89</v>
      </c>
      <c r="BMM5" s="394" t="s">
        <v>89</v>
      </c>
      <c r="BMN5" s="394" t="s">
        <v>89</v>
      </c>
      <c r="BMO5" s="394" t="s">
        <v>89</v>
      </c>
      <c r="BMP5" s="394" t="s">
        <v>89</v>
      </c>
      <c r="BMQ5" s="394" t="s">
        <v>89</v>
      </c>
      <c r="BMR5" s="394" t="s">
        <v>89</v>
      </c>
      <c r="BMS5" s="394" t="s">
        <v>89</v>
      </c>
      <c r="BMT5" s="394" t="s">
        <v>89</v>
      </c>
      <c r="BMU5" s="394" t="s">
        <v>89</v>
      </c>
      <c r="BMV5" s="394" t="s">
        <v>89</v>
      </c>
      <c r="BMW5" s="394" t="s">
        <v>89</v>
      </c>
      <c r="BMX5" s="394" t="s">
        <v>89</v>
      </c>
      <c r="BMY5" s="394" t="s">
        <v>89</v>
      </c>
      <c r="BMZ5" s="394" t="s">
        <v>89</v>
      </c>
      <c r="BNA5" s="394" t="s">
        <v>89</v>
      </c>
      <c r="BNB5" s="394" t="s">
        <v>89</v>
      </c>
      <c r="BNC5" s="394" t="s">
        <v>89</v>
      </c>
      <c r="BND5" s="394" t="s">
        <v>89</v>
      </c>
      <c r="BNE5" s="394" t="s">
        <v>89</v>
      </c>
      <c r="BNF5" s="394" t="s">
        <v>89</v>
      </c>
      <c r="BNG5" s="394" t="s">
        <v>89</v>
      </c>
      <c r="BNH5" s="394" t="s">
        <v>89</v>
      </c>
      <c r="BNI5" s="394" t="s">
        <v>89</v>
      </c>
      <c r="BNJ5" s="394" t="s">
        <v>89</v>
      </c>
      <c r="BNK5" s="394" t="s">
        <v>89</v>
      </c>
      <c r="BNL5" s="394" t="s">
        <v>89</v>
      </c>
      <c r="BNM5" s="394" t="s">
        <v>89</v>
      </c>
      <c r="BNN5" s="394" t="s">
        <v>89</v>
      </c>
      <c r="BNO5" s="394" t="s">
        <v>89</v>
      </c>
      <c r="BNP5" s="394" t="s">
        <v>89</v>
      </c>
      <c r="BNQ5" s="394" t="s">
        <v>89</v>
      </c>
      <c r="BNR5" s="394" t="s">
        <v>89</v>
      </c>
      <c r="BNS5" s="394" t="s">
        <v>89</v>
      </c>
      <c r="BNT5" s="394" t="s">
        <v>89</v>
      </c>
      <c r="BNU5" s="394" t="s">
        <v>89</v>
      </c>
      <c r="BNV5" s="394" t="s">
        <v>89</v>
      </c>
      <c r="BNW5" s="394" t="s">
        <v>89</v>
      </c>
      <c r="BNX5" s="394" t="s">
        <v>89</v>
      </c>
      <c r="BNY5" s="394" t="s">
        <v>89</v>
      </c>
      <c r="BNZ5" s="394" t="s">
        <v>89</v>
      </c>
      <c r="BOA5" s="394" t="s">
        <v>89</v>
      </c>
      <c r="BOB5" s="394" t="s">
        <v>89</v>
      </c>
      <c r="BOC5" s="394" t="s">
        <v>89</v>
      </c>
      <c r="BOD5" s="394" t="s">
        <v>89</v>
      </c>
      <c r="BOE5" s="394" t="s">
        <v>89</v>
      </c>
      <c r="BOF5" s="394" t="s">
        <v>89</v>
      </c>
      <c r="BOG5" s="394" t="s">
        <v>89</v>
      </c>
      <c r="BOH5" s="394" t="s">
        <v>89</v>
      </c>
      <c r="BOI5" s="394" t="s">
        <v>89</v>
      </c>
      <c r="BOJ5" s="394" t="s">
        <v>89</v>
      </c>
      <c r="BOK5" s="394" t="s">
        <v>89</v>
      </c>
      <c r="BOL5" s="394" t="s">
        <v>89</v>
      </c>
      <c r="BOM5" s="394" t="s">
        <v>89</v>
      </c>
      <c r="BON5" s="394" t="s">
        <v>89</v>
      </c>
      <c r="BOO5" s="394" t="s">
        <v>89</v>
      </c>
      <c r="BOP5" s="394" t="s">
        <v>89</v>
      </c>
      <c r="BOQ5" s="394" t="s">
        <v>89</v>
      </c>
      <c r="BOR5" s="394" t="s">
        <v>89</v>
      </c>
      <c r="BOS5" s="394" t="s">
        <v>89</v>
      </c>
      <c r="BOT5" s="394" t="s">
        <v>89</v>
      </c>
      <c r="BOU5" s="394" t="s">
        <v>89</v>
      </c>
      <c r="BOV5" s="394" t="s">
        <v>89</v>
      </c>
      <c r="BOW5" s="394" t="s">
        <v>89</v>
      </c>
      <c r="BOX5" s="394" t="s">
        <v>89</v>
      </c>
      <c r="BOY5" s="394" t="s">
        <v>89</v>
      </c>
      <c r="BOZ5" s="394" t="s">
        <v>89</v>
      </c>
      <c r="BPA5" s="394" t="s">
        <v>89</v>
      </c>
      <c r="BPB5" s="394" t="s">
        <v>89</v>
      </c>
      <c r="BPC5" s="394" t="s">
        <v>89</v>
      </c>
      <c r="BPD5" s="394" t="s">
        <v>89</v>
      </c>
      <c r="BPE5" s="394" t="s">
        <v>89</v>
      </c>
      <c r="BPF5" s="394" t="s">
        <v>89</v>
      </c>
      <c r="BPG5" s="394" t="s">
        <v>89</v>
      </c>
      <c r="BPH5" s="394" t="s">
        <v>89</v>
      </c>
      <c r="BPI5" s="394" t="s">
        <v>89</v>
      </c>
      <c r="BPJ5" s="394" t="s">
        <v>89</v>
      </c>
      <c r="BPK5" s="394" t="s">
        <v>89</v>
      </c>
      <c r="BPL5" s="394" t="s">
        <v>89</v>
      </c>
      <c r="BPM5" s="394" t="s">
        <v>89</v>
      </c>
      <c r="BPN5" s="394" t="s">
        <v>89</v>
      </c>
      <c r="BPO5" s="394" t="s">
        <v>89</v>
      </c>
      <c r="BPP5" s="394" t="s">
        <v>89</v>
      </c>
      <c r="BPQ5" s="394" t="s">
        <v>89</v>
      </c>
      <c r="BPR5" s="394" t="s">
        <v>89</v>
      </c>
      <c r="BPS5" s="394" t="s">
        <v>89</v>
      </c>
      <c r="BPT5" s="394" t="s">
        <v>89</v>
      </c>
      <c r="BPU5" s="394" t="s">
        <v>89</v>
      </c>
      <c r="BPV5" s="394" t="s">
        <v>89</v>
      </c>
      <c r="BPW5" s="394" t="s">
        <v>89</v>
      </c>
      <c r="BPX5" s="394" t="s">
        <v>89</v>
      </c>
      <c r="BPY5" s="394" t="s">
        <v>89</v>
      </c>
      <c r="BPZ5" s="394" t="s">
        <v>89</v>
      </c>
      <c r="BQA5" s="394" t="s">
        <v>89</v>
      </c>
      <c r="BQB5" s="394" t="s">
        <v>89</v>
      </c>
      <c r="BQC5" s="394" t="s">
        <v>89</v>
      </c>
      <c r="BQD5" s="394" t="s">
        <v>89</v>
      </c>
      <c r="BQE5" s="394" t="s">
        <v>89</v>
      </c>
      <c r="BQF5" s="394" t="s">
        <v>89</v>
      </c>
      <c r="BQG5" s="394" t="s">
        <v>89</v>
      </c>
      <c r="BQH5" s="394" t="s">
        <v>89</v>
      </c>
      <c r="BQI5" s="394" t="s">
        <v>89</v>
      </c>
      <c r="BQJ5" s="394" t="s">
        <v>89</v>
      </c>
      <c r="BQK5" s="394" t="s">
        <v>89</v>
      </c>
      <c r="BQL5" s="394" t="s">
        <v>89</v>
      </c>
      <c r="BQM5" s="394" t="s">
        <v>89</v>
      </c>
      <c r="BQN5" s="394" t="s">
        <v>89</v>
      </c>
      <c r="BQO5" s="394" t="s">
        <v>89</v>
      </c>
      <c r="BQP5" s="394" t="s">
        <v>89</v>
      </c>
      <c r="BQQ5" s="394" t="s">
        <v>89</v>
      </c>
      <c r="BQR5" s="394" t="s">
        <v>89</v>
      </c>
      <c r="BQS5" s="394" t="s">
        <v>89</v>
      </c>
      <c r="BQT5" s="394" t="s">
        <v>89</v>
      </c>
      <c r="BQU5" s="394" t="s">
        <v>89</v>
      </c>
      <c r="BQV5" s="394" t="s">
        <v>89</v>
      </c>
      <c r="BQW5" s="394" t="s">
        <v>89</v>
      </c>
      <c r="BQX5" s="394" t="s">
        <v>89</v>
      </c>
      <c r="BQY5" s="394" t="s">
        <v>89</v>
      </c>
      <c r="BQZ5" s="394" t="s">
        <v>89</v>
      </c>
      <c r="BRA5" s="394" t="s">
        <v>89</v>
      </c>
      <c r="BRB5" s="394" t="s">
        <v>89</v>
      </c>
      <c r="BRC5" s="394" t="s">
        <v>89</v>
      </c>
      <c r="BRD5" s="394" t="s">
        <v>89</v>
      </c>
      <c r="BRE5" s="394" t="s">
        <v>89</v>
      </c>
      <c r="BRF5" s="394" t="s">
        <v>89</v>
      </c>
      <c r="BRG5" s="394" t="s">
        <v>89</v>
      </c>
      <c r="BRH5" s="394" t="s">
        <v>89</v>
      </c>
      <c r="BRI5" s="394" t="s">
        <v>89</v>
      </c>
      <c r="BRJ5" s="394" t="s">
        <v>89</v>
      </c>
      <c r="BRK5" s="394" t="s">
        <v>89</v>
      </c>
      <c r="BRL5" s="394" t="s">
        <v>89</v>
      </c>
      <c r="BRM5" s="394" t="s">
        <v>89</v>
      </c>
      <c r="BRN5" s="394" t="s">
        <v>89</v>
      </c>
      <c r="BRO5" s="394" t="s">
        <v>89</v>
      </c>
      <c r="BRP5" s="394" t="s">
        <v>89</v>
      </c>
      <c r="BRQ5" s="394" t="s">
        <v>89</v>
      </c>
      <c r="BRR5" s="394" t="s">
        <v>89</v>
      </c>
      <c r="BRS5" s="394" t="s">
        <v>89</v>
      </c>
      <c r="BRT5" s="394" t="s">
        <v>89</v>
      </c>
      <c r="BRU5" s="394" t="s">
        <v>89</v>
      </c>
      <c r="BRV5" s="394" t="s">
        <v>89</v>
      </c>
      <c r="BRW5" s="394" t="s">
        <v>89</v>
      </c>
      <c r="BRX5" s="394" t="s">
        <v>89</v>
      </c>
      <c r="BRY5" s="394" t="s">
        <v>89</v>
      </c>
      <c r="BRZ5" s="394" t="s">
        <v>89</v>
      </c>
      <c r="BSA5" s="394" t="s">
        <v>89</v>
      </c>
      <c r="BSB5" s="394" t="s">
        <v>89</v>
      </c>
      <c r="BSC5" s="394" t="s">
        <v>89</v>
      </c>
      <c r="BSD5" s="394" t="s">
        <v>89</v>
      </c>
      <c r="BSE5" s="394" t="s">
        <v>89</v>
      </c>
      <c r="BSF5" s="394" t="s">
        <v>89</v>
      </c>
      <c r="BSG5" s="394" t="s">
        <v>89</v>
      </c>
      <c r="BSH5" s="394" t="s">
        <v>89</v>
      </c>
      <c r="BSI5" s="394" t="s">
        <v>89</v>
      </c>
      <c r="BSJ5" s="394" t="s">
        <v>89</v>
      </c>
      <c r="BSK5" s="394" t="s">
        <v>89</v>
      </c>
      <c r="BSL5" s="394" t="s">
        <v>89</v>
      </c>
      <c r="BSM5" s="394" t="s">
        <v>89</v>
      </c>
      <c r="BSN5" s="394" t="s">
        <v>89</v>
      </c>
      <c r="BSO5" s="394" t="s">
        <v>89</v>
      </c>
      <c r="BSP5" s="394" t="s">
        <v>89</v>
      </c>
      <c r="BSQ5" s="394" t="s">
        <v>89</v>
      </c>
      <c r="BSR5" s="394" t="s">
        <v>89</v>
      </c>
      <c r="BSS5" s="394" t="s">
        <v>89</v>
      </c>
      <c r="BST5" s="394" t="s">
        <v>89</v>
      </c>
      <c r="BSU5" s="394" t="s">
        <v>89</v>
      </c>
      <c r="BSV5" s="394" t="s">
        <v>89</v>
      </c>
      <c r="BSW5" s="394" t="s">
        <v>89</v>
      </c>
      <c r="BSX5" s="394" t="s">
        <v>89</v>
      </c>
      <c r="BSY5" s="394" t="s">
        <v>89</v>
      </c>
      <c r="BSZ5" s="394" t="s">
        <v>89</v>
      </c>
      <c r="BTA5" s="394" t="s">
        <v>89</v>
      </c>
      <c r="BTB5" s="394" t="s">
        <v>89</v>
      </c>
      <c r="BTC5" s="394" t="s">
        <v>89</v>
      </c>
      <c r="BTD5" s="394" t="s">
        <v>89</v>
      </c>
      <c r="BTE5" s="394" t="s">
        <v>89</v>
      </c>
      <c r="BTF5" s="394" t="s">
        <v>89</v>
      </c>
      <c r="BTG5" s="394" t="s">
        <v>89</v>
      </c>
      <c r="BTH5" s="394" t="s">
        <v>89</v>
      </c>
      <c r="BTI5" s="394" t="s">
        <v>89</v>
      </c>
      <c r="BTJ5" s="394" t="s">
        <v>89</v>
      </c>
      <c r="BTK5" s="394" t="s">
        <v>89</v>
      </c>
      <c r="BTL5" s="394" t="s">
        <v>89</v>
      </c>
      <c r="BTM5" s="394" t="s">
        <v>89</v>
      </c>
      <c r="BTN5" s="394" t="s">
        <v>89</v>
      </c>
      <c r="BTO5" s="394" t="s">
        <v>89</v>
      </c>
      <c r="BTP5" s="394" t="s">
        <v>89</v>
      </c>
      <c r="BTQ5" s="394" t="s">
        <v>89</v>
      </c>
      <c r="BTR5" s="394" t="s">
        <v>89</v>
      </c>
      <c r="BTS5" s="394" t="s">
        <v>89</v>
      </c>
      <c r="BTT5" s="394" t="s">
        <v>89</v>
      </c>
      <c r="BTU5" s="394" t="s">
        <v>89</v>
      </c>
      <c r="BTV5" s="394" t="s">
        <v>89</v>
      </c>
      <c r="BTW5" s="394" t="s">
        <v>89</v>
      </c>
      <c r="BTX5" s="394" t="s">
        <v>89</v>
      </c>
      <c r="BTY5" s="394" t="s">
        <v>89</v>
      </c>
      <c r="BTZ5" s="394" t="s">
        <v>89</v>
      </c>
      <c r="BUA5" s="394" t="s">
        <v>89</v>
      </c>
      <c r="BUB5" s="394" t="s">
        <v>89</v>
      </c>
      <c r="BUC5" s="394" t="s">
        <v>89</v>
      </c>
      <c r="BUD5" s="394" t="s">
        <v>89</v>
      </c>
      <c r="BUE5" s="394" t="s">
        <v>89</v>
      </c>
      <c r="BUF5" s="394" t="s">
        <v>89</v>
      </c>
      <c r="BUG5" s="394" t="s">
        <v>89</v>
      </c>
      <c r="BUH5" s="394" t="s">
        <v>89</v>
      </c>
      <c r="BUI5" s="394" t="s">
        <v>89</v>
      </c>
      <c r="BUJ5" s="394" t="s">
        <v>89</v>
      </c>
      <c r="BUK5" s="394" t="s">
        <v>89</v>
      </c>
      <c r="BUL5" s="394" t="s">
        <v>89</v>
      </c>
      <c r="BUM5" s="394" t="s">
        <v>89</v>
      </c>
      <c r="BUN5" s="394" t="s">
        <v>89</v>
      </c>
      <c r="BUO5" s="394" t="s">
        <v>89</v>
      </c>
      <c r="BUP5" s="394" t="s">
        <v>89</v>
      </c>
      <c r="BUQ5" s="394" t="s">
        <v>89</v>
      </c>
      <c r="BUR5" s="394" t="s">
        <v>89</v>
      </c>
      <c r="BUS5" s="394" t="s">
        <v>89</v>
      </c>
      <c r="BUT5" s="394" t="s">
        <v>89</v>
      </c>
      <c r="BUU5" s="394" t="s">
        <v>89</v>
      </c>
      <c r="BUV5" s="394" t="s">
        <v>89</v>
      </c>
      <c r="BUW5" s="394" t="s">
        <v>89</v>
      </c>
      <c r="BUX5" s="394" t="s">
        <v>89</v>
      </c>
      <c r="BUY5" s="394" t="s">
        <v>89</v>
      </c>
      <c r="BUZ5" s="394" t="s">
        <v>89</v>
      </c>
      <c r="BVA5" s="394" t="s">
        <v>89</v>
      </c>
      <c r="BVB5" s="394" t="s">
        <v>89</v>
      </c>
      <c r="BVC5" s="394" t="s">
        <v>89</v>
      </c>
      <c r="BVD5" s="394" t="s">
        <v>89</v>
      </c>
      <c r="BVE5" s="394" t="s">
        <v>89</v>
      </c>
      <c r="BVF5" s="394" t="s">
        <v>89</v>
      </c>
      <c r="BVG5" s="394" t="s">
        <v>89</v>
      </c>
      <c r="BVH5" s="394" t="s">
        <v>89</v>
      </c>
      <c r="BVI5" s="394" t="s">
        <v>89</v>
      </c>
      <c r="BVJ5" s="394" t="s">
        <v>89</v>
      </c>
      <c r="BVK5" s="394" t="s">
        <v>89</v>
      </c>
      <c r="BVL5" s="394" t="s">
        <v>89</v>
      </c>
      <c r="BVM5" s="394" t="s">
        <v>89</v>
      </c>
      <c r="BVN5" s="394" t="s">
        <v>89</v>
      </c>
      <c r="BVO5" s="394" t="s">
        <v>89</v>
      </c>
      <c r="BVP5" s="394" t="s">
        <v>89</v>
      </c>
      <c r="BVQ5" s="394" t="s">
        <v>89</v>
      </c>
      <c r="BVR5" s="394" t="s">
        <v>89</v>
      </c>
      <c r="BVS5" s="394" t="s">
        <v>89</v>
      </c>
      <c r="BVT5" s="394" t="s">
        <v>89</v>
      </c>
      <c r="BVU5" s="394" t="s">
        <v>89</v>
      </c>
      <c r="BVV5" s="394" t="s">
        <v>89</v>
      </c>
      <c r="BVW5" s="394" t="s">
        <v>89</v>
      </c>
      <c r="BVX5" s="394" t="s">
        <v>89</v>
      </c>
      <c r="BVY5" s="394" t="s">
        <v>89</v>
      </c>
      <c r="BVZ5" s="394" t="s">
        <v>89</v>
      </c>
      <c r="BWA5" s="394" t="s">
        <v>89</v>
      </c>
      <c r="BWB5" s="394" t="s">
        <v>89</v>
      </c>
      <c r="BWC5" s="394" t="s">
        <v>89</v>
      </c>
      <c r="BWD5" s="394" t="s">
        <v>89</v>
      </c>
      <c r="BWE5" s="394" t="s">
        <v>89</v>
      </c>
      <c r="BWF5" s="394" t="s">
        <v>89</v>
      </c>
      <c r="BWG5" s="394" t="s">
        <v>89</v>
      </c>
      <c r="BWH5" s="394" t="s">
        <v>89</v>
      </c>
      <c r="BWI5" s="394" t="s">
        <v>89</v>
      </c>
      <c r="BWJ5" s="394" t="s">
        <v>89</v>
      </c>
      <c r="BWK5" s="394" t="s">
        <v>89</v>
      </c>
      <c r="BWL5" s="394" t="s">
        <v>89</v>
      </c>
      <c r="BWM5" s="394" t="s">
        <v>89</v>
      </c>
      <c r="BWN5" s="394" t="s">
        <v>89</v>
      </c>
      <c r="BWO5" s="394" t="s">
        <v>89</v>
      </c>
      <c r="BWP5" s="394" t="s">
        <v>89</v>
      </c>
      <c r="BWQ5" s="394" t="s">
        <v>89</v>
      </c>
      <c r="BWR5" s="394" t="s">
        <v>89</v>
      </c>
      <c r="BWS5" s="394" t="s">
        <v>89</v>
      </c>
      <c r="BWT5" s="394" t="s">
        <v>89</v>
      </c>
      <c r="BWU5" s="394" t="s">
        <v>89</v>
      </c>
      <c r="BWV5" s="394" t="s">
        <v>89</v>
      </c>
      <c r="BWW5" s="394" t="s">
        <v>89</v>
      </c>
      <c r="BWX5" s="394" t="s">
        <v>89</v>
      </c>
      <c r="BWY5" s="394" t="s">
        <v>89</v>
      </c>
      <c r="BWZ5" s="394" t="s">
        <v>89</v>
      </c>
      <c r="BXA5" s="394" t="s">
        <v>89</v>
      </c>
      <c r="BXB5" s="394" t="s">
        <v>89</v>
      </c>
      <c r="BXC5" s="394" t="s">
        <v>89</v>
      </c>
      <c r="BXD5" s="394" t="s">
        <v>89</v>
      </c>
      <c r="BXE5" s="394" t="s">
        <v>89</v>
      </c>
      <c r="BXF5" s="394" t="s">
        <v>89</v>
      </c>
      <c r="BXG5" s="394" t="s">
        <v>89</v>
      </c>
      <c r="BXH5" s="394" t="s">
        <v>89</v>
      </c>
      <c r="BXI5" s="394" t="s">
        <v>89</v>
      </c>
      <c r="BXJ5" s="394" t="s">
        <v>89</v>
      </c>
      <c r="BXK5" s="394" t="s">
        <v>89</v>
      </c>
      <c r="BXL5" s="394" t="s">
        <v>89</v>
      </c>
      <c r="BXM5" s="394" t="s">
        <v>89</v>
      </c>
      <c r="BXN5" s="394" t="s">
        <v>89</v>
      </c>
      <c r="BXO5" s="394" t="s">
        <v>89</v>
      </c>
      <c r="BXP5" s="394" t="s">
        <v>89</v>
      </c>
      <c r="BXQ5" s="394" t="s">
        <v>89</v>
      </c>
      <c r="BXR5" s="394" t="s">
        <v>89</v>
      </c>
      <c r="BXS5" s="394" t="s">
        <v>89</v>
      </c>
      <c r="BXT5" s="394" t="s">
        <v>89</v>
      </c>
      <c r="BXU5" s="394" t="s">
        <v>89</v>
      </c>
      <c r="BXV5" s="394" t="s">
        <v>89</v>
      </c>
      <c r="BXW5" s="394" t="s">
        <v>89</v>
      </c>
      <c r="BXX5" s="394" t="s">
        <v>89</v>
      </c>
      <c r="BXY5" s="394" t="s">
        <v>89</v>
      </c>
      <c r="BXZ5" s="394" t="s">
        <v>89</v>
      </c>
      <c r="BYA5" s="394" t="s">
        <v>89</v>
      </c>
      <c r="BYB5" s="394" t="s">
        <v>89</v>
      </c>
      <c r="BYC5" s="394" t="s">
        <v>89</v>
      </c>
      <c r="BYD5" s="394" t="s">
        <v>89</v>
      </c>
      <c r="BYE5" s="394" t="s">
        <v>89</v>
      </c>
      <c r="BYF5" s="394" t="s">
        <v>89</v>
      </c>
      <c r="BYG5" s="394" t="s">
        <v>89</v>
      </c>
      <c r="BYH5" s="394" t="s">
        <v>89</v>
      </c>
      <c r="BYI5" s="394" t="s">
        <v>89</v>
      </c>
      <c r="BYJ5" s="394" t="s">
        <v>89</v>
      </c>
      <c r="BYK5" s="394" t="s">
        <v>89</v>
      </c>
      <c r="BYL5" s="394" t="s">
        <v>89</v>
      </c>
      <c r="BYM5" s="394" t="s">
        <v>89</v>
      </c>
      <c r="BYN5" s="394" t="s">
        <v>89</v>
      </c>
      <c r="BYO5" s="394" t="s">
        <v>89</v>
      </c>
      <c r="BYP5" s="394" t="s">
        <v>89</v>
      </c>
      <c r="BYQ5" s="394" t="s">
        <v>89</v>
      </c>
      <c r="BYR5" s="394" t="s">
        <v>89</v>
      </c>
      <c r="BYS5" s="394" t="s">
        <v>89</v>
      </c>
      <c r="BYT5" s="394" t="s">
        <v>89</v>
      </c>
      <c r="BYU5" s="394" t="s">
        <v>89</v>
      </c>
      <c r="BYV5" s="394" t="s">
        <v>89</v>
      </c>
      <c r="BYW5" s="394" t="s">
        <v>89</v>
      </c>
      <c r="BYX5" s="394" t="s">
        <v>89</v>
      </c>
      <c r="BYY5" s="394" t="s">
        <v>89</v>
      </c>
      <c r="BYZ5" s="394" t="s">
        <v>89</v>
      </c>
      <c r="BZA5" s="394" t="s">
        <v>89</v>
      </c>
      <c r="BZB5" s="394" t="s">
        <v>89</v>
      </c>
      <c r="BZC5" s="394" t="s">
        <v>89</v>
      </c>
      <c r="BZD5" s="394" t="s">
        <v>89</v>
      </c>
      <c r="BZE5" s="394" t="s">
        <v>89</v>
      </c>
      <c r="BZF5" s="394" t="s">
        <v>89</v>
      </c>
      <c r="BZG5" s="394" t="s">
        <v>89</v>
      </c>
      <c r="BZH5" s="394" t="s">
        <v>89</v>
      </c>
      <c r="BZI5" s="394" t="s">
        <v>89</v>
      </c>
      <c r="BZJ5" s="394" t="s">
        <v>89</v>
      </c>
      <c r="BZK5" s="394" t="s">
        <v>89</v>
      </c>
      <c r="BZL5" s="394" t="s">
        <v>89</v>
      </c>
      <c r="BZM5" s="394" t="s">
        <v>89</v>
      </c>
      <c r="BZN5" s="394" t="s">
        <v>89</v>
      </c>
      <c r="BZO5" s="394" t="s">
        <v>89</v>
      </c>
      <c r="BZP5" s="394" t="s">
        <v>89</v>
      </c>
      <c r="BZQ5" s="394" t="s">
        <v>89</v>
      </c>
      <c r="BZR5" s="394" t="s">
        <v>89</v>
      </c>
      <c r="BZS5" s="394" t="s">
        <v>89</v>
      </c>
      <c r="BZT5" s="394" t="s">
        <v>89</v>
      </c>
      <c r="BZU5" s="394" t="s">
        <v>89</v>
      </c>
      <c r="BZV5" s="394" t="s">
        <v>89</v>
      </c>
      <c r="BZW5" s="394" t="s">
        <v>89</v>
      </c>
      <c r="BZX5" s="394" t="s">
        <v>89</v>
      </c>
      <c r="BZY5" s="394" t="s">
        <v>89</v>
      </c>
      <c r="BZZ5" s="394" t="s">
        <v>89</v>
      </c>
      <c r="CAA5" s="394" t="s">
        <v>89</v>
      </c>
      <c r="CAB5" s="394" t="s">
        <v>89</v>
      </c>
      <c r="CAC5" s="394" t="s">
        <v>89</v>
      </c>
      <c r="CAD5" s="394" t="s">
        <v>89</v>
      </c>
      <c r="CAE5" s="394" t="s">
        <v>89</v>
      </c>
      <c r="CAF5" s="394" t="s">
        <v>89</v>
      </c>
      <c r="CAG5" s="394" t="s">
        <v>89</v>
      </c>
      <c r="CAH5" s="394" t="s">
        <v>89</v>
      </c>
      <c r="CAI5" s="394" t="s">
        <v>89</v>
      </c>
      <c r="CAJ5" s="394" t="s">
        <v>89</v>
      </c>
      <c r="CAK5" s="394" t="s">
        <v>89</v>
      </c>
      <c r="CAL5" s="394" t="s">
        <v>89</v>
      </c>
      <c r="CAM5" s="394" t="s">
        <v>89</v>
      </c>
      <c r="CAN5" s="394" t="s">
        <v>89</v>
      </c>
      <c r="CAO5" s="394" t="s">
        <v>89</v>
      </c>
      <c r="CAP5" s="394" t="s">
        <v>89</v>
      </c>
      <c r="CAQ5" s="394" t="s">
        <v>89</v>
      </c>
      <c r="CAR5" s="394" t="s">
        <v>89</v>
      </c>
      <c r="CAS5" s="394" t="s">
        <v>89</v>
      </c>
      <c r="CAT5" s="394" t="s">
        <v>89</v>
      </c>
      <c r="CAU5" s="394" t="s">
        <v>89</v>
      </c>
      <c r="CAV5" s="394" t="s">
        <v>89</v>
      </c>
      <c r="CAW5" s="394" t="s">
        <v>89</v>
      </c>
      <c r="CAX5" s="394" t="s">
        <v>89</v>
      </c>
      <c r="CAY5" s="394" t="s">
        <v>89</v>
      </c>
      <c r="CAZ5" s="394" t="s">
        <v>89</v>
      </c>
      <c r="CBA5" s="394" t="s">
        <v>89</v>
      </c>
      <c r="CBB5" s="394" t="s">
        <v>89</v>
      </c>
      <c r="CBC5" s="394" t="s">
        <v>89</v>
      </c>
      <c r="CBD5" s="394" t="s">
        <v>89</v>
      </c>
      <c r="CBE5" s="394" t="s">
        <v>89</v>
      </c>
      <c r="CBF5" s="394" t="s">
        <v>89</v>
      </c>
      <c r="CBG5" s="394" t="s">
        <v>89</v>
      </c>
      <c r="CBH5" s="394" t="s">
        <v>89</v>
      </c>
      <c r="CBI5" s="394" t="s">
        <v>89</v>
      </c>
      <c r="CBJ5" s="394" t="s">
        <v>89</v>
      </c>
      <c r="CBK5" s="394" t="s">
        <v>89</v>
      </c>
      <c r="CBL5" s="394" t="s">
        <v>89</v>
      </c>
      <c r="CBM5" s="394" t="s">
        <v>89</v>
      </c>
      <c r="CBN5" s="394" t="s">
        <v>89</v>
      </c>
      <c r="CBO5" s="394" t="s">
        <v>89</v>
      </c>
      <c r="CBP5" s="394" t="s">
        <v>89</v>
      </c>
      <c r="CBQ5" s="394" t="s">
        <v>89</v>
      </c>
      <c r="CBR5" s="394" t="s">
        <v>89</v>
      </c>
      <c r="CBS5" s="394" t="s">
        <v>89</v>
      </c>
      <c r="CBT5" s="394" t="s">
        <v>89</v>
      </c>
      <c r="CBU5" s="394" t="s">
        <v>89</v>
      </c>
      <c r="CBV5" s="394" t="s">
        <v>89</v>
      </c>
      <c r="CBW5" s="394" t="s">
        <v>89</v>
      </c>
      <c r="CBX5" s="394" t="s">
        <v>89</v>
      </c>
      <c r="CBY5" s="394" t="s">
        <v>89</v>
      </c>
      <c r="CBZ5" s="394" t="s">
        <v>89</v>
      </c>
      <c r="CCA5" s="394" t="s">
        <v>89</v>
      </c>
      <c r="CCB5" s="394" t="s">
        <v>89</v>
      </c>
      <c r="CCC5" s="394" t="s">
        <v>89</v>
      </c>
      <c r="CCD5" s="394" t="s">
        <v>89</v>
      </c>
      <c r="CCE5" s="394" t="s">
        <v>89</v>
      </c>
      <c r="CCF5" s="394" t="s">
        <v>89</v>
      </c>
      <c r="CCG5" s="394" t="s">
        <v>89</v>
      </c>
      <c r="CCH5" s="394" t="s">
        <v>89</v>
      </c>
      <c r="CCI5" s="394" t="s">
        <v>89</v>
      </c>
      <c r="CCJ5" s="394" t="s">
        <v>89</v>
      </c>
      <c r="CCK5" s="394" t="s">
        <v>89</v>
      </c>
      <c r="CCL5" s="394" t="s">
        <v>89</v>
      </c>
      <c r="CCM5" s="394" t="s">
        <v>89</v>
      </c>
      <c r="CCN5" s="394" t="s">
        <v>89</v>
      </c>
      <c r="CCO5" s="394" t="s">
        <v>89</v>
      </c>
      <c r="CCP5" s="394" t="s">
        <v>89</v>
      </c>
      <c r="CCQ5" s="394" t="s">
        <v>89</v>
      </c>
      <c r="CCR5" s="394" t="s">
        <v>89</v>
      </c>
      <c r="CCS5" s="394" t="s">
        <v>89</v>
      </c>
      <c r="CCT5" s="394" t="s">
        <v>89</v>
      </c>
      <c r="CCU5" s="394" t="s">
        <v>89</v>
      </c>
      <c r="CCV5" s="394" t="s">
        <v>89</v>
      </c>
      <c r="CCW5" s="394" t="s">
        <v>89</v>
      </c>
      <c r="CCX5" s="394" t="s">
        <v>89</v>
      </c>
      <c r="CCY5" s="394" t="s">
        <v>89</v>
      </c>
      <c r="CCZ5" s="394" t="s">
        <v>89</v>
      </c>
      <c r="CDA5" s="394" t="s">
        <v>89</v>
      </c>
      <c r="CDB5" s="394" t="s">
        <v>89</v>
      </c>
      <c r="CDC5" s="394" t="s">
        <v>89</v>
      </c>
      <c r="CDD5" s="394" t="s">
        <v>89</v>
      </c>
      <c r="CDE5" s="394" t="s">
        <v>89</v>
      </c>
      <c r="CDF5" s="394" t="s">
        <v>89</v>
      </c>
      <c r="CDG5" s="394" t="s">
        <v>89</v>
      </c>
      <c r="CDH5" s="394" t="s">
        <v>89</v>
      </c>
      <c r="CDI5" s="394" t="s">
        <v>89</v>
      </c>
      <c r="CDJ5" s="394" t="s">
        <v>89</v>
      </c>
      <c r="CDK5" s="394" t="s">
        <v>89</v>
      </c>
      <c r="CDL5" s="394" t="s">
        <v>89</v>
      </c>
      <c r="CDM5" s="394" t="s">
        <v>89</v>
      </c>
      <c r="CDN5" s="394" t="s">
        <v>89</v>
      </c>
      <c r="CDO5" s="394" t="s">
        <v>89</v>
      </c>
      <c r="CDP5" s="394" t="s">
        <v>89</v>
      </c>
      <c r="CDQ5" s="394" t="s">
        <v>89</v>
      </c>
      <c r="CDR5" s="394" t="s">
        <v>89</v>
      </c>
      <c r="CDS5" s="394" t="s">
        <v>89</v>
      </c>
      <c r="CDT5" s="394" t="s">
        <v>89</v>
      </c>
      <c r="CDU5" s="394" t="s">
        <v>89</v>
      </c>
      <c r="CDV5" s="394" t="s">
        <v>89</v>
      </c>
      <c r="CDW5" s="394" t="s">
        <v>89</v>
      </c>
      <c r="CDX5" s="394" t="s">
        <v>89</v>
      </c>
      <c r="CDY5" s="394" t="s">
        <v>89</v>
      </c>
      <c r="CDZ5" s="394" t="s">
        <v>89</v>
      </c>
      <c r="CEA5" s="394" t="s">
        <v>89</v>
      </c>
      <c r="CEB5" s="394" t="s">
        <v>89</v>
      </c>
      <c r="CEC5" s="394" t="s">
        <v>89</v>
      </c>
      <c r="CED5" s="394" t="s">
        <v>89</v>
      </c>
      <c r="CEE5" s="394" t="s">
        <v>89</v>
      </c>
      <c r="CEF5" s="394" t="s">
        <v>89</v>
      </c>
      <c r="CEG5" s="394" t="s">
        <v>89</v>
      </c>
      <c r="CEH5" s="394" t="s">
        <v>89</v>
      </c>
      <c r="CEI5" s="394" t="s">
        <v>89</v>
      </c>
      <c r="CEJ5" s="394" t="s">
        <v>89</v>
      </c>
      <c r="CEK5" s="394" t="s">
        <v>89</v>
      </c>
      <c r="CEL5" s="394" t="s">
        <v>89</v>
      </c>
      <c r="CEM5" s="394" t="s">
        <v>89</v>
      </c>
      <c r="CEN5" s="394" t="s">
        <v>89</v>
      </c>
      <c r="CEO5" s="394" t="s">
        <v>89</v>
      </c>
      <c r="CEP5" s="394" t="s">
        <v>89</v>
      </c>
      <c r="CEQ5" s="394" t="s">
        <v>89</v>
      </c>
      <c r="CER5" s="394" t="s">
        <v>89</v>
      </c>
      <c r="CES5" s="394" t="s">
        <v>89</v>
      </c>
      <c r="CET5" s="394" t="s">
        <v>89</v>
      </c>
      <c r="CEU5" s="394" t="s">
        <v>89</v>
      </c>
      <c r="CEV5" s="394" t="s">
        <v>89</v>
      </c>
      <c r="CEW5" s="394" t="s">
        <v>89</v>
      </c>
      <c r="CEX5" s="394" t="s">
        <v>89</v>
      </c>
      <c r="CEY5" s="394" t="s">
        <v>89</v>
      </c>
      <c r="CEZ5" s="394" t="s">
        <v>89</v>
      </c>
      <c r="CFA5" s="394" t="s">
        <v>89</v>
      </c>
      <c r="CFB5" s="394" t="s">
        <v>89</v>
      </c>
      <c r="CFC5" s="394" t="s">
        <v>89</v>
      </c>
      <c r="CFD5" s="394" t="s">
        <v>89</v>
      </c>
      <c r="CFE5" s="394" t="s">
        <v>89</v>
      </c>
      <c r="CFF5" s="394" t="s">
        <v>89</v>
      </c>
      <c r="CFG5" s="394" t="s">
        <v>89</v>
      </c>
      <c r="CFH5" s="394" t="s">
        <v>89</v>
      </c>
      <c r="CFI5" s="394" t="s">
        <v>89</v>
      </c>
      <c r="CFJ5" s="394" t="s">
        <v>89</v>
      </c>
      <c r="CFK5" s="394" t="s">
        <v>89</v>
      </c>
      <c r="CFL5" s="394" t="s">
        <v>89</v>
      </c>
      <c r="CFM5" s="394" t="s">
        <v>89</v>
      </c>
      <c r="CFN5" s="394" t="s">
        <v>89</v>
      </c>
      <c r="CFO5" s="394" t="s">
        <v>89</v>
      </c>
      <c r="CFP5" s="394" t="s">
        <v>89</v>
      </c>
      <c r="CFQ5" s="394" t="s">
        <v>89</v>
      </c>
      <c r="CFR5" s="394" t="s">
        <v>89</v>
      </c>
      <c r="CFS5" s="394" t="s">
        <v>89</v>
      </c>
      <c r="CFT5" s="394" t="s">
        <v>89</v>
      </c>
      <c r="CFU5" s="394" t="s">
        <v>89</v>
      </c>
      <c r="CFV5" s="394" t="s">
        <v>89</v>
      </c>
      <c r="CFW5" s="394" t="s">
        <v>89</v>
      </c>
      <c r="CFX5" s="394" t="s">
        <v>89</v>
      </c>
      <c r="CFY5" s="394" t="s">
        <v>89</v>
      </c>
      <c r="CFZ5" s="394" t="s">
        <v>89</v>
      </c>
      <c r="CGA5" s="394" t="s">
        <v>89</v>
      </c>
      <c r="CGB5" s="394" t="s">
        <v>89</v>
      </c>
      <c r="CGC5" s="394" t="s">
        <v>89</v>
      </c>
      <c r="CGD5" s="394" t="s">
        <v>89</v>
      </c>
      <c r="CGE5" s="394" t="s">
        <v>89</v>
      </c>
      <c r="CGF5" s="394" t="s">
        <v>89</v>
      </c>
      <c r="CGG5" s="394" t="s">
        <v>89</v>
      </c>
      <c r="CGH5" s="394" t="s">
        <v>89</v>
      </c>
      <c r="CGI5" s="394" t="s">
        <v>89</v>
      </c>
      <c r="CGJ5" s="394" t="s">
        <v>89</v>
      </c>
      <c r="CGK5" s="394" t="s">
        <v>89</v>
      </c>
      <c r="CGL5" s="394" t="s">
        <v>89</v>
      </c>
      <c r="CGM5" s="394" t="s">
        <v>89</v>
      </c>
      <c r="CGN5" s="394" t="s">
        <v>89</v>
      </c>
      <c r="CGO5" s="394" t="s">
        <v>89</v>
      </c>
      <c r="CGP5" s="394" t="s">
        <v>89</v>
      </c>
      <c r="CGQ5" s="394" t="s">
        <v>89</v>
      </c>
      <c r="CGR5" s="394" t="s">
        <v>89</v>
      </c>
      <c r="CGS5" s="394" t="s">
        <v>89</v>
      </c>
      <c r="CGT5" s="394" t="s">
        <v>89</v>
      </c>
      <c r="CGU5" s="394" t="s">
        <v>89</v>
      </c>
      <c r="CGV5" s="394" t="s">
        <v>89</v>
      </c>
      <c r="CGW5" s="394" t="s">
        <v>89</v>
      </c>
      <c r="CGX5" s="394" t="s">
        <v>89</v>
      </c>
      <c r="CGY5" s="394" t="s">
        <v>89</v>
      </c>
      <c r="CGZ5" s="394" t="s">
        <v>89</v>
      </c>
      <c r="CHA5" s="394" t="s">
        <v>89</v>
      </c>
      <c r="CHB5" s="394" t="s">
        <v>89</v>
      </c>
      <c r="CHC5" s="394" t="s">
        <v>89</v>
      </c>
      <c r="CHD5" s="394" t="s">
        <v>89</v>
      </c>
      <c r="CHE5" s="394" t="s">
        <v>89</v>
      </c>
      <c r="CHF5" s="394" t="s">
        <v>89</v>
      </c>
      <c r="CHG5" s="394" t="s">
        <v>89</v>
      </c>
      <c r="CHH5" s="394" t="s">
        <v>89</v>
      </c>
      <c r="CHI5" s="394" t="s">
        <v>89</v>
      </c>
      <c r="CHJ5" s="394" t="s">
        <v>89</v>
      </c>
      <c r="CHK5" s="394" t="s">
        <v>89</v>
      </c>
      <c r="CHL5" s="394" t="s">
        <v>89</v>
      </c>
      <c r="CHM5" s="394" t="s">
        <v>89</v>
      </c>
      <c r="CHN5" s="394" t="s">
        <v>89</v>
      </c>
      <c r="CHO5" s="394" t="s">
        <v>89</v>
      </c>
      <c r="CHP5" s="394" t="s">
        <v>89</v>
      </c>
      <c r="CHQ5" s="394" t="s">
        <v>89</v>
      </c>
      <c r="CHR5" s="394" t="s">
        <v>89</v>
      </c>
      <c r="CHS5" s="394" t="s">
        <v>89</v>
      </c>
      <c r="CHT5" s="394" t="s">
        <v>89</v>
      </c>
      <c r="CHU5" s="394" t="s">
        <v>89</v>
      </c>
      <c r="CHV5" s="394" t="s">
        <v>89</v>
      </c>
      <c r="CHW5" s="394" t="s">
        <v>89</v>
      </c>
      <c r="CHX5" s="394" t="s">
        <v>89</v>
      </c>
      <c r="CHY5" s="394" t="s">
        <v>89</v>
      </c>
      <c r="CHZ5" s="394" t="s">
        <v>89</v>
      </c>
      <c r="CIA5" s="394" t="s">
        <v>89</v>
      </c>
      <c r="CIB5" s="394" t="s">
        <v>89</v>
      </c>
      <c r="CIC5" s="394" t="s">
        <v>89</v>
      </c>
      <c r="CID5" s="394" t="s">
        <v>89</v>
      </c>
      <c r="CIE5" s="394" t="s">
        <v>89</v>
      </c>
      <c r="CIF5" s="394" t="s">
        <v>89</v>
      </c>
      <c r="CIG5" s="394" t="s">
        <v>89</v>
      </c>
      <c r="CIH5" s="394" t="s">
        <v>89</v>
      </c>
      <c r="CII5" s="394" t="s">
        <v>89</v>
      </c>
      <c r="CIJ5" s="394" t="s">
        <v>89</v>
      </c>
      <c r="CIK5" s="394" t="s">
        <v>89</v>
      </c>
      <c r="CIL5" s="394" t="s">
        <v>89</v>
      </c>
      <c r="CIM5" s="394" t="s">
        <v>89</v>
      </c>
      <c r="CIN5" s="394" t="s">
        <v>89</v>
      </c>
      <c r="CIO5" s="394" t="s">
        <v>89</v>
      </c>
      <c r="CIP5" s="394" t="s">
        <v>89</v>
      </c>
      <c r="CIQ5" s="394" t="s">
        <v>89</v>
      </c>
      <c r="CIR5" s="394" t="s">
        <v>89</v>
      </c>
      <c r="CIS5" s="394" t="s">
        <v>89</v>
      </c>
      <c r="CIT5" s="394" t="s">
        <v>89</v>
      </c>
      <c r="CIU5" s="394" t="s">
        <v>89</v>
      </c>
      <c r="CIV5" s="394" t="s">
        <v>89</v>
      </c>
      <c r="CIW5" s="394" t="s">
        <v>89</v>
      </c>
      <c r="CIX5" s="394" t="s">
        <v>89</v>
      </c>
      <c r="CIY5" s="394" t="s">
        <v>89</v>
      </c>
      <c r="CIZ5" s="394" t="s">
        <v>89</v>
      </c>
      <c r="CJA5" s="394" t="s">
        <v>89</v>
      </c>
      <c r="CJB5" s="394" t="s">
        <v>89</v>
      </c>
      <c r="CJC5" s="394" t="s">
        <v>89</v>
      </c>
      <c r="CJD5" s="394" t="s">
        <v>89</v>
      </c>
      <c r="CJE5" s="394" t="s">
        <v>89</v>
      </c>
      <c r="CJF5" s="394" t="s">
        <v>89</v>
      </c>
      <c r="CJG5" s="394" t="s">
        <v>89</v>
      </c>
      <c r="CJH5" s="394" t="s">
        <v>89</v>
      </c>
      <c r="CJI5" s="394" t="s">
        <v>89</v>
      </c>
      <c r="CJJ5" s="394" t="s">
        <v>89</v>
      </c>
      <c r="CJK5" s="394" t="s">
        <v>89</v>
      </c>
      <c r="CJL5" s="394" t="s">
        <v>89</v>
      </c>
      <c r="CJM5" s="394" t="s">
        <v>89</v>
      </c>
      <c r="CJN5" s="394" t="s">
        <v>89</v>
      </c>
      <c r="CJO5" s="394" t="s">
        <v>89</v>
      </c>
      <c r="CJP5" s="394" t="s">
        <v>89</v>
      </c>
      <c r="CJQ5" s="394" t="s">
        <v>89</v>
      </c>
      <c r="CJR5" s="394" t="s">
        <v>89</v>
      </c>
      <c r="CJS5" s="394" t="s">
        <v>89</v>
      </c>
      <c r="CJT5" s="394" t="s">
        <v>89</v>
      </c>
      <c r="CJU5" s="394" t="s">
        <v>89</v>
      </c>
      <c r="CJV5" s="394" t="s">
        <v>89</v>
      </c>
      <c r="CJW5" s="394" t="s">
        <v>89</v>
      </c>
      <c r="CJX5" s="394" t="s">
        <v>89</v>
      </c>
      <c r="CJY5" s="394" t="s">
        <v>89</v>
      </c>
      <c r="CJZ5" s="394" t="s">
        <v>89</v>
      </c>
      <c r="CKA5" s="394" t="s">
        <v>89</v>
      </c>
      <c r="CKB5" s="394" t="s">
        <v>89</v>
      </c>
      <c r="CKC5" s="394" t="s">
        <v>89</v>
      </c>
      <c r="CKD5" s="394" t="s">
        <v>89</v>
      </c>
      <c r="CKE5" s="394" t="s">
        <v>89</v>
      </c>
      <c r="CKF5" s="394" t="s">
        <v>89</v>
      </c>
      <c r="CKG5" s="394" t="s">
        <v>89</v>
      </c>
      <c r="CKH5" s="394" t="s">
        <v>89</v>
      </c>
      <c r="CKI5" s="394" t="s">
        <v>89</v>
      </c>
      <c r="CKJ5" s="394" t="s">
        <v>89</v>
      </c>
      <c r="CKK5" s="394" t="s">
        <v>89</v>
      </c>
      <c r="CKL5" s="394" t="s">
        <v>89</v>
      </c>
      <c r="CKM5" s="394" t="s">
        <v>89</v>
      </c>
      <c r="CKN5" s="394" t="s">
        <v>89</v>
      </c>
      <c r="CKO5" s="394" t="s">
        <v>89</v>
      </c>
      <c r="CKP5" s="394" t="s">
        <v>89</v>
      </c>
      <c r="CKQ5" s="394" t="s">
        <v>89</v>
      </c>
      <c r="CKR5" s="394" t="s">
        <v>89</v>
      </c>
      <c r="CKS5" s="394" t="s">
        <v>89</v>
      </c>
      <c r="CKT5" s="394" t="s">
        <v>89</v>
      </c>
      <c r="CKU5" s="394" t="s">
        <v>89</v>
      </c>
      <c r="CKV5" s="394" t="s">
        <v>89</v>
      </c>
      <c r="CKW5" s="394" t="s">
        <v>89</v>
      </c>
      <c r="CKX5" s="394" t="s">
        <v>89</v>
      </c>
      <c r="CKY5" s="394" t="s">
        <v>89</v>
      </c>
      <c r="CKZ5" s="394" t="s">
        <v>89</v>
      </c>
      <c r="CLA5" s="394" t="s">
        <v>89</v>
      </c>
      <c r="CLB5" s="394" t="s">
        <v>89</v>
      </c>
      <c r="CLC5" s="394" t="s">
        <v>89</v>
      </c>
      <c r="CLD5" s="394" t="s">
        <v>89</v>
      </c>
      <c r="CLE5" s="394" t="s">
        <v>89</v>
      </c>
      <c r="CLF5" s="394" t="s">
        <v>89</v>
      </c>
      <c r="CLG5" s="394" t="s">
        <v>89</v>
      </c>
      <c r="CLH5" s="394" t="s">
        <v>89</v>
      </c>
      <c r="CLI5" s="394" t="s">
        <v>89</v>
      </c>
      <c r="CLJ5" s="394" t="s">
        <v>89</v>
      </c>
      <c r="CLK5" s="394" t="s">
        <v>89</v>
      </c>
      <c r="CLL5" s="394" t="s">
        <v>89</v>
      </c>
      <c r="CLM5" s="394" t="s">
        <v>89</v>
      </c>
      <c r="CLN5" s="394" t="s">
        <v>89</v>
      </c>
      <c r="CLO5" s="394" t="s">
        <v>89</v>
      </c>
      <c r="CLP5" s="394" t="s">
        <v>89</v>
      </c>
      <c r="CLQ5" s="394" t="s">
        <v>89</v>
      </c>
      <c r="CLR5" s="394" t="s">
        <v>89</v>
      </c>
      <c r="CLS5" s="394" t="s">
        <v>89</v>
      </c>
      <c r="CLT5" s="394" t="s">
        <v>89</v>
      </c>
      <c r="CLU5" s="394" t="s">
        <v>89</v>
      </c>
      <c r="CLV5" s="394" t="s">
        <v>89</v>
      </c>
      <c r="CLW5" s="394" t="s">
        <v>89</v>
      </c>
      <c r="CLX5" s="394" t="s">
        <v>89</v>
      </c>
      <c r="CLY5" s="394" t="s">
        <v>89</v>
      </c>
      <c r="CLZ5" s="394" t="s">
        <v>89</v>
      </c>
      <c r="CMA5" s="394" t="s">
        <v>89</v>
      </c>
      <c r="CMB5" s="394" t="s">
        <v>89</v>
      </c>
      <c r="CMC5" s="394" t="s">
        <v>89</v>
      </c>
      <c r="CMD5" s="394" t="s">
        <v>89</v>
      </c>
      <c r="CME5" s="394" t="s">
        <v>89</v>
      </c>
      <c r="CMF5" s="394" t="s">
        <v>89</v>
      </c>
      <c r="CMG5" s="394" t="s">
        <v>89</v>
      </c>
      <c r="CMH5" s="394" t="s">
        <v>89</v>
      </c>
      <c r="CMI5" s="394" t="s">
        <v>89</v>
      </c>
      <c r="CMJ5" s="394" t="s">
        <v>89</v>
      </c>
      <c r="CMK5" s="394" t="s">
        <v>89</v>
      </c>
      <c r="CML5" s="394" t="s">
        <v>89</v>
      </c>
      <c r="CMM5" s="394" t="s">
        <v>89</v>
      </c>
      <c r="CMN5" s="394" t="s">
        <v>89</v>
      </c>
      <c r="CMO5" s="394" t="s">
        <v>89</v>
      </c>
      <c r="CMP5" s="394" t="s">
        <v>89</v>
      </c>
      <c r="CMQ5" s="394" t="s">
        <v>89</v>
      </c>
      <c r="CMR5" s="394" t="s">
        <v>89</v>
      </c>
      <c r="CMS5" s="394" t="s">
        <v>89</v>
      </c>
      <c r="CMT5" s="394" t="s">
        <v>89</v>
      </c>
      <c r="CMU5" s="394" t="s">
        <v>89</v>
      </c>
      <c r="CMV5" s="394" t="s">
        <v>89</v>
      </c>
      <c r="CMW5" s="394" t="s">
        <v>89</v>
      </c>
      <c r="CMX5" s="394" t="s">
        <v>89</v>
      </c>
      <c r="CMY5" s="394" t="s">
        <v>89</v>
      </c>
      <c r="CMZ5" s="394" t="s">
        <v>89</v>
      </c>
      <c r="CNA5" s="394" t="s">
        <v>89</v>
      </c>
      <c r="CNB5" s="394" t="s">
        <v>89</v>
      </c>
      <c r="CNC5" s="394" t="s">
        <v>89</v>
      </c>
      <c r="CND5" s="394" t="s">
        <v>89</v>
      </c>
      <c r="CNE5" s="394" t="s">
        <v>89</v>
      </c>
      <c r="CNF5" s="394" t="s">
        <v>89</v>
      </c>
      <c r="CNG5" s="394" t="s">
        <v>89</v>
      </c>
      <c r="CNH5" s="394" t="s">
        <v>89</v>
      </c>
      <c r="CNI5" s="394" t="s">
        <v>89</v>
      </c>
      <c r="CNJ5" s="394" t="s">
        <v>89</v>
      </c>
      <c r="CNK5" s="394" t="s">
        <v>89</v>
      </c>
      <c r="CNL5" s="394" t="s">
        <v>89</v>
      </c>
      <c r="CNM5" s="394" t="s">
        <v>89</v>
      </c>
      <c r="CNN5" s="394" t="s">
        <v>89</v>
      </c>
      <c r="CNO5" s="394" t="s">
        <v>89</v>
      </c>
      <c r="CNP5" s="394" t="s">
        <v>89</v>
      </c>
      <c r="CNQ5" s="394" t="s">
        <v>89</v>
      </c>
      <c r="CNR5" s="394" t="s">
        <v>89</v>
      </c>
      <c r="CNS5" s="394" t="s">
        <v>89</v>
      </c>
      <c r="CNT5" s="394" t="s">
        <v>89</v>
      </c>
      <c r="CNU5" s="394" t="s">
        <v>89</v>
      </c>
      <c r="CNV5" s="394" t="s">
        <v>89</v>
      </c>
      <c r="CNW5" s="394" t="s">
        <v>89</v>
      </c>
      <c r="CNX5" s="394" t="s">
        <v>89</v>
      </c>
      <c r="CNY5" s="394" t="s">
        <v>89</v>
      </c>
      <c r="CNZ5" s="394" t="s">
        <v>89</v>
      </c>
      <c r="COA5" s="394" t="s">
        <v>89</v>
      </c>
      <c r="COB5" s="394" t="s">
        <v>89</v>
      </c>
      <c r="COC5" s="394" t="s">
        <v>89</v>
      </c>
      <c r="COD5" s="394" t="s">
        <v>89</v>
      </c>
      <c r="COE5" s="394" t="s">
        <v>89</v>
      </c>
      <c r="COF5" s="394" t="s">
        <v>89</v>
      </c>
      <c r="COG5" s="394" t="s">
        <v>89</v>
      </c>
      <c r="COH5" s="394" t="s">
        <v>89</v>
      </c>
      <c r="COI5" s="394" t="s">
        <v>89</v>
      </c>
      <c r="COJ5" s="394" t="s">
        <v>89</v>
      </c>
      <c r="COK5" s="394" t="s">
        <v>89</v>
      </c>
      <c r="COL5" s="394" t="s">
        <v>89</v>
      </c>
      <c r="COM5" s="394" t="s">
        <v>89</v>
      </c>
      <c r="CON5" s="394" t="s">
        <v>89</v>
      </c>
      <c r="COO5" s="394" t="s">
        <v>89</v>
      </c>
      <c r="COP5" s="394" t="s">
        <v>89</v>
      </c>
      <c r="COQ5" s="394" t="s">
        <v>89</v>
      </c>
      <c r="COR5" s="394" t="s">
        <v>89</v>
      </c>
      <c r="COS5" s="394" t="s">
        <v>89</v>
      </c>
      <c r="COT5" s="394" t="s">
        <v>89</v>
      </c>
      <c r="COU5" s="394" t="s">
        <v>89</v>
      </c>
      <c r="COV5" s="394" t="s">
        <v>89</v>
      </c>
      <c r="COW5" s="394" t="s">
        <v>89</v>
      </c>
      <c r="COX5" s="394" t="s">
        <v>89</v>
      </c>
      <c r="COY5" s="394" t="s">
        <v>89</v>
      </c>
      <c r="COZ5" s="394" t="s">
        <v>89</v>
      </c>
      <c r="CPA5" s="394" t="s">
        <v>89</v>
      </c>
      <c r="CPB5" s="394" t="s">
        <v>89</v>
      </c>
      <c r="CPC5" s="394" t="s">
        <v>89</v>
      </c>
      <c r="CPD5" s="394" t="s">
        <v>89</v>
      </c>
      <c r="CPE5" s="394" t="s">
        <v>89</v>
      </c>
      <c r="CPF5" s="394" t="s">
        <v>89</v>
      </c>
      <c r="CPG5" s="394" t="s">
        <v>89</v>
      </c>
      <c r="CPH5" s="394" t="s">
        <v>89</v>
      </c>
      <c r="CPI5" s="394" t="s">
        <v>89</v>
      </c>
      <c r="CPJ5" s="394" t="s">
        <v>89</v>
      </c>
      <c r="CPK5" s="394" t="s">
        <v>89</v>
      </c>
      <c r="CPL5" s="394" t="s">
        <v>89</v>
      </c>
      <c r="CPM5" s="394" t="s">
        <v>89</v>
      </c>
      <c r="CPN5" s="394" t="s">
        <v>89</v>
      </c>
      <c r="CPO5" s="394" t="s">
        <v>89</v>
      </c>
      <c r="CPP5" s="394" t="s">
        <v>89</v>
      </c>
      <c r="CPQ5" s="394" t="s">
        <v>89</v>
      </c>
      <c r="CPR5" s="394" t="s">
        <v>89</v>
      </c>
      <c r="CPS5" s="394" t="s">
        <v>89</v>
      </c>
      <c r="CPT5" s="394" t="s">
        <v>89</v>
      </c>
      <c r="CPU5" s="394" t="s">
        <v>89</v>
      </c>
      <c r="CPV5" s="394" t="s">
        <v>89</v>
      </c>
      <c r="CPW5" s="394" t="s">
        <v>89</v>
      </c>
      <c r="CPX5" s="394" t="s">
        <v>89</v>
      </c>
      <c r="CPY5" s="394" t="s">
        <v>89</v>
      </c>
      <c r="CPZ5" s="394" t="s">
        <v>89</v>
      </c>
      <c r="CQA5" s="394" t="s">
        <v>89</v>
      </c>
      <c r="CQB5" s="394" t="s">
        <v>89</v>
      </c>
      <c r="CQC5" s="394" t="s">
        <v>89</v>
      </c>
      <c r="CQD5" s="394" t="s">
        <v>89</v>
      </c>
      <c r="CQE5" s="394" t="s">
        <v>89</v>
      </c>
      <c r="CQF5" s="394" t="s">
        <v>89</v>
      </c>
      <c r="CQG5" s="394" t="s">
        <v>89</v>
      </c>
      <c r="CQH5" s="394" t="s">
        <v>89</v>
      </c>
      <c r="CQI5" s="394" t="s">
        <v>89</v>
      </c>
      <c r="CQJ5" s="394" t="s">
        <v>89</v>
      </c>
      <c r="CQK5" s="394" t="s">
        <v>89</v>
      </c>
      <c r="CQL5" s="394" t="s">
        <v>89</v>
      </c>
      <c r="CQM5" s="394" t="s">
        <v>89</v>
      </c>
      <c r="CQN5" s="394" t="s">
        <v>89</v>
      </c>
      <c r="CQO5" s="394" t="s">
        <v>89</v>
      </c>
      <c r="CQP5" s="394" t="s">
        <v>89</v>
      </c>
      <c r="CQQ5" s="394" t="s">
        <v>89</v>
      </c>
      <c r="CQR5" s="394" t="s">
        <v>89</v>
      </c>
      <c r="CQS5" s="394" t="s">
        <v>89</v>
      </c>
      <c r="CQT5" s="394" t="s">
        <v>89</v>
      </c>
      <c r="CQU5" s="394" t="s">
        <v>89</v>
      </c>
      <c r="CQV5" s="394" t="s">
        <v>89</v>
      </c>
      <c r="CQW5" s="394" t="s">
        <v>89</v>
      </c>
      <c r="CQX5" s="394" t="s">
        <v>89</v>
      </c>
      <c r="CQY5" s="394" t="s">
        <v>89</v>
      </c>
      <c r="CQZ5" s="394" t="s">
        <v>89</v>
      </c>
      <c r="CRA5" s="394" t="s">
        <v>89</v>
      </c>
      <c r="CRB5" s="394" t="s">
        <v>89</v>
      </c>
      <c r="CRC5" s="394" t="s">
        <v>89</v>
      </c>
      <c r="CRD5" s="394" t="s">
        <v>89</v>
      </c>
      <c r="CRE5" s="394" t="s">
        <v>89</v>
      </c>
      <c r="CRF5" s="394" t="s">
        <v>89</v>
      </c>
      <c r="CRG5" s="394" t="s">
        <v>89</v>
      </c>
      <c r="CRH5" s="394" t="s">
        <v>89</v>
      </c>
      <c r="CRI5" s="394" t="s">
        <v>89</v>
      </c>
      <c r="CRJ5" s="394" t="s">
        <v>89</v>
      </c>
      <c r="CRK5" s="394" t="s">
        <v>89</v>
      </c>
      <c r="CRL5" s="394" t="s">
        <v>89</v>
      </c>
      <c r="CRM5" s="394" t="s">
        <v>89</v>
      </c>
      <c r="CRN5" s="394" t="s">
        <v>89</v>
      </c>
      <c r="CRO5" s="394" t="s">
        <v>89</v>
      </c>
      <c r="CRP5" s="394" t="s">
        <v>89</v>
      </c>
      <c r="CRQ5" s="394" t="s">
        <v>89</v>
      </c>
      <c r="CRR5" s="394" t="s">
        <v>89</v>
      </c>
      <c r="CRS5" s="394" t="s">
        <v>89</v>
      </c>
      <c r="CRT5" s="394" t="s">
        <v>89</v>
      </c>
      <c r="CRU5" s="394" t="s">
        <v>89</v>
      </c>
      <c r="CRV5" s="394" t="s">
        <v>89</v>
      </c>
      <c r="CRW5" s="394" t="s">
        <v>89</v>
      </c>
      <c r="CRX5" s="394" t="s">
        <v>89</v>
      </c>
      <c r="CRY5" s="394" t="s">
        <v>89</v>
      </c>
      <c r="CRZ5" s="394" t="s">
        <v>89</v>
      </c>
      <c r="CSA5" s="394" t="s">
        <v>89</v>
      </c>
      <c r="CSB5" s="394" t="s">
        <v>89</v>
      </c>
      <c r="CSC5" s="394" t="s">
        <v>89</v>
      </c>
      <c r="CSD5" s="394" t="s">
        <v>89</v>
      </c>
      <c r="CSE5" s="394" t="s">
        <v>89</v>
      </c>
      <c r="CSF5" s="394" t="s">
        <v>89</v>
      </c>
      <c r="CSG5" s="394" t="s">
        <v>89</v>
      </c>
      <c r="CSH5" s="394" t="s">
        <v>89</v>
      </c>
      <c r="CSI5" s="394" t="s">
        <v>89</v>
      </c>
      <c r="CSJ5" s="394" t="s">
        <v>89</v>
      </c>
      <c r="CSK5" s="394" t="s">
        <v>89</v>
      </c>
      <c r="CSL5" s="394" t="s">
        <v>89</v>
      </c>
      <c r="CSM5" s="394" t="s">
        <v>89</v>
      </c>
      <c r="CSN5" s="394" t="s">
        <v>89</v>
      </c>
      <c r="CSO5" s="394" t="s">
        <v>89</v>
      </c>
      <c r="CSP5" s="394" t="s">
        <v>89</v>
      </c>
      <c r="CSQ5" s="394" t="s">
        <v>89</v>
      </c>
      <c r="CSR5" s="394" t="s">
        <v>89</v>
      </c>
      <c r="CSS5" s="394" t="s">
        <v>89</v>
      </c>
      <c r="CST5" s="394" t="s">
        <v>89</v>
      </c>
      <c r="CSU5" s="394" t="s">
        <v>89</v>
      </c>
      <c r="CSV5" s="394" t="s">
        <v>89</v>
      </c>
      <c r="CSW5" s="394" t="s">
        <v>89</v>
      </c>
      <c r="CSX5" s="394" t="s">
        <v>89</v>
      </c>
      <c r="CSY5" s="394" t="s">
        <v>89</v>
      </c>
      <c r="CSZ5" s="394" t="s">
        <v>89</v>
      </c>
      <c r="CTA5" s="394" t="s">
        <v>89</v>
      </c>
      <c r="CTB5" s="394" t="s">
        <v>89</v>
      </c>
      <c r="CTC5" s="394" t="s">
        <v>89</v>
      </c>
      <c r="CTD5" s="394" t="s">
        <v>89</v>
      </c>
      <c r="CTE5" s="394" t="s">
        <v>89</v>
      </c>
      <c r="CTF5" s="394" t="s">
        <v>89</v>
      </c>
      <c r="CTG5" s="394" t="s">
        <v>89</v>
      </c>
      <c r="CTH5" s="394" t="s">
        <v>89</v>
      </c>
      <c r="CTI5" s="394" t="s">
        <v>89</v>
      </c>
      <c r="CTJ5" s="394" t="s">
        <v>89</v>
      </c>
      <c r="CTK5" s="394" t="s">
        <v>89</v>
      </c>
      <c r="CTL5" s="394" t="s">
        <v>89</v>
      </c>
      <c r="CTM5" s="394" t="s">
        <v>89</v>
      </c>
      <c r="CTN5" s="394" t="s">
        <v>89</v>
      </c>
      <c r="CTO5" s="394" t="s">
        <v>89</v>
      </c>
      <c r="CTP5" s="394" t="s">
        <v>89</v>
      </c>
      <c r="CTQ5" s="394" t="s">
        <v>89</v>
      </c>
      <c r="CTR5" s="394" t="s">
        <v>89</v>
      </c>
      <c r="CTS5" s="394" t="s">
        <v>89</v>
      </c>
      <c r="CTT5" s="394" t="s">
        <v>89</v>
      </c>
      <c r="CTU5" s="394" t="s">
        <v>89</v>
      </c>
      <c r="CTV5" s="394" t="s">
        <v>89</v>
      </c>
      <c r="CTW5" s="394" t="s">
        <v>89</v>
      </c>
      <c r="CTX5" s="394" t="s">
        <v>89</v>
      </c>
      <c r="CTY5" s="394" t="s">
        <v>89</v>
      </c>
      <c r="CTZ5" s="394" t="s">
        <v>89</v>
      </c>
      <c r="CUA5" s="394" t="s">
        <v>89</v>
      </c>
      <c r="CUB5" s="394" t="s">
        <v>89</v>
      </c>
      <c r="CUC5" s="394" t="s">
        <v>89</v>
      </c>
      <c r="CUD5" s="394" t="s">
        <v>89</v>
      </c>
      <c r="CUE5" s="394" t="s">
        <v>89</v>
      </c>
      <c r="CUF5" s="394" t="s">
        <v>89</v>
      </c>
      <c r="CUG5" s="394" t="s">
        <v>89</v>
      </c>
      <c r="CUH5" s="394" t="s">
        <v>89</v>
      </c>
      <c r="CUI5" s="394" t="s">
        <v>89</v>
      </c>
      <c r="CUJ5" s="394" t="s">
        <v>89</v>
      </c>
      <c r="CUK5" s="394" t="s">
        <v>89</v>
      </c>
      <c r="CUL5" s="394" t="s">
        <v>89</v>
      </c>
      <c r="CUM5" s="394" t="s">
        <v>89</v>
      </c>
      <c r="CUN5" s="394" t="s">
        <v>89</v>
      </c>
      <c r="CUO5" s="394" t="s">
        <v>89</v>
      </c>
      <c r="CUP5" s="394" t="s">
        <v>89</v>
      </c>
      <c r="CUQ5" s="394" t="s">
        <v>89</v>
      </c>
      <c r="CUR5" s="394" t="s">
        <v>89</v>
      </c>
      <c r="CUS5" s="394" t="s">
        <v>89</v>
      </c>
      <c r="CUT5" s="394" t="s">
        <v>89</v>
      </c>
      <c r="CUU5" s="394" t="s">
        <v>89</v>
      </c>
      <c r="CUV5" s="394" t="s">
        <v>89</v>
      </c>
      <c r="CUW5" s="394" t="s">
        <v>89</v>
      </c>
      <c r="CUX5" s="394" t="s">
        <v>89</v>
      </c>
      <c r="CUY5" s="394" t="s">
        <v>89</v>
      </c>
      <c r="CUZ5" s="394" t="s">
        <v>89</v>
      </c>
      <c r="CVA5" s="394" t="s">
        <v>89</v>
      </c>
      <c r="CVB5" s="394" t="s">
        <v>89</v>
      </c>
      <c r="CVC5" s="394" t="s">
        <v>89</v>
      </c>
      <c r="CVD5" s="394" t="s">
        <v>89</v>
      </c>
      <c r="CVE5" s="394" t="s">
        <v>89</v>
      </c>
      <c r="CVF5" s="394" t="s">
        <v>89</v>
      </c>
      <c r="CVG5" s="394" t="s">
        <v>89</v>
      </c>
      <c r="CVH5" s="394" t="s">
        <v>89</v>
      </c>
      <c r="CVI5" s="394" t="s">
        <v>89</v>
      </c>
      <c r="CVJ5" s="394" t="s">
        <v>89</v>
      </c>
      <c r="CVK5" s="394" t="s">
        <v>89</v>
      </c>
      <c r="CVL5" s="394" t="s">
        <v>89</v>
      </c>
      <c r="CVM5" s="394" t="s">
        <v>89</v>
      </c>
      <c r="CVN5" s="394" t="s">
        <v>89</v>
      </c>
      <c r="CVO5" s="394" t="s">
        <v>89</v>
      </c>
      <c r="CVP5" s="394" t="s">
        <v>89</v>
      </c>
      <c r="CVQ5" s="394" t="s">
        <v>89</v>
      </c>
      <c r="CVR5" s="394" t="s">
        <v>89</v>
      </c>
      <c r="CVS5" s="394" t="s">
        <v>89</v>
      </c>
      <c r="CVT5" s="394" t="s">
        <v>89</v>
      </c>
      <c r="CVU5" s="394" t="s">
        <v>89</v>
      </c>
      <c r="CVV5" s="394" t="s">
        <v>89</v>
      </c>
      <c r="CVW5" s="394" t="s">
        <v>89</v>
      </c>
      <c r="CVX5" s="394" t="s">
        <v>89</v>
      </c>
      <c r="CVY5" s="394" t="s">
        <v>89</v>
      </c>
      <c r="CVZ5" s="394" t="s">
        <v>89</v>
      </c>
      <c r="CWA5" s="394" t="s">
        <v>89</v>
      </c>
      <c r="CWB5" s="394" t="s">
        <v>89</v>
      </c>
      <c r="CWC5" s="394" t="s">
        <v>89</v>
      </c>
      <c r="CWD5" s="394" t="s">
        <v>89</v>
      </c>
      <c r="CWE5" s="394" t="s">
        <v>89</v>
      </c>
      <c r="CWF5" s="394" t="s">
        <v>89</v>
      </c>
      <c r="CWG5" s="394" t="s">
        <v>89</v>
      </c>
      <c r="CWH5" s="394" t="s">
        <v>89</v>
      </c>
      <c r="CWI5" s="394" t="s">
        <v>89</v>
      </c>
      <c r="CWJ5" s="394" t="s">
        <v>89</v>
      </c>
      <c r="CWK5" s="394" t="s">
        <v>89</v>
      </c>
      <c r="CWL5" s="394" t="s">
        <v>89</v>
      </c>
      <c r="CWM5" s="394" t="s">
        <v>89</v>
      </c>
      <c r="CWN5" s="394" t="s">
        <v>89</v>
      </c>
      <c r="CWO5" s="394" t="s">
        <v>89</v>
      </c>
      <c r="CWP5" s="394" t="s">
        <v>89</v>
      </c>
      <c r="CWQ5" s="394" t="s">
        <v>89</v>
      </c>
      <c r="CWR5" s="394" t="s">
        <v>89</v>
      </c>
      <c r="CWS5" s="394" t="s">
        <v>89</v>
      </c>
      <c r="CWT5" s="394" t="s">
        <v>89</v>
      </c>
      <c r="CWU5" s="394" t="s">
        <v>89</v>
      </c>
      <c r="CWV5" s="394" t="s">
        <v>89</v>
      </c>
      <c r="CWW5" s="394" t="s">
        <v>89</v>
      </c>
      <c r="CWX5" s="394" t="s">
        <v>89</v>
      </c>
      <c r="CWY5" s="394" t="s">
        <v>89</v>
      </c>
      <c r="CWZ5" s="394" t="s">
        <v>89</v>
      </c>
      <c r="CXA5" s="394" t="s">
        <v>89</v>
      </c>
      <c r="CXB5" s="394" t="s">
        <v>89</v>
      </c>
      <c r="CXC5" s="394" t="s">
        <v>89</v>
      </c>
      <c r="CXD5" s="394" t="s">
        <v>89</v>
      </c>
      <c r="CXE5" s="394" t="s">
        <v>89</v>
      </c>
      <c r="CXF5" s="394" t="s">
        <v>89</v>
      </c>
      <c r="CXG5" s="394" t="s">
        <v>89</v>
      </c>
      <c r="CXH5" s="394" t="s">
        <v>89</v>
      </c>
      <c r="CXI5" s="394" t="s">
        <v>89</v>
      </c>
      <c r="CXJ5" s="394" t="s">
        <v>89</v>
      </c>
      <c r="CXK5" s="394" t="s">
        <v>89</v>
      </c>
      <c r="CXL5" s="394" t="s">
        <v>89</v>
      </c>
      <c r="CXM5" s="394" t="s">
        <v>89</v>
      </c>
      <c r="CXN5" s="394" t="s">
        <v>89</v>
      </c>
      <c r="CXO5" s="394" t="s">
        <v>89</v>
      </c>
      <c r="CXP5" s="394" t="s">
        <v>89</v>
      </c>
      <c r="CXQ5" s="394" t="s">
        <v>89</v>
      </c>
      <c r="CXR5" s="394" t="s">
        <v>89</v>
      </c>
      <c r="CXS5" s="394" t="s">
        <v>89</v>
      </c>
      <c r="CXT5" s="394" t="s">
        <v>89</v>
      </c>
      <c r="CXU5" s="394" t="s">
        <v>89</v>
      </c>
      <c r="CXV5" s="394" t="s">
        <v>89</v>
      </c>
      <c r="CXW5" s="394" t="s">
        <v>89</v>
      </c>
      <c r="CXX5" s="394" t="s">
        <v>89</v>
      </c>
      <c r="CXY5" s="394" t="s">
        <v>89</v>
      </c>
      <c r="CXZ5" s="394" t="s">
        <v>89</v>
      </c>
      <c r="CYA5" s="394" t="s">
        <v>89</v>
      </c>
      <c r="CYB5" s="394" t="s">
        <v>89</v>
      </c>
      <c r="CYC5" s="394" t="s">
        <v>89</v>
      </c>
      <c r="CYD5" s="394" t="s">
        <v>89</v>
      </c>
      <c r="CYE5" s="394" t="s">
        <v>89</v>
      </c>
      <c r="CYF5" s="394" t="s">
        <v>89</v>
      </c>
      <c r="CYG5" s="394" t="s">
        <v>89</v>
      </c>
      <c r="CYH5" s="394" t="s">
        <v>89</v>
      </c>
      <c r="CYI5" s="394" t="s">
        <v>89</v>
      </c>
      <c r="CYJ5" s="394" t="s">
        <v>89</v>
      </c>
      <c r="CYK5" s="394" t="s">
        <v>89</v>
      </c>
      <c r="CYL5" s="394" t="s">
        <v>89</v>
      </c>
      <c r="CYM5" s="394" t="s">
        <v>89</v>
      </c>
      <c r="CYN5" s="394" t="s">
        <v>89</v>
      </c>
      <c r="CYO5" s="394" t="s">
        <v>89</v>
      </c>
      <c r="CYP5" s="394" t="s">
        <v>89</v>
      </c>
      <c r="CYQ5" s="394" t="s">
        <v>89</v>
      </c>
      <c r="CYR5" s="394" t="s">
        <v>89</v>
      </c>
      <c r="CYS5" s="394" t="s">
        <v>89</v>
      </c>
      <c r="CYT5" s="394" t="s">
        <v>89</v>
      </c>
      <c r="CYU5" s="394" t="s">
        <v>89</v>
      </c>
      <c r="CYV5" s="394" t="s">
        <v>89</v>
      </c>
      <c r="CYW5" s="394" t="s">
        <v>89</v>
      </c>
      <c r="CYX5" s="394" t="s">
        <v>89</v>
      </c>
      <c r="CYY5" s="394" t="s">
        <v>89</v>
      </c>
      <c r="CYZ5" s="394" t="s">
        <v>89</v>
      </c>
      <c r="CZA5" s="394" t="s">
        <v>89</v>
      </c>
      <c r="CZB5" s="394" t="s">
        <v>89</v>
      </c>
      <c r="CZC5" s="394" t="s">
        <v>89</v>
      </c>
      <c r="CZD5" s="394" t="s">
        <v>89</v>
      </c>
      <c r="CZE5" s="394" t="s">
        <v>89</v>
      </c>
      <c r="CZF5" s="394" t="s">
        <v>89</v>
      </c>
      <c r="CZG5" s="394" t="s">
        <v>89</v>
      </c>
      <c r="CZH5" s="394" t="s">
        <v>89</v>
      </c>
      <c r="CZI5" s="394" t="s">
        <v>89</v>
      </c>
      <c r="CZJ5" s="394" t="s">
        <v>89</v>
      </c>
      <c r="CZK5" s="394" t="s">
        <v>89</v>
      </c>
      <c r="CZL5" s="394" t="s">
        <v>89</v>
      </c>
      <c r="CZM5" s="394" t="s">
        <v>89</v>
      </c>
      <c r="CZN5" s="394" t="s">
        <v>89</v>
      </c>
      <c r="CZO5" s="394" t="s">
        <v>89</v>
      </c>
      <c r="CZP5" s="394" t="s">
        <v>89</v>
      </c>
      <c r="CZQ5" s="394" t="s">
        <v>89</v>
      </c>
      <c r="CZR5" s="394" t="s">
        <v>89</v>
      </c>
      <c r="CZS5" s="394" t="s">
        <v>89</v>
      </c>
      <c r="CZT5" s="394" t="s">
        <v>89</v>
      </c>
      <c r="CZU5" s="394" t="s">
        <v>89</v>
      </c>
      <c r="CZV5" s="394" t="s">
        <v>89</v>
      </c>
      <c r="CZW5" s="394" t="s">
        <v>89</v>
      </c>
      <c r="CZX5" s="394" t="s">
        <v>89</v>
      </c>
      <c r="CZY5" s="394" t="s">
        <v>89</v>
      </c>
      <c r="CZZ5" s="394" t="s">
        <v>89</v>
      </c>
      <c r="DAA5" s="394" t="s">
        <v>89</v>
      </c>
      <c r="DAB5" s="394" t="s">
        <v>89</v>
      </c>
      <c r="DAC5" s="394" t="s">
        <v>89</v>
      </c>
      <c r="DAD5" s="394" t="s">
        <v>89</v>
      </c>
      <c r="DAE5" s="394" t="s">
        <v>89</v>
      </c>
      <c r="DAF5" s="394" t="s">
        <v>89</v>
      </c>
      <c r="DAG5" s="394" t="s">
        <v>89</v>
      </c>
      <c r="DAH5" s="394" t="s">
        <v>89</v>
      </c>
      <c r="DAI5" s="394" t="s">
        <v>89</v>
      </c>
      <c r="DAJ5" s="394" t="s">
        <v>89</v>
      </c>
      <c r="DAK5" s="394" t="s">
        <v>89</v>
      </c>
      <c r="DAL5" s="394" t="s">
        <v>89</v>
      </c>
      <c r="DAM5" s="394" t="s">
        <v>89</v>
      </c>
      <c r="DAN5" s="394" t="s">
        <v>89</v>
      </c>
      <c r="DAO5" s="394" t="s">
        <v>89</v>
      </c>
      <c r="DAP5" s="394" t="s">
        <v>89</v>
      </c>
      <c r="DAQ5" s="394" t="s">
        <v>89</v>
      </c>
      <c r="DAR5" s="394" t="s">
        <v>89</v>
      </c>
      <c r="DAS5" s="394" t="s">
        <v>89</v>
      </c>
      <c r="DAT5" s="394" t="s">
        <v>89</v>
      </c>
      <c r="DAU5" s="394" t="s">
        <v>89</v>
      </c>
      <c r="DAV5" s="394" t="s">
        <v>89</v>
      </c>
      <c r="DAW5" s="394" t="s">
        <v>89</v>
      </c>
      <c r="DAX5" s="394" t="s">
        <v>89</v>
      </c>
      <c r="DAY5" s="394" t="s">
        <v>89</v>
      </c>
      <c r="DAZ5" s="394" t="s">
        <v>89</v>
      </c>
      <c r="DBA5" s="394" t="s">
        <v>89</v>
      </c>
      <c r="DBB5" s="394" t="s">
        <v>89</v>
      </c>
      <c r="DBC5" s="394" t="s">
        <v>89</v>
      </c>
      <c r="DBD5" s="394" t="s">
        <v>89</v>
      </c>
      <c r="DBE5" s="394" t="s">
        <v>89</v>
      </c>
      <c r="DBF5" s="394" t="s">
        <v>89</v>
      </c>
      <c r="DBG5" s="394" t="s">
        <v>89</v>
      </c>
      <c r="DBH5" s="394" t="s">
        <v>89</v>
      </c>
      <c r="DBI5" s="394" t="s">
        <v>89</v>
      </c>
      <c r="DBJ5" s="394" t="s">
        <v>89</v>
      </c>
      <c r="DBK5" s="394" t="s">
        <v>89</v>
      </c>
      <c r="DBL5" s="394" t="s">
        <v>89</v>
      </c>
      <c r="DBM5" s="394" t="s">
        <v>89</v>
      </c>
      <c r="DBN5" s="394" t="s">
        <v>89</v>
      </c>
      <c r="DBO5" s="394" t="s">
        <v>89</v>
      </c>
      <c r="DBP5" s="394" t="s">
        <v>89</v>
      </c>
      <c r="DBQ5" s="394" t="s">
        <v>89</v>
      </c>
      <c r="DBR5" s="394" t="s">
        <v>89</v>
      </c>
      <c r="DBS5" s="394" t="s">
        <v>89</v>
      </c>
      <c r="DBT5" s="394" t="s">
        <v>89</v>
      </c>
      <c r="DBU5" s="394" t="s">
        <v>89</v>
      </c>
      <c r="DBV5" s="394" t="s">
        <v>89</v>
      </c>
      <c r="DBW5" s="394" t="s">
        <v>89</v>
      </c>
      <c r="DBX5" s="394" t="s">
        <v>89</v>
      </c>
      <c r="DBY5" s="394" t="s">
        <v>89</v>
      </c>
      <c r="DBZ5" s="394" t="s">
        <v>89</v>
      </c>
      <c r="DCA5" s="394" t="s">
        <v>89</v>
      </c>
      <c r="DCB5" s="394" t="s">
        <v>89</v>
      </c>
      <c r="DCC5" s="394" t="s">
        <v>89</v>
      </c>
      <c r="DCD5" s="394" t="s">
        <v>89</v>
      </c>
      <c r="DCE5" s="394" t="s">
        <v>89</v>
      </c>
      <c r="DCF5" s="394" t="s">
        <v>89</v>
      </c>
      <c r="DCG5" s="394" t="s">
        <v>89</v>
      </c>
      <c r="DCH5" s="394" t="s">
        <v>89</v>
      </c>
      <c r="DCI5" s="394" t="s">
        <v>89</v>
      </c>
      <c r="DCJ5" s="394" t="s">
        <v>89</v>
      </c>
      <c r="DCK5" s="394" t="s">
        <v>89</v>
      </c>
      <c r="DCL5" s="394" t="s">
        <v>89</v>
      </c>
      <c r="DCM5" s="394" t="s">
        <v>89</v>
      </c>
      <c r="DCN5" s="394" t="s">
        <v>89</v>
      </c>
      <c r="DCO5" s="394" t="s">
        <v>89</v>
      </c>
      <c r="DCP5" s="394" t="s">
        <v>89</v>
      </c>
      <c r="DCQ5" s="394" t="s">
        <v>89</v>
      </c>
      <c r="DCR5" s="394" t="s">
        <v>89</v>
      </c>
      <c r="DCS5" s="394" t="s">
        <v>89</v>
      </c>
      <c r="DCT5" s="394" t="s">
        <v>89</v>
      </c>
      <c r="DCU5" s="394" t="s">
        <v>89</v>
      </c>
      <c r="DCV5" s="394" t="s">
        <v>89</v>
      </c>
      <c r="DCW5" s="394" t="s">
        <v>89</v>
      </c>
      <c r="DCX5" s="394" t="s">
        <v>89</v>
      </c>
      <c r="DCY5" s="394" t="s">
        <v>89</v>
      </c>
      <c r="DCZ5" s="394" t="s">
        <v>89</v>
      </c>
      <c r="DDA5" s="394" t="s">
        <v>89</v>
      </c>
      <c r="DDB5" s="394" t="s">
        <v>89</v>
      </c>
      <c r="DDC5" s="394" t="s">
        <v>89</v>
      </c>
      <c r="DDD5" s="394" t="s">
        <v>89</v>
      </c>
      <c r="DDE5" s="394" t="s">
        <v>89</v>
      </c>
      <c r="DDF5" s="394" t="s">
        <v>89</v>
      </c>
      <c r="DDG5" s="394" t="s">
        <v>89</v>
      </c>
      <c r="DDH5" s="394" t="s">
        <v>89</v>
      </c>
      <c r="DDI5" s="394" t="s">
        <v>89</v>
      </c>
      <c r="DDJ5" s="394" t="s">
        <v>89</v>
      </c>
      <c r="DDK5" s="394" t="s">
        <v>89</v>
      </c>
      <c r="DDL5" s="394" t="s">
        <v>89</v>
      </c>
      <c r="DDM5" s="394" t="s">
        <v>89</v>
      </c>
      <c r="DDN5" s="394" t="s">
        <v>89</v>
      </c>
      <c r="DDO5" s="394" t="s">
        <v>89</v>
      </c>
      <c r="DDP5" s="394" t="s">
        <v>89</v>
      </c>
      <c r="DDQ5" s="394" t="s">
        <v>89</v>
      </c>
      <c r="DDR5" s="394" t="s">
        <v>89</v>
      </c>
      <c r="DDS5" s="394" t="s">
        <v>89</v>
      </c>
      <c r="DDT5" s="394" t="s">
        <v>89</v>
      </c>
      <c r="DDU5" s="394" t="s">
        <v>89</v>
      </c>
      <c r="DDV5" s="394" t="s">
        <v>89</v>
      </c>
      <c r="DDW5" s="394" t="s">
        <v>89</v>
      </c>
      <c r="DDX5" s="394" t="s">
        <v>89</v>
      </c>
      <c r="DDY5" s="394" t="s">
        <v>89</v>
      </c>
      <c r="DDZ5" s="394" t="s">
        <v>89</v>
      </c>
      <c r="DEA5" s="394" t="s">
        <v>89</v>
      </c>
      <c r="DEB5" s="394" t="s">
        <v>89</v>
      </c>
      <c r="DEC5" s="394" t="s">
        <v>89</v>
      </c>
      <c r="DED5" s="394" t="s">
        <v>89</v>
      </c>
      <c r="DEE5" s="394" t="s">
        <v>89</v>
      </c>
      <c r="DEF5" s="394" t="s">
        <v>89</v>
      </c>
      <c r="DEG5" s="394" t="s">
        <v>89</v>
      </c>
      <c r="DEH5" s="394" t="s">
        <v>89</v>
      </c>
      <c r="DEI5" s="394" t="s">
        <v>89</v>
      </c>
      <c r="DEJ5" s="394" t="s">
        <v>89</v>
      </c>
      <c r="DEK5" s="394" t="s">
        <v>89</v>
      </c>
      <c r="DEL5" s="394" t="s">
        <v>89</v>
      </c>
      <c r="DEM5" s="394" t="s">
        <v>89</v>
      </c>
      <c r="DEN5" s="394" t="s">
        <v>89</v>
      </c>
      <c r="DEO5" s="394" t="s">
        <v>89</v>
      </c>
      <c r="DEP5" s="394" t="s">
        <v>89</v>
      </c>
      <c r="DEQ5" s="394" t="s">
        <v>89</v>
      </c>
      <c r="DER5" s="394" t="s">
        <v>89</v>
      </c>
      <c r="DES5" s="394" t="s">
        <v>89</v>
      </c>
      <c r="DET5" s="394" t="s">
        <v>89</v>
      </c>
      <c r="DEU5" s="394" t="s">
        <v>89</v>
      </c>
      <c r="DEV5" s="394" t="s">
        <v>89</v>
      </c>
      <c r="DEW5" s="394" t="s">
        <v>89</v>
      </c>
      <c r="DEX5" s="394" t="s">
        <v>89</v>
      </c>
      <c r="DEY5" s="394" t="s">
        <v>89</v>
      </c>
      <c r="DEZ5" s="394" t="s">
        <v>89</v>
      </c>
      <c r="DFA5" s="394" t="s">
        <v>89</v>
      </c>
      <c r="DFB5" s="394" t="s">
        <v>89</v>
      </c>
      <c r="DFC5" s="394" t="s">
        <v>89</v>
      </c>
      <c r="DFD5" s="394" t="s">
        <v>89</v>
      </c>
      <c r="DFE5" s="394" t="s">
        <v>89</v>
      </c>
      <c r="DFF5" s="394" t="s">
        <v>89</v>
      </c>
      <c r="DFG5" s="394" t="s">
        <v>89</v>
      </c>
      <c r="DFH5" s="394" t="s">
        <v>89</v>
      </c>
      <c r="DFI5" s="394" t="s">
        <v>89</v>
      </c>
      <c r="DFJ5" s="394" t="s">
        <v>89</v>
      </c>
      <c r="DFK5" s="394" t="s">
        <v>89</v>
      </c>
      <c r="DFL5" s="394" t="s">
        <v>89</v>
      </c>
      <c r="DFM5" s="394" t="s">
        <v>89</v>
      </c>
      <c r="DFN5" s="394" t="s">
        <v>89</v>
      </c>
      <c r="DFO5" s="394" t="s">
        <v>89</v>
      </c>
      <c r="DFP5" s="394" t="s">
        <v>89</v>
      </c>
      <c r="DFQ5" s="394" t="s">
        <v>89</v>
      </c>
      <c r="DFR5" s="394" t="s">
        <v>89</v>
      </c>
      <c r="DFS5" s="394" t="s">
        <v>89</v>
      </c>
      <c r="DFT5" s="394" t="s">
        <v>89</v>
      </c>
      <c r="DFU5" s="394" t="s">
        <v>89</v>
      </c>
      <c r="DFV5" s="394" t="s">
        <v>89</v>
      </c>
      <c r="DFW5" s="394" t="s">
        <v>89</v>
      </c>
      <c r="DFX5" s="394" t="s">
        <v>89</v>
      </c>
      <c r="DFY5" s="394" t="s">
        <v>89</v>
      </c>
      <c r="DFZ5" s="394" t="s">
        <v>89</v>
      </c>
      <c r="DGA5" s="394" t="s">
        <v>89</v>
      </c>
      <c r="DGB5" s="394" t="s">
        <v>89</v>
      </c>
      <c r="DGC5" s="394" t="s">
        <v>89</v>
      </c>
      <c r="DGD5" s="394" t="s">
        <v>89</v>
      </c>
      <c r="DGE5" s="394" t="s">
        <v>89</v>
      </c>
      <c r="DGF5" s="394" t="s">
        <v>89</v>
      </c>
      <c r="DGG5" s="394" t="s">
        <v>89</v>
      </c>
      <c r="DGH5" s="394" t="s">
        <v>89</v>
      </c>
      <c r="DGI5" s="394" t="s">
        <v>89</v>
      </c>
      <c r="DGJ5" s="394" t="s">
        <v>89</v>
      </c>
      <c r="DGK5" s="394" t="s">
        <v>89</v>
      </c>
      <c r="DGL5" s="394" t="s">
        <v>89</v>
      </c>
      <c r="DGM5" s="394" t="s">
        <v>89</v>
      </c>
      <c r="DGN5" s="394" t="s">
        <v>89</v>
      </c>
      <c r="DGO5" s="394" t="s">
        <v>89</v>
      </c>
      <c r="DGP5" s="394" t="s">
        <v>89</v>
      </c>
      <c r="DGQ5" s="394" t="s">
        <v>89</v>
      </c>
      <c r="DGR5" s="394" t="s">
        <v>89</v>
      </c>
      <c r="DGS5" s="394" t="s">
        <v>89</v>
      </c>
      <c r="DGT5" s="394" t="s">
        <v>89</v>
      </c>
      <c r="DGU5" s="394" t="s">
        <v>89</v>
      </c>
      <c r="DGV5" s="394" t="s">
        <v>89</v>
      </c>
      <c r="DGW5" s="394" t="s">
        <v>89</v>
      </c>
      <c r="DGX5" s="394" t="s">
        <v>89</v>
      </c>
      <c r="DGY5" s="394" t="s">
        <v>89</v>
      </c>
      <c r="DGZ5" s="394" t="s">
        <v>89</v>
      </c>
      <c r="DHA5" s="394" t="s">
        <v>89</v>
      </c>
      <c r="DHB5" s="394" t="s">
        <v>89</v>
      </c>
      <c r="DHC5" s="394" t="s">
        <v>89</v>
      </c>
      <c r="DHD5" s="394" t="s">
        <v>89</v>
      </c>
      <c r="DHE5" s="394" t="s">
        <v>89</v>
      </c>
      <c r="DHF5" s="394" t="s">
        <v>89</v>
      </c>
      <c r="DHG5" s="394" t="s">
        <v>89</v>
      </c>
      <c r="DHH5" s="394" t="s">
        <v>89</v>
      </c>
      <c r="DHI5" s="394" t="s">
        <v>89</v>
      </c>
      <c r="DHJ5" s="394" t="s">
        <v>89</v>
      </c>
      <c r="DHK5" s="394" t="s">
        <v>89</v>
      </c>
      <c r="DHL5" s="394" t="s">
        <v>89</v>
      </c>
      <c r="DHM5" s="394" t="s">
        <v>89</v>
      </c>
      <c r="DHN5" s="394" t="s">
        <v>89</v>
      </c>
      <c r="DHO5" s="394" t="s">
        <v>89</v>
      </c>
      <c r="DHP5" s="394" t="s">
        <v>89</v>
      </c>
      <c r="DHQ5" s="394" t="s">
        <v>89</v>
      </c>
      <c r="DHR5" s="394" t="s">
        <v>89</v>
      </c>
      <c r="DHS5" s="394" t="s">
        <v>89</v>
      </c>
      <c r="DHT5" s="394" t="s">
        <v>89</v>
      </c>
      <c r="DHU5" s="394" t="s">
        <v>89</v>
      </c>
      <c r="DHV5" s="394" t="s">
        <v>89</v>
      </c>
      <c r="DHW5" s="394" t="s">
        <v>89</v>
      </c>
      <c r="DHX5" s="394" t="s">
        <v>89</v>
      </c>
      <c r="DHY5" s="394" t="s">
        <v>89</v>
      </c>
      <c r="DHZ5" s="394" t="s">
        <v>89</v>
      </c>
      <c r="DIA5" s="394" t="s">
        <v>89</v>
      </c>
      <c r="DIB5" s="394" t="s">
        <v>89</v>
      </c>
      <c r="DIC5" s="394" t="s">
        <v>89</v>
      </c>
      <c r="DID5" s="394" t="s">
        <v>89</v>
      </c>
      <c r="DIE5" s="394" t="s">
        <v>89</v>
      </c>
      <c r="DIF5" s="394" t="s">
        <v>89</v>
      </c>
      <c r="DIG5" s="394" t="s">
        <v>89</v>
      </c>
      <c r="DIH5" s="394" t="s">
        <v>89</v>
      </c>
      <c r="DII5" s="394" t="s">
        <v>89</v>
      </c>
      <c r="DIJ5" s="394" t="s">
        <v>89</v>
      </c>
      <c r="DIK5" s="394" t="s">
        <v>89</v>
      </c>
      <c r="DIL5" s="394" t="s">
        <v>89</v>
      </c>
      <c r="DIM5" s="394" t="s">
        <v>89</v>
      </c>
      <c r="DIN5" s="394" t="s">
        <v>89</v>
      </c>
      <c r="DIO5" s="394" t="s">
        <v>89</v>
      </c>
      <c r="DIP5" s="394" t="s">
        <v>89</v>
      </c>
      <c r="DIQ5" s="394" t="s">
        <v>89</v>
      </c>
      <c r="DIR5" s="394" t="s">
        <v>89</v>
      </c>
      <c r="DIS5" s="394" t="s">
        <v>89</v>
      </c>
      <c r="DIT5" s="394" t="s">
        <v>89</v>
      </c>
      <c r="DIU5" s="394" t="s">
        <v>89</v>
      </c>
      <c r="DIV5" s="394" t="s">
        <v>89</v>
      </c>
      <c r="DIW5" s="394" t="s">
        <v>89</v>
      </c>
      <c r="DIX5" s="394" t="s">
        <v>89</v>
      </c>
      <c r="DIY5" s="394" t="s">
        <v>89</v>
      </c>
      <c r="DIZ5" s="394" t="s">
        <v>89</v>
      </c>
      <c r="DJA5" s="394" t="s">
        <v>89</v>
      </c>
      <c r="DJB5" s="394" t="s">
        <v>89</v>
      </c>
      <c r="DJC5" s="394" t="s">
        <v>89</v>
      </c>
      <c r="DJD5" s="394" t="s">
        <v>89</v>
      </c>
      <c r="DJE5" s="394" t="s">
        <v>89</v>
      </c>
      <c r="DJF5" s="394" t="s">
        <v>89</v>
      </c>
      <c r="DJG5" s="394" t="s">
        <v>89</v>
      </c>
      <c r="DJH5" s="394" t="s">
        <v>89</v>
      </c>
      <c r="DJI5" s="394" t="s">
        <v>89</v>
      </c>
      <c r="DJJ5" s="394" t="s">
        <v>89</v>
      </c>
      <c r="DJK5" s="394" t="s">
        <v>89</v>
      </c>
      <c r="DJL5" s="394" t="s">
        <v>89</v>
      </c>
      <c r="DJM5" s="394" t="s">
        <v>89</v>
      </c>
      <c r="DJN5" s="394" t="s">
        <v>89</v>
      </c>
      <c r="DJO5" s="394" t="s">
        <v>89</v>
      </c>
      <c r="DJP5" s="394" t="s">
        <v>89</v>
      </c>
      <c r="DJQ5" s="394" t="s">
        <v>89</v>
      </c>
      <c r="DJR5" s="394" t="s">
        <v>89</v>
      </c>
      <c r="DJS5" s="394" t="s">
        <v>89</v>
      </c>
      <c r="DJT5" s="394" t="s">
        <v>89</v>
      </c>
      <c r="DJU5" s="394" t="s">
        <v>89</v>
      </c>
      <c r="DJV5" s="394" t="s">
        <v>89</v>
      </c>
      <c r="DJW5" s="394" t="s">
        <v>89</v>
      </c>
      <c r="DJX5" s="394" t="s">
        <v>89</v>
      </c>
      <c r="DJY5" s="394" t="s">
        <v>89</v>
      </c>
      <c r="DJZ5" s="394" t="s">
        <v>89</v>
      </c>
      <c r="DKA5" s="394" t="s">
        <v>89</v>
      </c>
      <c r="DKB5" s="394" t="s">
        <v>89</v>
      </c>
      <c r="DKC5" s="394" t="s">
        <v>89</v>
      </c>
      <c r="DKD5" s="394" t="s">
        <v>89</v>
      </c>
      <c r="DKE5" s="394" t="s">
        <v>89</v>
      </c>
      <c r="DKF5" s="394" t="s">
        <v>89</v>
      </c>
      <c r="DKG5" s="394" t="s">
        <v>89</v>
      </c>
      <c r="DKH5" s="394" t="s">
        <v>89</v>
      </c>
      <c r="DKI5" s="394" t="s">
        <v>89</v>
      </c>
      <c r="DKJ5" s="394" t="s">
        <v>89</v>
      </c>
      <c r="DKK5" s="394" t="s">
        <v>89</v>
      </c>
      <c r="DKL5" s="394" t="s">
        <v>89</v>
      </c>
      <c r="DKM5" s="394" t="s">
        <v>89</v>
      </c>
      <c r="DKN5" s="394" t="s">
        <v>89</v>
      </c>
      <c r="DKO5" s="394" t="s">
        <v>89</v>
      </c>
      <c r="DKP5" s="394" t="s">
        <v>89</v>
      </c>
      <c r="DKQ5" s="394" t="s">
        <v>89</v>
      </c>
      <c r="DKR5" s="394" t="s">
        <v>89</v>
      </c>
      <c r="DKS5" s="394" t="s">
        <v>89</v>
      </c>
      <c r="DKT5" s="394" t="s">
        <v>89</v>
      </c>
      <c r="DKU5" s="394" t="s">
        <v>89</v>
      </c>
      <c r="DKV5" s="394" t="s">
        <v>89</v>
      </c>
      <c r="DKW5" s="394" t="s">
        <v>89</v>
      </c>
      <c r="DKX5" s="394" t="s">
        <v>89</v>
      </c>
      <c r="DKY5" s="394" t="s">
        <v>89</v>
      </c>
      <c r="DKZ5" s="394" t="s">
        <v>89</v>
      </c>
      <c r="DLA5" s="394" t="s">
        <v>89</v>
      </c>
      <c r="DLB5" s="394" t="s">
        <v>89</v>
      </c>
      <c r="DLC5" s="394" t="s">
        <v>89</v>
      </c>
      <c r="DLD5" s="394" t="s">
        <v>89</v>
      </c>
      <c r="DLE5" s="394" t="s">
        <v>89</v>
      </c>
      <c r="DLF5" s="394" t="s">
        <v>89</v>
      </c>
      <c r="DLG5" s="394" t="s">
        <v>89</v>
      </c>
      <c r="DLH5" s="394" t="s">
        <v>89</v>
      </c>
      <c r="DLI5" s="394" t="s">
        <v>89</v>
      </c>
      <c r="DLJ5" s="394" t="s">
        <v>89</v>
      </c>
      <c r="DLK5" s="394" t="s">
        <v>89</v>
      </c>
      <c r="DLL5" s="394" t="s">
        <v>89</v>
      </c>
      <c r="DLM5" s="394" t="s">
        <v>89</v>
      </c>
      <c r="DLN5" s="394" t="s">
        <v>89</v>
      </c>
      <c r="DLO5" s="394" t="s">
        <v>89</v>
      </c>
      <c r="DLP5" s="394" t="s">
        <v>89</v>
      </c>
      <c r="DLQ5" s="394" t="s">
        <v>89</v>
      </c>
      <c r="DLR5" s="394" t="s">
        <v>89</v>
      </c>
      <c r="DLS5" s="394" t="s">
        <v>89</v>
      </c>
      <c r="DLT5" s="394" t="s">
        <v>89</v>
      </c>
      <c r="DLU5" s="394" t="s">
        <v>89</v>
      </c>
      <c r="DLV5" s="394" t="s">
        <v>89</v>
      </c>
      <c r="DLW5" s="394" t="s">
        <v>89</v>
      </c>
      <c r="DLX5" s="394" t="s">
        <v>89</v>
      </c>
      <c r="DLY5" s="394" t="s">
        <v>89</v>
      </c>
      <c r="DLZ5" s="394" t="s">
        <v>89</v>
      </c>
      <c r="DMA5" s="394" t="s">
        <v>89</v>
      </c>
      <c r="DMB5" s="394" t="s">
        <v>89</v>
      </c>
      <c r="DMC5" s="394" t="s">
        <v>89</v>
      </c>
      <c r="DMD5" s="394" t="s">
        <v>89</v>
      </c>
      <c r="DME5" s="394" t="s">
        <v>89</v>
      </c>
      <c r="DMF5" s="394" t="s">
        <v>89</v>
      </c>
      <c r="DMG5" s="394" t="s">
        <v>89</v>
      </c>
      <c r="DMH5" s="394" t="s">
        <v>89</v>
      </c>
      <c r="DMI5" s="394" t="s">
        <v>89</v>
      </c>
      <c r="DMJ5" s="394" t="s">
        <v>89</v>
      </c>
      <c r="DMK5" s="394" t="s">
        <v>89</v>
      </c>
      <c r="DML5" s="394" t="s">
        <v>89</v>
      </c>
      <c r="DMM5" s="394" t="s">
        <v>89</v>
      </c>
      <c r="DMN5" s="394" t="s">
        <v>89</v>
      </c>
      <c r="DMO5" s="394" t="s">
        <v>89</v>
      </c>
      <c r="DMP5" s="394" t="s">
        <v>89</v>
      </c>
      <c r="DMQ5" s="394" t="s">
        <v>89</v>
      </c>
      <c r="DMR5" s="394" t="s">
        <v>89</v>
      </c>
      <c r="DMS5" s="394" t="s">
        <v>89</v>
      </c>
      <c r="DMT5" s="394" t="s">
        <v>89</v>
      </c>
      <c r="DMU5" s="394" t="s">
        <v>89</v>
      </c>
      <c r="DMV5" s="394" t="s">
        <v>89</v>
      </c>
      <c r="DMW5" s="394" t="s">
        <v>89</v>
      </c>
      <c r="DMX5" s="394" t="s">
        <v>89</v>
      </c>
      <c r="DMY5" s="394" t="s">
        <v>89</v>
      </c>
      <c r="DMZ5" s="394" t="s">
        <v>89</v>
      </c>
      <c r="DNA5" s="394" t="s">
        <v>89</v>
      </c>
      <c r="DNB5" s="394" t="s">
        <v>89</v>
      </c>
      <c r="DNC5" s="394" t="s">
        <v>89</v>
      </c>
      <c r="DND5" s="394" t="s">
        <v>89</v>
      </c>
      <c r="DNE5" s="394" t="s">
        <v>89</v>
      </c>
      <c r="DNF5" s="394" t="s">
        <v>89</v>
      </c>
      <c r="DNG5" s="394" t="s">
        <v>89</v>
      </c>
      <c r="DNH5" s="394" t="s">
        <v>89</v>
      </c>
      <c r="DNI5" s="394" t="s">
        <v>89</v>
      </c>
      <c r="DNJ5" s="394" t="s">
        <v>89</v>
      </c>
      <c r="DNK5" s="394" t="s">
        <v>89</v>
      </c>
      <c r="DNL5" s="394" t="s">
        <v>89</v>
      </c>
      <c r="DNM5" s="394" t="s">
        <v>89</v>
      </c>
      <c r="DNN5" s="394" t="s">
        <v>89</v>
      </c>
      <c r="DNO5" s="394" t="s">
        <v>89</v>
      </c>
      <c r="DNP5" s="394" t="s">
        <v>89</v>
      </c>
      <c r="DNQ5" s="394" t="s">
        <v>89</v>
      </c>
      <c r="DNR5" s="394" t="s">
        <v>89</v>
      </c>
      <c r="DNS5" s="394" t="s">
        <v>89</v>
      </c>
      <c r="DNT5" s="394" t="s">
        <v>89</v>
      </c>
      <c r="DNU5" s="394" t="s">
        <v>89</v>
      </c>
      <c r="DNV5" s="394" t="s">
        <v>89</v>
      </c>
      <c r="DNW5" s="394" t="s">
        <v>89</v>
      </c>
      <c r="DNX5" s="394" t="s">
        <v>89</v>
      </c>
      <c r="DNY5" s="394" t="s">
        <v>89</v>
      </c>
      <c r="DNZ5" s="394" t="s">
        <v>89</v>
      </c>
      <c r="DOA5" s="394" t="s">
        <v>89</v>
      </c>
      <c r="DOB5" s="394" t="s">
        <v>89</v>
      </c>
      <c r="DOC5" s="394" t="s">
        <v>89</v>
      </c>
      <c r="DOD5" s="394" t="s">
        <v>89</v>
      </c>
      <c r="DOE5" s="394" t="s">
        <v>89</v>
      </c>
      <c r="DOF5" s="394" t="s">
        <v>89</v>
      </c>
      <c r="DOG5" s="394" t="s">
        <v>89</v>
      </c>
      <c r="DOH5" s="394" t="s">
        <v>89</v>
      </c>
      <c r="DOI5" s="394" t="s">
        <v>89</v>
      </c>
      <c r="DOJ5" s="394" t="s">
        <v>89</v>
      </c>
      <c r="DOK5" s="394" t="s">
        <v>89</v>
      </c>
      <c r="DOL5" s="394" t="s">
        <v>89</v>
      </c>
      <c r="DOM5" s="394" t="s">
        <v>89</v>
      </c>
      <c r="DON5" s="394" t="s">
        <v>89</v>
      </c>
      <c r="DOO5" s="394" t="s">
        <v>89</v>
      </c>
      <c r="DOP5" s="394" t="s">
        <v>89</v>
      </c>
      <c r="DOQ5" s="394" t="s">
        <v>89</v>
      </c>
      <c r="DOR5" s="394" t="s">
        <v>89</v>
      </c>
      <c r="DOS5" s="394" t="s">
        <v>89</v>
      </c>
      <c r="DOT5" s="394" t="s">
        <v>89</v>
      </c>
      <c r="DOU5" s="394" t="s">
        <v>89</v>
      </c>
      <c r="DOV5" s="394" t="s">
        <v>89</v>
      </c>
      <c r="DOW5" s="394" t="s">
        <v>89</v>
      </c>
      <c r="DOX5" s="394" t="s">
        <v>89</v>
      </c>
      <c r="DOY5" s="394" t="s">
        <v>89</v>
      </c>
      <c r="DOZ5" s="394" t="s">
        <v>89</v>
      </c>
      <c r="DPA5" s="394" t="s">
        <v>89</v>
      </c>
      <c r="DPB5" s="394" t="s">
        <v>89</v>
      </c>
      <c r="DPC5" s="394" t="s">
        <v>89</v>
      </c>
      <c r="DPD5" s="394" t="s">
        <v>89</v>
      </c>
      <c r="DPE5" s="394" t="s">
        <v>89</v>
      </c>
      <c r="DPF5" s="394" t="s">
        <v>89</v>
      </c>
      <c r="DPG5" s="394" t="s">
        <v>89</v>
      </c>
      <c r="DPH5" s="394" t="s">
        <v>89</v>
      </c>
      <c r="DPI5" s="394" t="s">
        <v>89</v>
      </c>
      <c r="DPJ5" s="394" t="s">
        <v>89</v>
      </c>
      <c r="DPK5" s="394" t="s">
        <v>89</v>
      </c>
      <c r="DPL5" s="394" t="s">
        <v>89</v>
      </c>
      <c r="DPM5" s="394" t="s">
        <v>89</v>
      </c>
      <c r="DPN5" s="394" t="s">
        <v>89</v>
      </c>
      <c r="DPO5" s="394" t="s">
        <v>89</v>
      </c>
      <c r="DPP5" s="394" t="s">
        <v>89</v>
      </c>
      <c r="DPQ5" s="394" t="s">
        <v>89</v>
      </c>
      <c r="DPR5" s="394" t="s">
        <v>89</v>
      </c>
      <c r="DPS5" s="394" t="s">
        <v>89</v>
      </c>
      <c r="DPT5" s="394" t="s">
        <v>89</v>
      </c>
      <c r="DPU5" s="394" t="s">
        <v>89</v>
      </c>
      <c r="DPV5" s="394" t="s">
        <v>89</v>
      </c>
      <c r="DPW5" s="394" t="s">
        <v>89</v>
      </c>
      <c r="DPX5" s="394" t="s">
        <v>89</v>
      </c>
      <c r="DPY5" s="394" t="s">
        <v>89</v>
      </c>
      <c r="DPZ5" s="394" t="s">
        <v>89</v>
      </c>
      <c r="DQA5" s="394" t="s">
        <v>89</v>
      </c>
      <c r="DQB5" s="394" t="s">
        <v>89</v>
      </c>
      <c r="DQC5" s="394" t="s">
        <v>89</v>
      </c>
      <c r="DQD5" s="394" t="s">
        <v>89</v>
      </c>
      <c r="DQE5" s="394" t="s">
        <v>89</v>
      </c>
      <c r="DQF5" s="394" t="s">
        <v>89</v>
      </c>
      <c r="DQG5" s="394" t="s">
        <v>89</v>
      </c>
      <c r="DQH5" s="394" t="s">
        <v>89</v>
      </c>
      <c r="DQI5" s="394" t="s">
        <v>89</v>
      </c>
      <c r="DQJ5" s="394" t="s">
        <v>89</v>
      </c>
      <c r="DQK5" s="394" t="s">
        <v>89</v>
      </c>
      <c r="DQL5" s="394" t="s">
        <v>89</v>
      </c>
      <c r="DQM5" s="394" t="s">
        <v>89</v>
      </c>
      <c r="DQN5" s="394" t="s">
        <v>89</v>
      </c>
      <c r="DQO5" s="394" t="s">
        <v>89</v>
      </c>
      <c r="DQP5" s="394" t="s">
        <v>89</v>
      </c>
      <c r="DQQ5" s="394" t="s">
        <v>89</v>
      </c>
      <c r="DQR5" s="394" t="s">
        <v>89</v>
      </c>
      <c r="DQS5" s="394" t="s">
        <v>89</v>
      </c>
      <c r="DQT5" s="394" t="s">
        <v>89</v>
      </c>
      <c r="DQU5" s="394" t="s">
        <v>89</v>
      </c>
      <c r="DQV5" s="394" t="s">
        <v>89</v>
      </c>
      <c r="DQW5" s="394" t="s">
        <v>89</v>
      </c>
      <c r="DQX5" s="394" t="s">
        <v>89</v>
      </c>
      <c r="DQY5" s="394" t="s">
        <v>89</v>
      </c>
      <c r="DQZ5" s="394" t="s">
        <v>89</v>
      </c>
      <c r="DRA5" s="394" t="s">
        <v>89</v>
      </c>
      <c r="DRB5" s="394" t="s">
        <v>89</v>
      </c>
      <c r="DRC5" s="394" t="s">
        <v>89</v>
      </c>
      <c r="DRD5" s="394" t="s">
        <v>89</v>
      </c>
      <c r="DRE5" s="394" t="s">
        <v>89</v>
      </c>
      <c r="DRF5" s="394" t="s">
        <v>89</v>
      </c>
      <c r="DRG5" s="394" t="s">
        <v>89</v>
      </c>
      <c r="DRH5" s="394" t="s">
        <v>89</v>
      </c>
      <c r="DRI5" s="394" t="s">
        <v>89</v>
      </c>
      <c r="DRJ5" s="394" t="s">
        <v>89</v>
      </c>
      <c r="DRK5" s="394" t="s">
        <v>89</v>
      </c>
      <c r="DRL5" s="394" t="s">
        <v>89</v>
      </c>
      <c r="DRM5" s="394" t="s">
        <v>89</v>
      </c>
      <c r="DRN5" s="394" t="s">
        <v>89</v>
      </c>
      <c r="DRO5" s="394" t="s">
        <v>89</v>
      </c>
      <c r="DRP5" s="394" t="s">
        <v>89</v>
      </c>
      <c r="DRQ5" s="394" t="s">
        <v>89</v>
      </c>
      <c r="DRR5" s="394" t="s">
        <v>89</v>
      </c>
      <c r="DRS5" s="394" t="s">
        <v>89</v>
      </c>
      <c r="DRT5" s="394" t="s">
        <v>89</v>
      </c>
      <c r="DRU5" s="394" t="s">
        <v>89</v>
      </c>
      <c r="DRV5" s="394" t="s">
        <v>89</v>
      </c>
      <c r="DRW5" s="394" t="s">
        <v>89</v>
      </c>
      <c r="DRX5" s="394" t="s">
        <v>89</v>
      </c>
      <c r="DRY5" s="394" t="s">
        <v>89</v>
      </c>
      <c r="DRZ5" s="394" t="s">
        <v>89</v>
      </c>
      <c r="DSA5" s="394" t="s">
        <v>89</v>
      </c>
      <c r="DSB5" s="394" t="s">
        <v>89</v>
      </c>
      <c r="DSC5" s="394" t="s">
        <v>89</v>
      </c>
      <c r="DSD5" s="394" t="s">
        <v>89</v>
      </c>
      <c r="DSE5" s="394" t="s">
        <v>89</v>
      </c>
      <c r="DSF5" s="394" t="s">
        <v>89</v>
      </c>
      <c r="DSG5" s="394" t="s">
        <v>89</v>
      </c>
      <c r="DSH5" s="394" t="s">
        <v>89</v>
      </c>
      <c r="DSI5" s="394" t="s">
        <v>89</v>
      </c>
      <c r="DSJ5" s="394" t="s">
        <v>89</v>
      </c>
      <c r="DSK5" s="394" t="s">
        <v>89</v>
      </c>
      <c r="DSL5" s="394" t="s">
        <v>89</v>
      </c>
      <c r="DSM5" s="394" t="s">
        <v>89</v>
      </c>
      <c r="DSN5" s="394" t="s">
        <v>89</v>
      </c>
      <c r="DSO5" s="394" t="s">
        <v>89</v>
      </c>
      <c r="DSP5" s="394" t="s">
        <v>89</v>
      </c>
      <c r="DSQ5" s="394" t="s">
        <v>89</v>
      </c>
      <c r="DSR5" s="394" t="s">
        <v>89</v>
      </c>
      <c r="DSS5" s="394" t="s">
        <v>89</v>
      </c>
      <c r="DST5" s="394" t="s">
        <v>89</v>
      </c>
      <c r="DSU5" s="394" t="s">
        <v>89</v>
      </c>
      <c r="DSV5" s="394" t="s">
        <v>89</v>
      </c>
      <c r="DSW5" s="394" t="s">
        <v>89</v>
      </c>
      <c r="DSX5" s="394" t="s">
        <v>89</v>
      </c>
      <c r="DSY5" s="394" t="s">
        <v>89</v>
      </c>
      <c r="DSZ5" s="394" t="s">
        <v>89</v>
      </c>
      <c r="DTA5" s="394" t="s">
        <v>89</v>
      </c>
      <c r="DTB5" s="394" t="s">
        <v>89</v>
      </c>
      <c r="DTC5" s="394" t="s">
        <v>89</v>
      </c>
      <c r="DTD5" s="394" t="s">
        <v>89</v>
      </c>
      <c r="DTE5" s="394" t="s">
        <v>89</v>
      </c>
      <c r="DTF5" s="394" t="s">
        <v>89</v>
      </c>
      <c r="DTG5" s="394" t="s">
        <v>89</v>
      </c>
      <c r="DTH5" s="394" t="s">
        <v>89</v>
      </c>
      <c r="DTI5" s="394" t="s">
        <v>89</v>
      </c>
      <c r="DTJ5" s="394" t="s">
        <v>89</v>
      </c>
      <c r="DTK5" s="394" t="s">
        <v>89</v>
      </c>
      <c r="DTL5" s="394" t="s">
        <v>89</v>
      </c>
      <c r="DTM5" s="394" t="s">
        <v>89</v>
      </c>
      <c r="DTN5" s="394" t="s">
        <v>89</v>
      </c>
      <c r="DTO5" s="394" t="s">
        <v>89</v>
      </c>
      <c r="DTP5" s="394" t="s">
        <v>89</v>
      </c>
      <c r="DTQ5" s="394" t="s">
        <v>89</v>
      </c>
      <c r="DTR5" s="394" t="s">
        <v>89</v>
      </c>
      <c r="DTS5" s="394" t="s">
        <v>89</v>
      </c>
      <c r="DTT5" s="394" t="s">
        <v>89</v>
      </c>
      <c r="DTU5" s="394" t="s">
        <v>89</v>
      </c>
      <c r="DTV5" s="394" t="s">
        <v>89</v>
      </c>
      <c r="DTW5" s="394" t="s">
        <v>89</v>
      </c>
      <c r="DTX5" s="394" t="s">
        <v>89</v>
      </c>
      <c r="DTY5" s="394" t="s">
        <v>89</v>
      </c>
      <c r="DTZ5" s="394" t="s">
        <v>89</v>
      </c>
      <c r="DUA5" s="394" t="s">
        <v>89</v>
      </c>
      <c r="DUB5" s="394" t="s">
        <v>89</v>
      </c>
      <c r="DUC5" s="394" t="s">
        <v>89</v>
      </c>
      <c r="DUD5" s="394" t="s">
        <v>89</v>
      </c>
      <c r="DUE5" s="394" t="s">
        <v>89</v>
      </c>
      <c r="DUF5" s="394" t="s">
        <v>89</v>
      </c>
      <c r="DUG5" s="394" t="s">
        <v>89</v>
      </c>
      <c r="DUH5" s="394" t="s">
        <v>89</v>
      </c>
      <c r="DUI5" s="394" t="s">
        <v>89</v>
      </c>
      <c r="DUJ5" s="394" t="s">
        <v>89</v>
      </c>
      <c r="DUK5" s="394" t="s">
        <v>89</v>
      </c>
      <c r="DUL5" s="394" t="s">
        <v>89</v>
      </c>
      <c r="DUM5" s="394" t="s">
        <v>89</v>
      </c>
      <c r="DUN5" s="394" t="s">
        <v>89</v>
      </c>
      <c r="DUO5" s="394" t="s">
        <v>89</v>
      </c>
      <c r="DUP5" s="394" t="s">
        <v>89</v>
      </c>
      <c r="DUQ5" s="394" t="s">
        <v>89</v>
      </c>
      <c r="DUR5" s="394" t="s">
        <v>89</v>
      </c>
      <c r="DUS5" s="394" t="s">
        <v>89</v>
      </c>
      <c r="DUT5" s="394" t="s">
        <v>89</v>
      </c>
      <c r="DUU5" s="394" t="s">
        <v>89</v>
      </c>
      <c r="DUV5" s="394" t="s">
        <v>89</v>
      </c>
      <c r="DUW5" s="394" t="s">
        <v>89</v>
      </c>
      <c r="DUX5" s="394" t="s">
        <v>89</v>
      </c>
      <c r="DUY5" s="394" t="s">
        <v>89</v>
      </c>
      <c r="DUZ5" s="394" t="s">
        <v>89</v>
      </c>
      <c r="DVA5" s="394" t="s">
        <v>89</v>
      </c>
      <c r="DVB5" s="394" t="s">
        <v>89</v>
      </c>
      <c r="DVC5" s="394" t="s">
        <v>89</v>
      </c>
      <c r="DVD5" s="394" t="s">
        <v>89</v>
      </c>
      <c r="DVE5" s="394" t="s">
        <v>89</v>
      </c>
      <c r="DVF5" s="394" t="s">
        <v>89</v>
      </c>
      <c r="DVG5" s="394" t="s">
        <v>89</v>
      </c>
      <c r="DVH5" s="394" t="s">
        <v>89</v>
      </c>
      <c r="DVI5" s="394" t="s">
        <v>89</v>
      </c>
      <c r="DVJ5" s="394" t="s">
        <v>89</v>
      </c>
      <c r="DVK5" s="394" t="s">
        <v>89</v>
      </c>
      <c r="DVL5" s="394" t="s">
        <v>89</v>
      </c>
      <c r="DVM5" s="394" t="s">
        <v>89</v>
      </c>
      <c r="DVN5" s="394" t="s">
        <v>89</v>
      </c>
      <c r="DVO5" s="394" t="s">
        <v>89</v>
      </c>
      <c r="DVP5" s="394" t="s">
        <v>89</v>
      </c>
      <c r="DVQ5" s="394" t="s">
        <v>89</v>
      </c>
      <c r="DVR5" s="394" t="s">
        <v>89</v>
      </c>
      <c r="DVS5" s="394" t="s">
        <v>89</v>
      </c>
      <c r="DVT5" s="394" t="s">
        <v>89</v>
      </c>
      <c r="DVU5" s="394" t="s">
        <v>89</v>
      </c>
      <c r="DVV5" s="394" t="s">
        <v>89</v>
      </c>
      <c r="DVW5" s="394" t="s">
        <v>89</v>
      </c>
      <c r="DVX5" s="394" t="s">
        <v>89</v>
      </c>
      <c r="DVY5" s="394" t="s">
        <v>89</v>
      </c>
      <c r="DVZ5" s="394" t="s">
        <v>89</v>
      </c>
      <c r="DWA5" s="394" t="s">
        <v>89</v>
      </c>
      <c r="DWB5" s="394" t="s">
        <v>89</v>
      </c>
      <c r="DWC5" s="394" t="s">
        <v>89</v>
      </c>
      <c r="DWD5" s="394" t="s">
        <v>89</v>
      </c>
      <c r="DWE5" s="394" t="s">
        <v>89</v>
      </c>
      <c r="DWF5" s="394" t="s">
        <v>89</v>
      </c>
      <c r="DWG5" s="394" t="s">
        <v>89</v>
      </c>
      <c r="DWH5" s="394" t="s">
        <v>89</v>
      </c>
      <c r="DWI5" s="394" t="s">
        <v>89</v>
      </c>
      <c r="DWJ5" s="394" t="s">
        <v>89</v>
      </c>
      <c r="DWK5" s="394" t="s">
        <v>89</v>
      </c>
      <c r="DWL5" s="394" t="s">
        <v>89</v>
      </c>
      <c r="DWM5" s="394" t="s">
        <v>89</v>
      </c>
      <c r="DWN5" s="394" t="s">
        <v>89</v>
      </c>
      <c r="DWO5" s="394" t="s">
        <v>89</v>
      </c>
      <c r="DWP5" s="394" t="s">
        <v>89</v>
      </c>
      <c r="DWQ5" s="394" t="s">
        <v>89</v>
      </c>
      <c r="DWR5" s="394" t="s">
        <v>89</v>
      </c>
      <c r="DWS5" s="394" t="s">
        <v>89</v>
      </c>
      <c r="DWT5" s="394" t="s">
        <v>89</v>
      </c>
      <c r="DWU5" s="394" t="s">
        <v>89</v>
      </c>
      <c r="DWV5" s="394" t="s">
        <v>89</v>
      </c>
      <c r="DWW5" s="394" t="s">
        <v>89</v>
      </c>
      <c r="DWX5" s="394" t="s">
        <v>89</v>
      </c>
      <c r="DWY5" s="394" t="s">
        <v>89</v>
      </c>
      <c r="DWZ5" s="394" t="s">
        <v>89</v>
      </c>
      <c r="DXA5" s="394" t="s">
        <v>89</v>
      </c>
      <c r="DXB5" s="394" t="s">
        <v>89</v>
      </c>
      <c r="DXC5" s="394" t="s">
        <v>89</v>
      </c>
      <c r="DXD5" s="394" t="s">
        <v>89</v>
      </c>
      <c r="DXE5" s="394" t="s">
        <v>89</v>
      </c>
      <c r="DXF5" s="394" t="s">
        <v>89</v>
      </c>
      <c r="DXG5" s="394" t="s">
        <v>89</v>
      </c>
      <c r="DXH5" s="394" t="s">
        <v>89</v>
      </c>
      <c r="DXI5" s="394" t="s">
        <v>89</v>
      </c>
      <c r="DXJ5" s="394" t="s">
        <v>89</v>
      </c>
      <c r="DXK5" s="394" t="s">
        <v>89</v>
      </c>
      <c r="DXL5" s="394" t="s">
        <v>89</v>
      </c>
      <c r="DXM5" s="394" t="s">
        <v>89</v>
      </c>
      <c r="DXN5" s="394" t="s">
        <v>89</v>
      </c>
      <c r="DXO5" s="394" t="s">
        <v>89</v>
      </c>
      <c r="DXP5" s="394" t="s">
        <v>89</v>
      </c>
      <c r="DXQ5" s="394" t="s">
        <v>89</v>
      </c>
      <c r="DXR5" s="394" t="s">
        <v>89</v>
      </c>
      <c r="DXS5" s="394" t="s">
        <v>89</v>
      </c>
      <c r="DXT5" s="394" t="s">
        <v>89</v>
      </c>
      <c r="DXU5" s="394" t="s">
        <v>89</v>
      </c>
      <c r="DXV5" s="394" t="s">
        <v>89</v>
      </c>
      <c r="DXW5" s="394" t="s">
        <v>89</v>
      </c>
      <c r="DXX5" s="394" t="s">
        <v>89</v>
      </c>
      <c r="DXY5" s="394" t="s">
        <v>89</v>
      </c>
      <c r="DXZ5" s="394" t="s">
        <v>89</v>
      </c>
      <c r="DYA5" s="394" t="s">
        <v>89</v>
      </c>
      <c r="DYB5" s="394" t="s">
        <v>89</v>
      </c>
      <c r="DYC5" s="394" t="s">
        <v>89</v>
      </c>
      <c r="DYD5" s="394" t="s">
        <v>89</v>
      </c>
      <c r="DYE5" s="394" t="s">
        <v>89</v>
      </c>
      <c r="DYF5" s="394" t="s">
        <v>89</v>
      </c>
      <c r="DYG5" s="394" t="s">
        <v>89</v>
      </c>
      <c r="DYH5" s="394" t="s">
        <v>89</v>
      </c>
      <c r="DYI5" s="394" t="s">
        <v>89</v>
      </c>
      <c r="DYJ5" s="394" t="s">
        <v>89</v>
      </c>
      <c r="DYK5" s="394" t="s">
        <v>89</v>
      </c>
      <c r="DYL5" s="394" t="s">
        <v>89</v>
      </c>
      <c r="DYM5" s="394" t="s">
        <v>89</v>
      </c>
      <c r="DYN5" s="394" t="s">
        <v>89</v>
      </c>
      <c r="DYO5" s="394" t="s">
        <v>89</v>
      </c>
      <c r="DYP5" s="394" t="s">
        <v>89</v>
      </c>
      <c r="DYQ5" s="394" t="s">
        <v>89</v>
      </c>
      <c r="DYR5" s="394" t="s">
        <v>89</v>
      </c>
      <c r="DYS5" s="394" t="s">
        <v>89</v>
      </c>
      <c r="DYT5" s="394" t="s">
        <v>89</v>
      </c>
      <c r="DYU5" s="394" t="s">
        <v>89</v>
      </c>
      <c r="DYV5" s="394" t="s">
        <v>89</v>
      </c>
      <c r="DYW5" s="394" t="s">
        <v>89</v>
      </c>
      <c r="DYX5" s="394" t="s">
        <v>89</v>
      </c>
      <c r="DYY5" s="394" t="s">
        <v>89</v>
      </c>
      <c r="DYZ5" s="394" t="s">
        <v>89</v>
      </c>
      <c r="DZA5" s="394" t="s">
        <v>89</v>
      </c>
      <c r="DZB5" s="394" t="s">
        <v>89</v>
      </c>
      <c r="DZC5" s="394" t="s">
        <v>89</v>
      </c>
      <c r="DZD5" s="394" t="s">
        <v>89</v>
      </c>
      <c r="DZE5" s="394" t="s">
        <v>89</v>
      </c>
      <c r="DZF5" s="394" t="s">
        <v>89</v>
      </c>
      <c r="DZG5" s="394" t="s">
        <v>89</v>
      </c>
      <c r="DZH5" s="394" t="s">
        <v>89</v>
      </c>
      <c r="DZI5" s="394" t="s">
        <v>89</v>
      </c>
      <c r="DZJ5" s="394" t="s">
        <v>89</v>
      </c>
      <c r="DZK5" s="394" t="s">
        <v>89</v>
      </c>
      <c r="DZL5" s="394" t="s">
        <v>89</v>
      </c>
      <c r="DZM5" s="394" t="s">
        <v>89</v>
      </c>
      <c r="DZN5" s="394" t="s">
        <v>89</v>
      </c>
      <c r="DZO5" s="394" t="s">
        <v>89</v>
      </c>
      <c r="DZP5" s="394" t="s">
        <v>89</v>
      </c>
      <c r="DZQ5" s="394" t="s">
        <v>89</v>
      </c>
      <c r="DZR5" s="394" t="s">
        <v>89</v>
      </c>
      <c r="DZS5" s="394" t="s">
        <v>89</v>
      </c>
      <c r="DZT5" s="394" t="s">
        <v>89</v>
      </c>
      <c r="DZU5" s="394" t="s">
        <v>89</v>
      </c>
      <c r="DZV5" s="394" t="s">
        <v>89</v>
      </c>
      <c r="DZW5" s="394" t="s">
        <v>89</v>
      </c>
      <c r="DZX5" s="394" t="s">
        <v>89</v>
      </c>
      <c r="DZY5" s="394" t="s">
        <v>89</v>
      </c>
      <c r="DZZ5" s="394" t="s">
        <v>89</v>
      </c>
      <c r="EAA5" s="394" t="s">
        <v>89</v>
      </c>
      <c r="EAB5" s="394" t="s">
        <v>89</v>
      </c>
      <c r="EAC5" s="394" t="s">
        <v>89</v>
      </c>
      <c r="EAD5" s="394" t="s">
        <v>89</v>
      </c>
      <c r="EAE5" s="394" t="s">
        <v>89</v>
      </c>
      <c r="EAF5" s="394" t="s">
        <v>89</v>
      </c>
      <c r="EAG5" s="394" t="s">
        <v>89</v>
      </c>
      <c r="EAH5" s="394" t="s">
        <v>89</v>
      </c>
      <c r="EAI5" s="394" t="s">
        <v>89</v>
      </c>
      <c r="EAJ5" s="394" t="s">
        <v>89</v>
      </c>
      <c r="EAK5" s="394" t="s">
        <v>89</v>
      </c>
      <c r="EAL5" s="394" t="s">
        <v>89</v>
      </c>
      <c r="EAM5" s="394" t="s">
        <v>89</v>
      </c>
      <c r="EAN5" s="394" t="s">
        <v>89</v>
      </c>
      <c r="EAO5" s="394" t="s">
        <v>89</v>
      </c>
      <c r="EAP5" s="394" t="s">
        <v>89</v>
      </c>
      <c r="EAQ5" s="394" t="s">
        <v>89</v>
      </c>
      <c r="EAR5" s="394" t="s">
        <v>89</v>
      </c>
      <c r="EAS5" s="394" t="s">
        <v>89</v>
      </c>
      <c r="EAT5" s="394" t="s">
        <v>89</v>
      </c>
      <c r="EAU5" s="394" t="s">
        <v>89</v>
      </c>
      <c r="EAV5" s="394" t="s">
        <v>89</v>
      </c>
      <c r="EAW5" s="394" t="s">
        <v>89</v>
      </c>
      <c r="EAX5" s="394" t="s">
        <v>89</v>
      </c>
      <c r="EAY5" s="394" t="s">
        <v>89</v>
      </c>
      <c r="EAZ5" s="394" t="s">
        <v>89</v>
      </c>
      <c r="EBA5" s="394" t="s">
        <v>89</v>
      </c>
      <c r="EBB5" s="394" t="s">
        <v>89</v>
      </c>
      <c r="EBC5" s="394" t="s">
        <v>89</v>
      </c>
      <c r="EBD5" s="394" t="s">
        <v>89</v>
      </c>
      <c r="EBE5" s="394" t="s">
        <v>89</v>
      </c>
      <c r="EBF5" s="394" t="s">
        <v>89</v>
      </c>
      <c r="EBG5" s="394" t="s">
        <v>89</v>
      </c>
      <c r="EBH5" s="394" t="s">
        <v>89</v>
      </c>
      <c r="EBI5" s="394" t="s">
        <v>89</v>
      </c>
      <c r="EBJ5" s="394" t="s">
        <v>89</v>
      </c>
      <c r="EBK5" s="394" t="s">
        <v>89</v>
      </c>
      <c r="EBL5" s="394" t="s">
        <v>89</v>
      </c>
      <c r="EBM5" s="394" t="s">
        <v>89</v>
      </c>
      <c r="EBN5" s="394" t="s">
        <v>89</v>
      </c>
      <c r="EBO5" s="394" t="s">
        <v>89</v>
      </c>
      <c r="EBP5" s="394" t="s">
        <v>89</v>
      </c>
      <c r="EBQ5" s="394" t="s">
        <v>89</v>
      </c>
      <c r="EBR5" s="394" t="s">
        <v>89</v>
      </c>
      <c r="EBS5" s="394" t="s">
        <v>89</v>
      </c>
      <c r="EBT5" s="394" t="s">
        <v>89</v>
      </c>
      <c r="EBU5" s="394" t="s">
        <v>89</v>
      </c>
      <c r="EBV5" s="394" t="s">
        <v>89</v>
      </c>
      <c r="EBW5" s="394" t="s">
        <v>89</v>
      </c>
      <c r="EBX5" s="394" t="s">
        <v>89</v>
      </c>
      <c r="EBY5" s="394" t="s">
        <v>89</v>
      </c>
      <c r="EBZ5" s="394" t="s">
        <v>89</v>
      </c>
      <c r="ECA5" s="394" t="s">
        <v>89</v>
      </c>
      <c r="ECB5" s="394" t="s">
        <v>89</v>
      </c>
      <c r="ECC5" s="394" t="s">
        <v>89</v>
      </c>
      <c r="ECD5" s="394" t="s">
        <v>89</v>
      </c>
      <c r="ECE5" s="394" t="s">
        <v>89</v>
      </c>
      <c r="ECF5" s="394" t="s">
        <v>89</v>
      </c>
      <c r="ECG5" s="394" t="s">
        <v>89</v>
      </c>
      <c r="ECH5" s="394" t="s">
        <v>89</v>
      </c>
      <c r="ECI5" s="394" t="s">
        <v>89</v>
      </c>
      <c r="ECJ5" s="394" t="s">
        <v>89</v>
      </c>
      <c r="ECK5" s="394" t="s">
        <v>89</v>
      </c>
      <c r="ECL5" s="394" t="s">
        <v>89</v>
      </c>
      <c r="ECM5" s="394" t="s">
        <v>89</v>
      </c>
      <c r="ECN5" s="394" t="s">
        <v>89</v>
      </c>
      <c r="ECO5" s="394" t="s">
        <v>89</v>
      </c>
      <c r="ECP5" s="394" t="s">
        <v>89</v>
      </c>
      <c r="ECQ5" s="394" t="s">
        <v>89</v>
      </c>
      <c r="ECR5" s="394" t="s">
        <v>89</v>
      </c>
      <c r="ECS5" s="394" t="s">
        <v>89</v>
      </c>
      <c r="ECT5" s="394" t="s">
        <v>89</v>
      </c>
      <c r="ECU5" s="394" t="s">
        <v>89</v>
      </c>
      <c r="ECV5" s="394" t="s">
        <v>89</v>
      </c>
      <c r="ECW5" s="394" t="s">
        <v>89</v>
      </c>
      <c r="ECX5" s="394" t="s">
        <v>89</v>
      </c>
      <c r="ECY5" s="394" t="s">
        <v>89</v>
      </c>
      <c r="ECZ5" s="394" t="s">
        <v>89</v>
      </c>
      <c r="EDA5" s="394" t="s">
        <v>89</v>
      </c>
      <c r="EDB5" s="394" t="s">
        <v>89</v>
      </c>
      <c r="EDC5" s="394" t="s">
        <v>89</v>
      </c>
      <c r="EDD5" s="394" t="s">
        <v>89</v>
      </c>
      <c r="EDE5" s="394" t="s">
        <v>89</v>
      </c>
      <c r="EDF5" s="394" t="s">
        <v>89</v>
      </c>
      <c r="EDG5" s="394" t="s">
        <v>89</v>
      </c>
      <c r="EDH5" s="394" t="s">
        <v>89</v>
      </c>
      <c r="EDI5" s="394" t="s">
        <v>89</v>
      </c>
      <c r="EDJ5" s="394" t="s">
        <v>89</v>
      </c>
      <c r="EDK5" s="394" t="s">
        <v>89</v>
      </c>
      <c r="EDL5" s="394" t="s">
        <v>89</v>
      </c>
      <c r="EDM5" s="394" t="s">
        <v>89</v>
      </c>
      <c r="EDN5" s="394" t="s">
        <v>89</v>
      </c>
      <c r="EDO5" s="394" t="s">
        <v>89</v>
      </c>
      <c r="EDP5" s="394" t="s">
        <v>89</v>
      </c>
      <c r="EDQ5" s="394" t="s">
        <v>89</v>
      </c>
      <c r="EDR5" s="394" t="s">
        <v>89</v>
      </c>
      <c r="EDS5" s="394" t="s">
        <v>89</v>
      </c>
      <c r="EDT5" s="394" t="s">
        <v>89</v>
      </c>
      <c r="EDU5" s="394" t="s">
        <v>89</v>
      </c>
      <c r="EDV5" s="394" t="s">
        <v>89</v>
      </c>
      <c r="EDW5" s="394" t="s">
        <v>89</v>
      </c>
      <c r="EDX5" s="394" t="s">
        <v>89</v>
      </c>
      <c r="EDY5" s="394" t="s">
        <v>89</v>
      </c>
      <c r="EDZ5" s="394" t="s">
        <v>89</v>
      </c>
      <c r="EEA5" s="394" t="s">
        <v>89</v>
      </c>
      <c r="EEB5" s="394" t="s">
        <v>89</v>
      </c>
      <c r="EEC5" s="394" t="s">
        <v>89</v>
      </c>
      <c r="EED5" s="394" t="s">
        <v>89</v>
      </c>
      <c r="EEE5" s="394" t="s">
        <v>89</v>
      </c>
      <c r="EEF5" s="394" t="s">
        <v>89</v>
      </c>
      <c r="EEG5" s="394" t="s">
        <v>89</v>
      </c>
      <c r="EEH5" s="394" t="s">
        <v>89</v>
      </c>
      <c r="EEI5" s="394" t="s">
        <v>89</v>
      </c>
      <c r="EEJ5" s="394" t="s">
        <v>89</v>
      </c>
      <c r="EEK5" s="394" t="s">
        <v>89</v>
      </c>
      <c r="EEL5" s="394" t="s">
        <v>89</v>
      </c>
      <c r="EEM5" s="394" t="s">
        <v>89</v>
      </c>
      <c r="EEN5" s="394" t="s">
        <v>89</v>
      </c>
      <c r="EEO5" s="394" t="s">
        <v>89</v>
      </c>
      <c r="EEP5" s="394" t="s">
        <v>89</v>
      </c>
      <c r="EEQ5" s="394" t="s">
        <v>89</v>
      </c>
      <c r="EER5" s="394" t="s">
        <v>89</v>
      </c>
      <c r="EES5" s="394" t="s">
        <v>89</v>
      </c>
      <c r="EET5" s="394" t="s">
        <v>89</v>
      </c>
      <c r="EEU5" s="394" t="s">
        <v>89</v>
      </c>
      <c r="EEV5" s="394" t="s">
        <v>89</v>
      </c>
      <c r="EEW5" s="394" t="s">
        <v>89</v>
      </c>
      <c r="EEX5" s="394" t="s">
        <v>89</v>
      </c>
      <c r="EEY5" s="394" t="s">
        <v>89</v>
      </c>
      <c r="EEZ5" s="394" t="s">
        <v>89</v>
      </c>
      <c r="EFA5" s="394" t="s">
        <v>89</v>
      </c>
      <c r="EFB5" s="394" t="s">
        <v>89</v>
      </c>
      <c r="EFC5" s="394" t="s">
        <v>89</v>
      </c>
      <c r="EFD5" s="394" t="s">
        <v>89</v>
      </c>
      <c r="EFE5" s="394" t="s">
        <v>89</v>
      </c>
      <c r="EFF5" s="394" t="s">
        <v>89</v>
      </c>
      <c r="EFG5" s="394" t="s">
        <v>89</v>
      </c>
      <c r="EFH5" s="394" t="s">
        <v>89</v>
      </c>
      <c r="EFI5" s="394" t="s">
        <v>89</v>
      </c>
      <c r="EFJ5" s="394" t="s">
        <v>89</v>
      </c>
      <c r="EFK5" s="394" t="s">
        <v>89</v>
      </c>
      <c r="EFL5" s="394" t="s">
        <v>89</v>
      </c>
      <c r="EFM5" s="394" t="s">
        <v>89</v>
      </c>
      <c r="EFN5" s="394" t="s">
        <v>89</v>
      </c>
      <c r="EFO5" s="394" t="s">
        <v>89</v>
      </c>
      <c r="EFP5" s="394" t="s">
        <v>89</v>
      </c>
      <c r="EFQ5" s="394" t="s">
        <v>89</v>
      </c>
      <c r="EFR5" s="394" t="s">
        <v>89</v>
      </c>
      <c r="EFS5" s="394" t="s">
        <v>89</v>
      </c>
      <c r="EFT5" s="394" t="s">
        <v>89</v>
      </c>
      <c r="EFU5" s="394" t="s">
        <v>89</v>
      </c>
      <c r="EFV5" s="394" t="s">
        <v>89</v>
      </c>
      <c r="EFW5" s="394" t="s">
        <v>89</v>
      </c>
      <c r="EFX5" s="394" t="s">
        <v>89</v>
      </c>
      <c r="EFY5" s="394" t="s">
        <v>89</v>
      </c>
      <c r="EFZ5" s="394" t="s">
        <v>89</v>
      </c>
      <c r="EGA5" s="394" t="s">
        <v>89</v>
      </c>
      <c r="EGB5" s="394" t="s">
        <v>89</v>
      </c>
      <c r="EGC5" s="394" t="s">
        <v>89</v>
      </c>
      <c r="EGD5" s="394" t="s">
        <v>89</v>
      </c>
      <c r="EGE5" s="394" t="s">
        <v>89</v>
      </c>
      <c r="EGF5" s="394" t="s">
        <v>89</v>
      </c>
      <c r="EGG5" s="394" t="s">
        <v>89</v>
      </c>
      <c r="EGH5" s="394" t="s">
        <v>89</v>
      </c>
      <c r="EGI5" s="394" t="s">
        <v>89</v>
      </c>
      <c r="EGJ5" s="394" t="s">
        <v>89</v>
      </c>
      <c r="EGK5" s="394" t="s">
        <v>89</v>
      </c>
      <c r="EGL5" s="394" t="s">
        <v>89</v>
      </c>
      <c r="EGM5" s="394" t="s">
        <v>89</v>
      </c>
      <c r="EGN5" s="394" t="s">
        <v>89</v>
      </c>
      <c r="EGO5" s="394" t="s">
        <v>89</v>
      </c>
      <c r="EGP5" s="394" t="s">
        <v>89</v>
      </c>
      <c r="EGQ5" s="394" t="s">
        <v>89</v>
      </c>
      <c r="EGR5" s="394" t="s">
        <v>89</v>
      </c>
      <c r="EGS5" s="394" t="s">
        <v>89</v>
      </c>
      <c r="EGT5" s="394" t="s">
        <v>89</v>
      </c>
      <c r="EGU5" s="394" t="s">
        <v>89</v>
      </c>
      <c r="EGV5" s="394" t="s">
        <v>89</v>
      </c>
      <c r="EGW5" s="394" t="s">
        <v>89</v>
      </c>
      <c r="EGX5" s="394" t="s">
        <v>89</v>
      </c>
      <c r="EGY5" s="394" t="s">
        <v>89</v>
      </c>
      <c r="EGZ5" s="394" t="s">
        <v>89</v>
      </c>
      <c r="EHA5" s="394" t="s">
        <v>89</v>
      </c>
      <c r="EHB5" s="394" t="s">
        <v>89</v>
      </c>
      <c r="EHC5" s="394" t="s">
        <v>89</v>
      </c>
      <c r="EHD5" s="394" t="s">
        <v>89</v>
      </c>
      <c r="EHE5" s="394" t="s">
        <v>89</v>
      </c>
      <c r="EHF5" s="394" t="s">
        <v>89</v>
      </c>
      <c r="EHG5" s="394" t="s">
        <v>89</v>
      </c>
      <c r="EHH5" s="394" t="s">
        <v>89</v>
      </c>
      <c r="EHI5" s="394" t="s">
        <v>89</v>
      </c>
      <c r="EHJ5" s="394" t="s">
        <v>89</v>
      </c>
      <c r="EHK5" s="394" t="s">
        <v>89</v>
      </c>
      <c r="EHL5" s="394" t="s">
        <v>89</v>
      </c>
      <c r="EHM5" s="394" t="s">
        <v>89</v>
      </c>
      <c r="EHN5" s="394" t="s">
        <v>89</v>
      </c>
      <c r="EHO5" s="394" t="s">
        <v>89</v>
      </c>
      <c r="EHP5" s="394" t="s">
        <v>89</v>
      </c>
      <c r="EHQ5" s="394" t="s">
        <v>89</v>
      </c>
      <c r="EHR5" s="394" t="s">
        <v>89</v>
      </c>
      <c r="EHS5" s="394" t="s">
        <v>89</v>
      </c>
      <c r="EHT5" s="394" t="s">
        <v>89</v>
      </c>
      <c r="EHU5" s="394" t="s">
        <v>89</v>
      </c>
      <c r="EHV5" s="394" t="s">
        <v>89</v>
      </c>
      <c r="EHW5" s="394" t="s">
        <v>89</v>
      </c>
      <c r="EHX5" s="394" t="s">
        <v>89</v>
      </c>
      <c r="EHY5" s="394" t="s">
        <v>89</v>
      </c>
      <c r="EHZ5" s="394" t="s">
        <v>89</v>
      </c>
      <c r="EIA5" s="394" t="s">
        <v>89</v>
      </c>
      <c r="EIB5" s="394" t="s">
        <v>89</v>
      </c>
      <c r="EIC5" s="394" t="s">
        <v>89</v>
      </c>
      <c r="EID5" s="394" t="s">
        <v>89</v>
      </c>
      <c r="EIE5" s="394" t="s">
        <v>89</v>
      </c>
      <c r="EIF5" s="394" t="s">
        <v>89</v>
      </c>
      <c r="EIG5" s="394" t="s">
        <v>89</v>
      </c>
      <c r="EIH5" s="394" t="s">
        <v>89</v>
      </c>
      <c r="EII5" s="394" t="s">
        <v>89</v>
      </c>
      <c r="EIJ5" s="394" t="s">
        <v>89</v>
      </c>
      <c r="EIK5" s="394" t="s">
        <v>89</v>
      </c>
      <c r="EIL5" s="394" t="s">
        <v>89</v>
      </c>
      <c r="EIM5" s="394" t="s">
        <v>89</v>
      </c>
      <c r="EIN5" s="394" t="s">
        <v>89</v>
      </c>
      <c r="EIO5" s="394" t="s">
        <v>89</v>
      </c>
      <c r="EIP5" s="394" t="s">
        <v>89</v>
      </c>
      <c r="EIQ5" s="394" t="s">
        <v>89</v>
      </c>
      <c r="EIR5" s="394" t="s">
        <v>89</v>
      </c>
      <c r="EIS5" s="394" t="s">
        <v>89</v>
      </c>
      <c r="EIT5" s="394" t="s">
        <v>89</v>
      </c>
      <c r="EIU5" s="394" t="s">
        <v>89</v>
      </c>
      <c r="EIV5" s="394" t="s">
        <v>89</v>
      </c>
      <c r="EIW5" s="394" t="s">
        <v>89</v>
      </c>
      <c r="EIX5" s="394" t="s">
        <v>89</v>
      </c>
      <c r="EIY5" s="394" t="s">
        <v>89</v>
      </c>
      <c r="EIZ5" s="394" t="s">
        <v>89</v>
      </c>
      <c r="EJA5" s="394" t="s">
        <v>89</v>
      </c>
      <c r="EJB5" s="394" t="s">
        <v>89</v>
      </c>
      <c r="EJC5" s="394" t="s">
        <v>89</v>
      </c>
      <c r="EJD5" s="394" t="s">
        <v>89</v>
      </c>
      <c r="EJE5" s="394" t="s">
        <v>89</v>
      </c>
      <c r="EJF5" s="394" t="s">
        <v>89</v>
      </c>
      <c r="EJG5" s="394" t="s">
        <v>89</v>
      </c>
      <c r="EJH5" s="394" t="s">
        <v>89</v>
      </c>
      <c r="EJI5" s="394" t="s">
        <v>89</v>
      </c>
      <c r="EJJ5" s="394" t="s">
        <v>89</v>
      </c>
      <c r="EJK5" s="394" t="s">
        <v>89</v>
      </c>
      <c r="EJL5" s="394" t="s">
        <v>89</v>
      </c>
      <c r="EJM5" s="394" t="s">
        <v>89</v>
      </c>
      <c r="EJN5" s="394" t="s">
        <v>89</v>
      </c>
      <c r="EJO5" s="394" t="s">
        <v>89</v>
      </c>
      <c r="EJP5" s="394" t="s">
        <v>89</v>
      </c>
      <c r="EJQ5" s="394" t="s">
        <v>89</v>
      </c>
      <c r="EJR5" s="394" t="s">
        <v>89</v>
      </c>
      <c r="EJS5" s="394" t="s">
        <v>89</v>
      </c>
      <c r="EJT5" s="394" t="s">
        <v>89</v>
      </c>
      <c r="EJU5" s="394" t="s">
        <v>89</v>
      </c>
      <c r="EJV5" s="394" t="s">
        <v>89</v>
      </c>
      <c r="EJW5" s="394" t="s">
        <v>89</v>
      </c>
      <c r="EJX5" s="394" t="s">
        <v>89</v>
      </c>
      <c r="EJY5" s="394" t="s">
        <v>89</v>
      </c>
      <c r="EJZ5" s="394" t="s">
        <v>89</v>
      </c>
      <c r="EKA5" s="394" t="s">
        <v>89</v>
      </c>
      <c r="EKB5" s="394" t="s">
        <v>89</v>
      </c>
      <c r="EKC5" s="394" t="s">
        <v>89</v>
      </c>
      <c r="EKD5" s="394" t="s">
        <v>89</v>
      </c>
      <c r="EKE5" s="394" t="s">
        <v>89</v>
      </c>
      <c r="EKF5" s="394" t="s">
        <v>89</v>
      </c>
      <c r="EKG5" s="394" t="s">
        <v>89</v>
      </c>
      <c r="EKH5" s="394" t="s">
        <v>89</v>
      </c>
      <c r="EKI5" s="394" t="s">
        <v>89</v>
      </c>
      <c r="EKJ5" s="394" t="s">
        <v>89</v>
      </c>
      <c r="EKK5" s="394" t="s">
        <v>89</v>
      </c>
      <c r="EKL5" s="394" t="s">
        <v>89</v>
      </c>
      <c r="EKM5" s="394" t="s">
        <v>89</v>
      </c>
      <c r="EKN5" s="394" t="s">
        <v>89</v>
      </c>
      <c r="EKO5" s="394" t="s">
        <v>89</v>
      </c>
      <c r="EKP5" s="394" t="s">
        <v>89</v>
      </c>
      <c r="EKQ5" s="394" t="s">
        <v>89</v>
      </c>
      <c r="EKR5" s="394" t="s">
        <v>89</v>
      </c>
      <c r="EKS5" s="394" t="s">
        <v>89</v>
      </c>
      <c r="EKT5" s="394" t="s">
        <v>89</v>
      </c>
      <c r="EKU5" s="394" t="s">
        <v>89</v>
      </c>
      <c r="EKV5" s="394" t="s">
        <v>89</v>
      </c>
      <c r="EKW5" s="394" t="s">
        <v>89</v>
      </c>
      <c r="EKX5" s="394" t="s">
        <v>89</v>
      </c>
      <c r="EKY5" s="394" t="s">
        <v>89</v>
      </c>
      <c r="EKZ5" s="394" t="s">
        <v>89</v>
      </c>
      <c r="ELA5" s="394" t="s">
        <v>89</v>
      </c>
      <c r="ELB5" s="394" t="s">
        <v>89</v>
      </c>
      <c r="ELC5" s="394" t="s">
        <v>89</v>
      </c>
      <c r="ELD5" s="394" t="s">
        <v>89</v>
      </c>
      <c r="ELE5" s="394" t="s">
        <v>89</v>
      </c>
      <c r="ELF5" s="394" t="s">
        <v>89</v>
      </c>
      <c r="ELG5" s="394" t="s">
        <v>89</v>
      </c>
      <c r="ELH5" s="394" t="s">
        <v>89</v>
      </c>
      <c r="ELI5" s="394" t="s">
        <v>89</v>
      </c>
      <c r="ELJ5" s="394" t="s">
        <v>89</v>
      </c>
      <c r="ELK5" s="394" t="s">
        <v>89</v>
      </c>
      <c r="ELL5" s="394" t="s">
        <v>89</v>
      </c>
      <c r="ELM5" s="394" t="s">
        <v>89</v>
      </c>
      <c r="ELN5" s="394" t="s">
        <v>89</v>
      </c>
      <c r="ELO5" s="394" t="s">
        <v>89</v>
      </c>
      <c r="ELP5" s="394" t="s">
        <v>89</v>
      </c>
      <c r="ELQ5" s="394" t="s">
        <v>89</v>
      </c>
      <c r="ELR5" s="394" t="s">
        <v>89</v>
      </c>
      <c r="ELS5" s="394" t="s">
        <v>89</v>
      </c>
      <c r="ELT5" s="394" t="s">
        <v>89</v>
      </c>
      <c r="ELU5" s="394" t="s">
        <v>89</v>
      </c>
      <c r="ELV5" s="394" t="s">
        <v>89</v>
      </c>
      <c r="ELW5" s="394" t="s">
        <v>89</v>
      </c>
      <c r="ELX5" s="394" t="s">
        <v>89</v>
      </c>
      <c r="ELY5" s="394" t="s">
        <v>89</v>
      </c>
      <c r="ELZ5" s="394" t="s">
        <v>89</v>
      </c>
      <c r="EMA5" s="394" t="s">
        <v>89</v>
      </c>
      <c r="EMB5" s="394" t="s">
        <v>89</v>
      </c>
      <c r="EMC5" s="394" t="s">
        <v>89</v>
      </c>
      <c r="EMD5" s="394" t="s">
        <v>89</v>
      </c>
      <c r="EME5" s="394" t="s">
        <v>89</v>
      </c>
      <c r="EMF5" s="394" t="s">
        <v>89</v>
      </c>
      <c r="EMG5" s="394" t="s">
        <v>89</v>
      </c>
      <c r="EMH5" s="394" t="s">
        <v>89</v>
      </c>
      <c r="EMI5" s="394" t="s">
        <v>89</v>
      </c>
      <c r="EMJ5" s="394" t="s">
        <v>89</v>
      </c>
      <c r="EMK5" s="394" t="s">
        <v>89</v>
      </c>
      <c r="EML5" s="394" t="s">
        <v>89</v>
      </c>
      <c r="EMM5" s="394" t="s">
        <v>89</v>
      </c>
      <c r="EMN5" s="394" t="s">
        <v>89</v>
      </c>
      <c r="EMO5" s="394" t="s">
        <v>89</v>
      </c>
      <c r="EMP5" s="394" t="s">
        <v>89</v>
      </c>
      <c r="EMQ5" s="394" t="s">
        <v>89</v>
      </c>
      <c r="EMR5" s="394" t="s">
        <v>89</v>
      </c>
      <c r="EMS5" s="394" t="s">
        <v>89</v>
      </c>
      <c r="EMT5" s="394" t="s">
        <v>89</v>
      </c>
      <c r="EMU5" s="394" t="s">
        <v>89</v>
      </c>
      <c r="EMV5" s="394" t="s">
        <v>89</v>
      </c>
      <c r="EMW5" s="394" t="s">
        <v>89</v>
      </c>
      <c r="EMX5" s="394" t="s">
        <v>89</v>
      </c>
      <c r="EMY5" s="394" t="s">
        <v>89</v>
      </c>
      <c r="EMZ5" s="394" t="s">
        <v>89</v>
      </c>
      <c r="ENA5" s="394" t="s">
        <v>89</v>
      </c>
      <c r="ENB5" s="394" t="s">
        <v>89</v>
      </c>
      <c r="ENC5" s="394" t="s">
        <v>89</v>
      </c>
      <c r="END5" s="394" t="s">
        <v>89</v>
      </c>
      <c r="ENE5" s="394" t="s">
        <v>89</v>
      </c>
      <c r="ENF5" s="394" t="s">
        <v>89</v>
      </c>
      <c r="ENG5" s="394" t="s">
        <v>89</v>
      </c>
      <c r="ENH5" s="394" t="s">
        <v>89</v>
      </c>
      <c r="ENI5" s="394" t="s">
        <v>89</v>
      </c>
      <c r="ENJ5" s="394" t="s">
        <v>89</v>
      </c>
      <c r="ENK5" s="394" t="s">
        <v>89</v>
      </c>
      <c r="ENL5" s="394" t="s">
        <v>89</v>
      </c>
      <c r="ENM5" s="394" t="s">
        <v>89</v>
      </c>
      <c r="ENN5" s="394" t="s">
        <v>89</v>
      </c>
      <c r="ENO5" s="394" t="s">
        <v>89</v>
      </c>
      <c r="ENP5" s="394" t="s">
        <v>89</v>
      </c>
      <c r="ENQ5" s="394" t="s">
        <v>89</v>
      </c>
      <c r="ENR5" s="394" t="s">
        <v>89</v>
      </c>
      <c r="ENS5" s="394" t="s">
        <v>89</v>
      </c>
      <c r="ENT5" s="394" t="s">
        <v>89</v>
      </c>
      <c r="ENU5" s="394" t="s">
        <v>89</v>
      </c>
      <c r="ENV5" s="394" t="s">
        <v>89</v>
      </c>
      <c r="ENW5" s="394" t="s">
        <v>89</v>
      </c>
      <c r="ENX5" s="394" t="s">
        <v>89</v>
      </c>
      <c r="ENY5" s="394" t="s">
        <v>89</v>
      </c>
      <c r="ENZ5" s="394" t="s">
        <v>89</v>
      </c>
      <c r="EOA5" s="394" t="s">
        <v>89</v>
      </c>
      <c r="EOB5" s="394" t="s">
        <v>89</v>
      </c>
      <c r="EOC5" s="394" t="s">
        <v>89</v>
      </c>
      <c r="EOD5" s="394" t="s">
        <v>89</v>
      </c>
      <c r="EOE5" s="394" t="s">
        <v>89</v>
      </c>
      <c r="EOF5" s="394" t="s">
        <v>89</v>
      </c>
      <c r="EOG5" s="394" t="s">
        <v>89</v>
      </c>
      <c r="EOH5" s="394" t="s">
        <v>89</v>
      </c>
      <c r="EOI5" s="394" t="s">
        <v>89</v>
      </c>
      <c r="EOJ5" s="394" t="s">
        <v>89</v>
      </c>
      <c r="EOK5" s="394" t="s">
        <v>89</v>
      </c>
      <c r="EOL5" s="394" t="s">
        <v>89</v>
      </c>
      <c r="EOM5" s="394" t="s">
        <v>89</v>
      </c>
      <c r="EON5" s="394" t="s">
        <v>89</v>
      </c>
      <c r="EOO5" s="394" t="s">
        <v>89</v>
      </c>
      <c r="EOP5" s="394" t="s">
        <v>89</v>
      </c>
      <c r="EOQ5" s="394" t="s">
        <v>89</v>
      </c>
      <c r="EOR5" s="394" t="s">
        <v>89</v>
      </c>
      <c r="EOS5" s="394" t="s">
        <v>89</v>
      </c>
      <c r="EOT5" s="394" t="s">
        <v>89</v>
      </c>
      <c r="EOU5" s="394" t="s">
        <v>89</v>
      </c>
      <c r="EOV5" s="394" t="s">
        <v>89</v>
      </c>
      <c r="EOW5" s="394" t="s">
        <v>89</v>
      </c>
      <c r="EOX5" s="394" t="s">
        <v>89</v>
      </c>
      <c r="EOY5" s="394" t="s">
        <v>89</v>
      </c>
      <c r="EOZ5" s="394" t="s">
        <v>89</v>
      </c>
      <c r="EPA5" s="394" t="s">
        <v>89</v>
      </c>
      <c r="EPB5" s="394" t="s">
        <v>89</v>
      </c>
      <c r="EPC5" s="394" t="s">
        <v>89</v>
      </c>
      <c r="EPD5" s="394" t="s">
        <v>89</v>
      </c>
      <c r="EPE5" s="394" t="s">
        <v>89</v>
      </c>
      <c r="EPF5" s="394" t="s">
        <v>89</v>
      </c>
      <c r="EPG5" s="394" t="s">
        <v>89</v>
      </c>
      <c r="EPH5" s="394" t="s">
        <v>89</v>
      </c>
      <c r="EPI5" s="394" t="s">
        <v>89</v>
      </c>
      <c r="EPJ5" s="394" t="s">
        <v>89</v>
      </c>
      <c r="EPK5" s="394" t="s">
        <v>89</v>
      </c>
      <c r="EPL5" s="394" t="s">
        <v>89</v>
      </c>
      <c r="EPM5" s="394" t="s">
        <v>89</v>
      </c>
      <c r="EPN5" s="394" t="s">
        <v>89</v>
      </c>
      <c r="EPO5" s="394" t="s">
        <v>89</v>
      </c>
      <c r="EPP5" s="394" t="s">
        <v>89</v>
      </c>
      <c r="EPQ5" s="394" t="s">
        <v>89</v>
      </c>
      <c r="EPR5" s="394" t="s">
        <v>89</v>
      </c>
      <c r="EPS5" s="394" t="s">
        <v>89</v>
      </c>
      <c r="EPT5" s="394" t="s">
        <v>89</v>
      </c>
      <c r="EPU5" s="394" t="s">
        <v>89</v>
      </c>
      <c r="EPV5" s="394" t="s">
        <v>89</v>
      </c>
      <c r="EPW5" s="394" t="s">
        <v>89</v>
      </c>
      <c r="EPX5" s="394" t="s">
        <v>89</v>
      </c>
      <c r="EPY5" s="394" t="s">
        <v>89</v>
      </c>
      <c r="EPZ5" s="394" t="s">
        <v>89</v>
      </c>
      <c r="EQA5" s="394" t="s">
        <v>89</v>
      </c>
      <c r="EQB5" s="394" t="s">
        <v>89</v>
      </c>
      <c r="EQC5" s="394" t="s">
        <v>89</v>
      </c>
      <c r="EQD5" s="394" t="s">
        <v>89</v>
      </c>
      <c r="EQE5" s="394" t="s">
        <v>89</v>
      </c>
      <c r="EQF5" s="394" t="s">
        <v>89</v>
      </c>
      <c r="EQG5" s="394" t="s">
        <v>89</v>
      </c>
      <c r="EQH5" s="394" t="s">
        <v>89</v>
      </c>
      <c r="EQI5" s="394" t="s">
        <v>89</v>
      </c>
      <c r="EQJ5" s="394" t="s">
        <v>89</v>
      </c>
      <c r="EQK5" s="394" t="s">
        <v>89</v>
      </c>
      <c r="EQL5" s="394" t="s">
        <v>89</v>
      </c>
      <c r="EQM5" s="394" t="s">
        <v>89</v>
      </c>
      <c r="EQN5" s="394" t="s">
        <v>89</v>
      </c>
      <c r="EQO5" s="394" t="s">
        <v>89</v>
      </c>
      <c r="EQP5" s="394" t="s">
        <v>89</v>
      </c>
      <c r="EQQ5" s="394" t="s">
        <v>89</v>
      </c>
      <c r="EQR5" s="394" t="s">
        <v>89</v>
      </c>
      <c r="EQS5" s="394" t="s">
        <v>89</v>
      </c>
      <c r="EQT5" s="394" t="s">
        <v>89</v>
      </c>
      <c r="EQU5" s="394" t="s">
        <v>89</v>
      </c>
      <c r="EQV5" s="394" t="s">
        <v>89</v>
      </c>
      <c r="EQW5" s="394" t="s">
        <v>89</v>
      </c>
      <c r="EQX5" s="394" t="s">
        <v>89</v>
      </c>
      <c r="EQY5" s="394" t="s">
        <v>89</v>
      </c>
      <c r="EQZ5" s="394" t="s">
        <v>89</v>
      </c>
      <c r="ERA5" s="394" t="s">
        <v>89</v>
      </c>
      <c r="ERB5" s="394" t="s">
        <v>89</v>
      </c>
      <c r="ERC5" s="394" t="s">
        <v>89</v>
      </c>
      <c r="ERD5" s="394" t="s">
        <v>89</v>
      </c>
      <c r="ERE5" s="394" t="s">
        <v>89</v>
      </c>
      <c r="ERF5" s="394" t="s">
        <v>89</v>
      </c>
      <c r="ERG5" s="394" t="s">
        <v>89</v>
      </c>
      <c r="ERH5" s="394" t="s">
        <v>89</v>
      </c>
      <c r="ERI5" s="394" t="s">
        <v>89</v>
      </c>
      <c r="ERJ5" s="394" t="s">
        <v>89</v>
      </c>
      <c r="ERK5" s="394" t="s">
        <v>89</v>
      </c>
      <c r="ERL5" s="394" t="s">
        <v>89</v>
      </c>
      <c r="ERM5" s="394" t="s">
        <v>89</v>
      </c>
      <c r="ERN5" s="394" t="s">
        <v>89</v>
      </c>
      <c r="ERO5" s="394" t="s">
        <v>89</v>
      </c>
      <c r="ERP5" s="394" t="s">
        <v>89</v>
      </c>
      <c r="ERQ5" s="394" t="s">
        <v>89</v>
      </c>
      <c r="ERR5" s="394" t="s">
        <v>89</v>
      </c>
      <c r="ERS5" s="394" t="s">
        <v>89</v>
      </c>
      <c r="ERT5" s="394" t="s">
        <v>89</v>
      </c>
      <c r="ERU5" s="394" t="s">
        <v>89</v>
      </c>
      <c r="ERV5" s="394" t="s">
        <v>89</v>
      </c>
      <c r="ERW5" s="394" t="s">
        <v>89</v>
      </c>
      <c r="ERX5" s="394" t="s">
        <v>89</v>
      </c>
      <c r="ERY5" s="394" t="s">
        <v>89</v>
      </c>
      <c r="ERZ5" s="394" t="s">
        <v>89</v>
      </c>
      <c r="ESA5" s="394" t="s">
        <v>89</v>
      </c>
      <c r="ESB5" s="394" t="s">
        <v>89</v>
      </c>
      <c r="ESC5" s="394" t="s">
        <v>89</v>
      </c>
      <c r="ESD5" s="394" t="s">
        <v>89</v>
      </c>
      <c r="ESE5" s="394" t="s">
        <v>89</v>
      </c>
      <c r="ESF5" s="394" t="s">
        <v>89</v>
      </c>
      <c r="ESG5" s="394" t="s">
        <v>89</v>
      </c>
      <c r="ESH5" s="394" t="s">
        <v>89</v>
      </c>
      <c r="ESI5" s="394" t="s">
        <v>89</v>
      </c>
      <c r="ESJ5" s="394" t="s">
        <v>89</v>
      </c>
      <c r="ESK5" s="394" t="s">
        <v>89</v>
      </c>
      <c r="ESL5" s="394" t="s">
        <v>89</v>
      </c>
      <c r="ESM5" s="394" t="s">
        <v>89</v>
      </c>
      <c r="ESN5" s="394" t="s">
        <v>89</v>
      </c>
      <c r="ESO5" s="394" t="s">
        <v>89</v>
      </c>
      <c r="ESP5" s="394" t="s">
        <v>89</v>
      </c>
      <c r="ESQ5" s="394" t="s">
        <v>89</v>
      </c>
      <c r="ESR5" s="394" t="s">
        <v>89</v>
      </c>
      <c r="ESS5" s="394" t="s">
        <v>89</v>
      </c>
      <c r="EST5" s="394" t="s">
        <v>89</v>
      </c>
      <c r="ESU5" s="394" t="s">
        <v>89</v>
      </c>
      <c r="ESV5" s="394" t="s">
        <v>89</v>
      </c>
      <c r="ESW5" s="394" t="s">
        <v>89</v>
      </c>
      <c r="ESX5" s="394" t="s">
        <v>89</v>
      </c>
      <c r="ESY5" s="394" t="s">
        <v>89</v>
      </c>
      <c r="ESZ5" s="394" t="s">
        <v>89</v>
      </c>
      <c r="ETA5" s="394" t="s">
        <v>89</v>
      </c>
      <c r="ETB5" s="394" t="s">
        <v>89</v>
      </c>
      <c r="ETC5" s="394" t="s">
        <v>89</v>
      </c>
      <c r="ETD5" s="394" t="s">
        <v>89</v>
      </c>
      <c r="ETE5" s="394" t="s">
        <v>89</v>
      </c>
      <c r="ETF5" s="394" t="s">
        <v>89</v>
      </c>
      <c r="ETG5" s="394" t="s">
        <v>89</v>
      </c>
      <c r="ETH5" s="394" t="s">
        <v>89</v>
      </c>
      <c r="ETI5" s="394" t="s">
        <v>89</v>
      </c>
      <c r="ETJ5" s="394" t="s">
        <v>89</v>
      </c>
      <c r="ETK5" s="394" t="s">
        <v>89</v>
      </c>
      <c r="ETL5" s="394" t="s">
        <v>89</v>
      </c>
      <c r="ETM5" s="394" t="s">
        <v>89</v>
      </c>
      <c r="ETN5" s="394" t="s">
        <v>89</v>
      </c>
      <c r="ETO5" s="394" t="s">
        <v>89</v>
      </c>
      <c r="ETP5" s="394" t="s">
        <v>89</v>
      </c>
      <c r="ETQ5" s="394" t="s">
        <v>89</v>
      </c>
      <c r="ETR5" s="394" t="s">
        <v>89</v>
      </c>
      <c r="ETS5" s="394" t="s">
        <v>89</v>
      </c>
      <c r="ETT5" s="394" t="s">
        <v>89</v>
      </c>
      <c r="ETU5" s="394" t="s">
        <v>89</v>
      </c>
      <c r="ETV5" s="394" t="s">
        <v>89</v>
      </c>
      <c r="ETW5" s="394" t="s">
        <v>89</v>
      </c>
      <c r="ETX5" s="394" t="s">
        <v>89</v>
      </c>
      <c r="ETY5" s="394" t="s">
        <v>89</v>
      </c>
      <c r="ETZ5" s="394" t="s">
        <v>89</v>
      </c>
      <c r="EUA5" s="394" t="s">
        <v>89</v>
      </c>
      <c r="EUB5" s="394" t="s">
        <v>89</v>
      </c>
      <c r="EUC5" s="394" t="s">
        <v>89</v>
      </c>
      <c r="EUD5" s="394" t="s">
        <v>89</v>
      </c>
      <c r="EUE5" s="394" t="s">
        <v>89</v>
      </c>
      <c r="EUF5" s="394" t="s">
        <v>89</v>
      </c>
      <c r="EUG5" s="394" t="s">
        <v>89</v>
      </c>
      <c r="EUH5" s="394" t="s">
        <v>89</v>
      </c>
      <c r="EUI5" s="394" t="s">
        <v>89</v>
      </c>
      <c r="EUJ5" s="394" t="s">
        <v>89</v>
      </c>
      <c r="EUK5" s="394" t="s">
        <v>89</v>
      </c>
      <c r="EUL5" s="394" t="s">
        <v>89</v>
      </c>
      <c r="EUM5" s="394" t="s">
        <v>89</v>
      </c>
      <c r="EUN5" s="394" t="s">
        <v>89</v>
      </c>
      <c r="EUO5" s="394" t="s">
        <v>89</v>
      </c>
      <c r="EUP5" s="394" t="s">
        <v>89</v>
      </c>
      <c r="EUQ5" s="394" t="s">
        <v>89</v>
      </c>
      <c r="EUR5" s="394" t="s">
        <v>89</v>
      </c>
      <c r="EUS5" s="394" t="s">
        <v>89</v>
      </c>
      <c r="EUT5" s="394" t="s">
        <v>89</v>
      </c>
      <c r="EUU5" s="394" t="s">
        <v>89</v>
      </c>
      <c r="EUV5" s="394" t="s">
        <v>89</v>
      </c>
      <c r="EUW5" s="394" t="s">
        <v>89</v>
      </c>
      <c r="EUX5" s="394" t="s">
        <v>89</v>
      </c>
      <c r="EUY5" s="394" t="s">
        <v>89</v>
      </c>
      <c r="EUZ5" s="394" t="s">
        <v>89</v>
      </c>
      <c r="EVA5" s="394" t="s">
        <v>89</v>
      </c>
      <c r="EVB5" s="394" t="s">
        <v>89</v>
      </c>
      <c r="EVC5" s="394" t="s">
        <v>89</v>
      </c>
      <c r="EVD5" s="394" t="s">
        <v>89</v>
      </c>
      <c r="EVE5" s="394" t="s">
        <v>89</v>
      </c>
      <c r="EVF5" s="394" t="s">
        <v>89</v>
      </c>
      <c r="EVG5" s="394" t="s">
        <v>89</v>
      </c>
      <c r="EVH5" s="394" t="s">
        <v>89</v>
      </c>
      <c r="EVI5" s="394" t="s">
        <v>89</v>
      </c>
      <c r="EVJ5" s="394" t="s">
        <v>89</v>
      </c>
      <c r="EVK5" s="394" t="s">
        <v>89</v>
      </c>
      <c r="EVL5" s="394" t="s">
        <v>89</v>
      </c>
      <c r="EVM5" s="394" t="s">
        <v>89</v>
      </c>
      <c r="EVN5" s="394" t="s">
        <v>89</v>
      </c>
      <c r="EVO5" s="394" t="s">
        <v>89</v>
      </c>
      <c r="EVP5" s="394" t="s">
        <v>89</v>
      </c>
      <c r="EVQ5" s="394" t="s">
        <v>89</v>
      </c>
      <c r="EVR5" s="394" t="s">
        <v>89</v>
      </c>
      <c r="EVS5" s="394" t="s">
        <v>89</v>
      </c>
      <c r="EVT5" s="394" t="s">
        <v>89</v>
      </c>
      <c r="EVU5" s="394" t="s">
        <v>89</v>
      </c>
      <c r="EVV5" s="394" t="s">
        <v>89</v>
      </c>
      <c r="EVW5" s="394" t="s">
        <v>89</v>
      </c>
      <c r="EVX5" s="394" t="s">
        <v>89</v>
      </c>
      <c r="EVY5" s="394" t="s">
        <v>89</v>
      </c>
      <c r="EVZ5" s="394" t="s">
        <v>89</v>
      </c>
      <c r="EWA5" s="394" t="s">
        <v>89</v>
      </c>
      <c r="EWB5" s="394" t="s">
        <v>89</v>
      </c>
      <c r="EWC5" s="394" t="s">
        <v>89</v>
      </c>
      <c r="EWD5" s="394" t="s">
        <v>89</v>
      </c>
      <c r="EWE5" s="394" t="s">
        <v>89</v>
      </c>
      <c r="EWF5" s="394" t="s">
        <v>89</v>
      </c>
      <c r="EWG5" s="394" t="s">
        <v>89</v>
      </c>
      <c r="EWH5" s="394" t="s">
        <v>89</v>
      </c>
      <c r="EWI5" s="394" t="s">
        <v>89</v>
      </c>
      <c r="EWJ5" s="394" t="s">
        <v>89</v>
      </c>
      <c r="EWK5" s="394" t="s">
        <v>89</v>
      </c>
      <c r="EWL5" s="394" t="s">
        <v>89</v>
      </c>
      <c r="EWM5" s="394" t="s">
        <v>89</v>
      </c>
      <c r="EWN5" s="394" t="s">
        <v>89</v>
      </c>
      <c r="EWO5" s="394" t="s">
        <v>89</v>
      </c>
      <c r="EWP5" s="394" t="s">
        <v>89</v>
      </c>
      <c r="EWQ5" s="394" t="s">
        <v>89</v>
      </c>
      <c r="EWR5" s="394" t="s">
        <v>89</v>
      </c>
      <c r="EWS5" s="394" t="s">
        <v>89</v>
      </c>
      <c r="EWT5" s="394" t="s">
        <v>89</v>
      </c>
      <c r="EWU5" s="394" t="s">
        <v>89</v>
      </c>
      <c r="EWV5" s="394" t="s">
        <v>89</v>
      </c>
      <c r="EWW5" s="394" t="s">
        <v>89</v>
      </c>
      <c r="EWX5" s="394" t="s">
        <v>89</v>
      </c>
      <c r="EWY5" s="394" t="s">
        <v>89</v>
      </c>
      <c r="EWZ5" s="394" t="s">
        <v>89</v>
      </c>
      <c r="EXA5" s="394" t="s">
        <v>89</v>
      </c>
      <c r="EXB5" s="394" t="s">
        <v>89</v>
      </c>
      <c r="EXC5" s="394" t="s">
        <v>89</v>
      </c>
      <c r="EXD5" s="394" t="s">
        <v>89</v>
      </c>
      <c r="EXE5" s="394" t="s">
        <v>89</v>
      </c>
      <c r="EXF5" s="394" t="s">
        <v>89</v>
      </c>
      <c r="EXG5" s="394" t="s">
        <v>89</v>
      </c>
      <c r="EXH5" s="394" t="s">
        <v>89</v>
      </c>
      <c r="EXI5" s="394" t="s">
        <v>89</v>
      </c>
      <c r="EXJ5" s="394" t="s">
        <v>89</v>
      </c>
      <c r="EXK5" s="394" t="s">
        <v>89</v>
      </c>
      <c r="EXL5" s="394" t="s">
        <v>89</v>
      </c>
      <c r="EXM5" s="394" t="s">
        <v>89</v>
      </c>
      <c r="EXN5" s="394" t="s">
        <v>89</v>
      </c>
      <c r="EXO5" s="394" t="s">
        <v>89</v>
      </c>
      <c r="EXP5" s="394" t="s">
        <v>89</v>
      </c>
      <c r="EXQ5" s="394" t="s">
        <v>89</v>
      </c>
      <c r="EXR5" s="394" t="s">
        <v>89</v>
      </c>
      <c r="EXS5" s="394" t="s">
        <v>89</v>
      </c>
      <c r="EXT5" s="394" t="s">
        <v>89</v>
      </c>
      <c r="EXU5" s="394" t="s">
        <v>89</v>
      </c>
      <c r="EXV5" s="394" t="s">
        <v>89</v>
      </c>
      <c r="EXW5" s="394" t="s">
        <v>89</v>
      </c>
      <c r="EXX5" s="394" t="s">
        <v>89</v>
      </c>
      <c r="EXY5" s="394" t="s">
        <v>89</v>
      </c>
      <c r="EXZ5" s="394" t="s">
        <v>89</v>
      </c>
      <c r="EYA5" s="394" t="s">
        <v>89</v>
      </c>
      <c r="EYB5" s="394" t="s">
        <v>89</v>
      </c>
      <c r="EYC5" s="394" t="s">
        <v>89</v>
      </c>
      <c r="EYD5" s="394" t="s">
        <v>89</v>
      </c>
      <c r="EYE5" s="394" t="s">
        <v>89</v>
      </c>
      <c r="EYF5" s="394" t="s">
        <v>89</v>
      </c>
      <c r="EYG5" s="394" t="s">
        <v>89</v>
      </c>
      <c r="EYH5" s="394" t="s">
        <v>89</v>
      </c>
      <c r="EYI5" s="394" t="s">
        <v>89</v>
      </c>
      <c r="EYJ5" s="394" t="s">
        <v>89</v>
      </c>
      <c r="EYK5" s="394" t="s">
        <v>89</v>
      </c>
      <c r="EYL5" s="394" t="s">
        <v>89</v>
      </c>
      <c r="EYM5" s="394" t="s">
        <v>89</v>
      </c>
      <c r="EYN5" s="394" t="s">
        <v>89</v>
      </c>
      <c r="EYO5" s="394" t="s">
        <v>89</v>
      </c>
      <c r="EYP5" s="394" t="s">
        <v>89</v>
      </c>
      <c r="EYQ5" s="394" t="s">
        <v>89</v>
      </c>
      <c r="EYR5" s="394" t="s">
        <v>89</v>
      </c>
      <c r="EYS5" s="394" t="s">
        <v>89</v>
      </c>
      <c r="EYT5" s="394" t="s">
        <v>89</v>
      </c>
      <c r="EYU5" s="394" t="s">
        <v>89</v>
      </c>
      <c r="EYV5" s="394" t="s">
        <v>89</v>
      </c>
      <c r="EYW5" s="394" t="s">
        <v>89</v>
      </c>
      <c r="EYX5" s="394" t="s">
        <v>89</v>
      </c>
      <c r="EYY5" s="394" t="s">
        <v>89</v>
      </c>
      <c r="EYZ5" s="394" t="s">
        <v>89</v>
      </c>
      <c r="EZA5" s="394" t="s">
        <v>89</v>
      </c>
      <c r="EZB5" s="394" t="s">
        <v>89</v>
      </c>
      <c r="EZC5" s="394" t="s">
        <v>89</v>
      </c>
      <c r="EZD5" s="394" t="s">
        <v>89</v>
      </c>
      <c r="EZE5" s="394" t="s">
        <v>89</v>
      </c>
      <c r="EZF5" s="394" t="s">
        <v>89</v>
      </c>
      <c r="EZG5" s="394" t="s">
        <v>89</v>
      </c>
      <c r="EZH5" s="394" t="s">
        <v>89</v>
      </c>
      <c r="EZI5" s="394" t="s">
        <v>89</v>
      </c>
      <c r="EZJ5" s="394" t="s">
        <v>89</v>
      </c>
      <c r="EZK5" s="394" t="s">
        <v>89</v>
      </c>
      <c r="EZL5" s="394" t="s">
        <v>89</v>
      </c>
      <c r="EZM5" s="394" t="s">
        <v>89</v>
      </c>
      <c r="EZN5" s="394" t="s">
        <v>89</v>
      </c>
      <c r="EZO5" s="394" t="s">
        <v>89</v>
      </c>
      <c r="EZP5" s="394" t="s">
        <v>89</v>
      </c>
      <c r="EZQ5" s="394" t="s">
        <v>89</v>
      </c>
      <c r="EZR5" s="394" t="s">
        <v>89</v>
      </c>
      <c r="EZS5" s="394" t="s">
        <v>89</v>
      </c>
      <c r="EZT5" s="394" t="s">
        <v>89</v>
      </c>
      <c r="EZU5" s="394" t="s">
        <v>89</v>
      </c>
      <c r="EZV5" s="394" t="s">
        <v>89</v>
      </c>
      <c r="EZW5" s="394" t="s">
        <v>89</v>
      </c>
      <c r="EZX5" s="394" t="s">
        <v>89</v>
      </c>
      <c r="EZY5" s="394" t="s">
        <v>89</v>
      </c>
      <c r="EZZ5" s="394" t="s">
        <v>89</v>
      </c>
      <c r="FAA5" s="394" t="s">
        <v>89</v>
      </c>
      <c r="FAB5" s="394" t="s">
        <v>89</v>
      </c>
      <c r="FAC5" s="394" t="s">
        <v>89</v>
      </c>
      <c r="FAD5" s="394" t="s">
        <v>89</v>
      </c>
      <c r="FAE5" s="394" t="s">
        <v>89</v>
      </c>
      <c r="FAF5" s="394" t="s">
        <v>89</v>
      </c>
      <c r="FAG5" s="394" t="s">
        <v>89</v>
      </c>
      <c r="FAH5" s="394" t="s">
        <v>89</v>
      </c>
      <c r="FAI5" s="394" t="s">
        <v>89</v>
      </c>
      <c r="FAJ5" s="394" t="s">
        <v>89</v>
      </c>
      <c r="FAK5" s="394" t="s">
        <v>89</v>
      </c>
      <c r="FAL5" s="394" t="s">
        <v>89</v>
      </c>
      <c r="FAM5" s="394" t="s">
        <v>89</v>
      </c>
      <c r="FAN5" s="394" t="s">
        <v>89</v>
      </c>
      <c r="FAO5" s="394" t="s">
        <v>89</v>
      </c>
      <c r="FAP5" s="394" t="s">
        <v>89</v>
      </c>
      <c r="FAQ5" s="394" t="s">
        <v>89</v>
      </c>
      <c r="FAR5" s="394" t="s">
        <v>89</v>
      </c>
      <c r="FAS5" s="394" t="s">
        <v>89</v>
      </c>
      <c r="FAT5" s="394" t="s">
        <v>89</v>
      </c>
      <c r="FAU5" s="394" t="s">
        <v>89</v>
      </c>
      <c r="FAV5" s="394" t="s">
        <v>89</v>
      </c>
      <c r="FAW5" s="394" t="s">
        <v>89</v>
      </c>
      <c r="FAX5" s="394" t="s">
        <v>89</v>
      </c>
      <c r="FAY5" s="394" t="s">
        <v>89</v>
      </c>
      <c r="FAZ5" s="394" t="s">
        <v>89</v>
      </c>
      <c r="FBA5" s="394" t="s">
        <v>89</v>
      </c>
      <c r="FBB5" s="394" t="s">
        <v>89</v>
      </c>
      <c r="FBC5" s="394" t="s">
        <v>89</v>
      </c>
      <c r="FBD5" s="394" t="s">
        <v>89</v>
      </c>
      <c r="FBE5" s="394" t="s">
        <v>89</v>
      </c>
      <c r="FBF5" s="394" t="s">
        <v>89</v>
      </c>
      <c r="FBG5" s="394" t="s">
        <v>89</v>
      </c>
      <c r="FBH5" s="394" t="s">
        <v>89</v>
      </c>
      <c r="FBI5" s="394" t="s">
        <v>89</v>
      </c>
      <c r="FBJ5" s="394" t="s">
        <v>89</v>
      </c>
      <c r="FBK5" s="394" t="s">
        <v>89</v>
      </c>
      <c r="FBL5" s="394" t="s">
        <v>89</v>
      </c>
      <c r="FBM5" s="394" t="s">
        <v>89</v>
      </c>
      <c r="FBN5" s="394" t="s">
        <v>89</v>
      </c>
      <c r="FBO5" s="394" t="s">
        <v>89</v>
      </c>
      <c r="FBP5" s="394" t="s">
        <v>89</v>
      </c>
      <c r="FBQ5" s="394" t="s">
        <v>89</v>
      </c>
      <c r="FBR5" s="394" t="s">
        <v>89</v>
      </c>
      <c r="FBS5" s="394" t="s">
        <v>89</v>
      </c>
      <c r="FBT5" s="394" t="s">
        <v>89</v>
      </c>
      <c r="FBU5" s="394" t="s">
        <v>89</v>
      </c>
      <c r="FBV5" s="394" t="s">
        <v>89</v>
      </c>
      <c r="FBW5" s="394" t="s">
        <v>89</v>
      </c>
      <c r="FBX5" s="394" t="s">
        <v>89</v>
      </c>
      <c r="FBY5" s="394" t="s">
        <v>89</v>
      </c>
      <c r="FBZ5" s="394" t="s">
        <v>89</v>
      </c>
      <c r="FCA5" s="394" t="s">
        <v>89</v>
      </c>
      <c r="FCB5" s="394" t="s">
        <v>89</v>
      </c>
      <c r="FCC5" s="394" t="s">
        <v>89</v>
      </c>
      <c r="FCD5" s="394" t="s">
        <v>89</v>
      </c>
      <c r="FCE5" s="394" t="s">
        <v>89</v>
      </c>
      <c r="FCF5" s="394" t="s">
        <v>89</v>
      </c>
      <c r="FCG5" s="394" t="s">
        <v>89</v>
      </c>
      <c r="FCH5" s="394" t="s">
        <v>89</v>
      </c>
      <c r="FCI5" s="394" t="s">
        <v>89</v>
      </c>
      <c r="FCJ5" s="394" t="s">
        <v>89</v>
      </c>
      <c r="FCK5" s="394" t="s">
        <v>89</v>
      </c>
      <c r="FCL5" s="394" t="s">
        <v>89</v>
      </c>
      <c r="FCM5" s="394" t="s">
        <v>89</v>
      </c>
      <c r="FCN5" s="394" t="s">
        <v>89</v>
      </c>
      <c r="FCO5" s="394" t="s">
        <v>89</v>
      </c>
      <c r="FCP5" s="394" t="s">
        <v>89</v>
      </c>
      <c r="FCQ5" s="394" t="s">
        <v>89</v>
      </c>
      <c r="FCR5" s="394" t="s">
        <v>89</v>
      </c>
      <c r="FCS5" s="394" t="s">
        <v>89</v>
      </c>
      <c r="FCT5" s="394" t="s">
        <v>89</v>
      </c>
      <c r="FCU5" s="394" t="s">
        <v>89</v>
      </c>
      <c r="FCV5" s="394" t="s">
        <v>89</v>
      </c>
      <c r="FCW5" s="394" t="s">
        <v>89</v>
      </c>
      <c r="FCX5" s="394" t="s">
        <v>89</v>
      </c>
      <c r="FCY5" s="394" t="s">
        <v>89</v>
      </c>
      <c r="FCZ5" s="394" t="s">
        <v>89</v>
      </c>
      <c r="FDA5" s="394" t="s">
        <v>89</v>
      </c>
      <c r="FDB5" s="394" t="s">
        <v>89</v>
      </c>
      <c r="FDC5" s="394" t="s">
        <v>89</v>
      </c>
      <c r="FDD5" s="394" t="s">
        <v>89</v>
      </c>
      <c r="FDE5" s="394" t="s">
        <v>89</v>
      </c>
      <c r="FDF5" s="394" t="s">
        <v>89</v>
      </c>
      <c r="FDG5" s="394" t="s">
        <v>89</v>
      </c>
      <c r="FDH5" s="394" t="s">
        <v>89</v>
      </c>
      <c r="FDI5" s="394" t="s">
        <v>89</v>
      </c>
      <c r="FDJ5" s="394" t="s">
        <v>89</v>
      </c>
      <c r="FDK5" s="394" t="s">
        <v>89</v>
      </c>
      <c r="FDL5" s="394" t="s">
        <v>89</v>
      </c>
      <c r="FDM5" s="394" t="s">
        <v>89</v>
      </c>
      <c r="FDN5" s="394" t="s">
        <v>89</v>
      </c>
      <c r="FDO5" s="394" t="s">
        <v>89</v>
      </c>
      <c r="FDP5" s="394" t="s">
        <v>89</v>
      </c>
      <c r="FDQ5" s="394" t="s">
        <v>89</v>
      </c>
      <c r="FDR5" s="394" t="s">
        <v>89</v>
      </c>
      <c r="FDS5" s="394" t="s">
        <v>89</v>
      </c>
      <c r="FDT5" s="394" t="s">
        <v>89</v>
      </c>
      <c r="FDU5" s="394" t="s">
        <v>89</v>
      </c>
      <c r="FDV5" s="394" t="s">
        <v>89</v>
      </c>
      <c r="FDW5" s="394" t="s">
        <v>89</v>
      </c>
      <c r="FDX5" s="394" t="s">
        <v>89</v>
      </c>
      <c r="FDY5" s="394" t="s">
        <v>89</v>
      </c>
      <c r="FDZ5" s="394" t="s">
        <v>89</v>
      </c>
      <c r="FEA5" s="394" t="s">
        <v>89</v>
      </c>
      <c r="FEB5" s="394" t="s">
        <v>89</v>
      </c>
      <c r="FEC5" s="394" t="s">
        <v>89</v>
      </c>
      <c r="FED5" s="394" t="s">
        <v>89</v>
      </c>
      <c r="FEE5" s="394" t="s">
        <v>89</v>
      </c>
      <c r="FEF5" s="394" t="s">
        <v>89</v>
      </c>
      <c r="FEG5" s="394" t="s">
        <v>89</v>
      </c>
      <c r="FEH5" s="394" t="s">
        <v>89</v>
      </c>
      <c r="FEI5" s="394" t="s">
        <v>89</v>
      </c>
      <c r="FEJ5" s="394" t="s">
        <v>89</v>
      </c>
      <c r="FEK5" s="394" t="s">
        <v>89</v>
      </c>
      <c r="FEL5" s="394" t="s">
        <v>89</v>
      </c>
      <c r="FEM5" s="394" t="s">
        <v>89</v>
      </c>
      <c r="FEN5" s="394" t="s">
        <v>89</v>
      </c>
      <c r="FEO5" s="394" t="s">
        <v>89</v>
      </c>
      <c r="FEP5" s="394" t="s">
        <v>89</v>
      </c>
      <c r="FEQ5" s="394" t="s">
        <v>89</v>
      </c>
      <c r="FER5" s="394" t="s">
        <v>89</v>
      </c>
      <c r="FES5" s="394" t="s">
        <v>89</v>
      </c>
      <c r="FET5" s="394" t="s">
        <v>89</v>
      </c>
      <c r="FEU5" s="394" t="s">
        <v>89</v>
      </c>
      <c r="FEV5" s="394" t="s">
        <v>89</v>
      </c>
      <c r="FEW5" s="394" t="s">
        <v>89</v>
      </c>
      <c r="FEX5" s="394" t="s">
        <v>89</v>
      </c>
      <c r="FEY5" s="394" t="s">
        <v>89</v>
      </c>
      <c r="FEZ5" s="394" t="s">
        <v>89</v>
      </c>
      <c r="FFA5" s="394" t="s">
        <v>89</v>
      </c>
      <c r="FFB5" s="394" t="s">
        <v>89</v>
      </c>
      <c r="FFC5" s="394" t="s">
        <v>89</v>
      </c>
      <c r="FFD5" s="394" t="s">
        <v>89</v>
      </c>
      <c r="FFE5" s="394" t="s">
        <v>89</v>
      </c>
      <c r="FFF5" s="394" t="s">
        <v>89</v>
      </c>
      <c r="FFG5" s="394" t="s">
        <v>89</v>
      </c>
      <c r="FFH5" s="394" t="s">
        <v>89</v>
      </c>
      <c r="FFI5" s="394" t="s">
        <v>89</v>
      </c>
      <c r="FFJ5" s="394" t="s">
        <v>89</v>
      </c>
      <c r="FFK5" s="394" t="s">
        <v>89</v>
      </c>
      <c r="FFL5" s="394" t="s">
        <v>89</v>
      </c>
      <c r="FFM5" s="394" t="s">
        <v>89</v>
      </c>
      <c r="FFN5" s="394" t="s">
        <v>89</v>
      </c>
      <c r="FFO5" s="394" t="s">
        <v>89</v>
      </c>
      <c r="FFP5" s="394" t="s">
        <v>89</v>
      </c>
      <c r="FFQ5" s="394" t="s">
        <v>89</v>
      </c>
      <c r="FFR5" s="394" t="s">
        <v>89</v>
      </c>
      <c r="FFS5" s="394" t="s">
        <v>89</v>
      </c>
      <c r="FFT5" s="394" t="s">
        <v>89</v>
      </c>
      <c r="FFU5" s="394" t="s">
        <v>89</v>
      </c>
      <c r="FFV5" s="394" t="s">
        <v>89</v>
      </c>
      <c r="FFW5" s="394" t="s">
        <v>89</v>
      </c>
      <c r="FFX5" s="394" t="s">
        <v>89</v>
      </c>
      <c r="FFY5" s="394" t="s">
        <v>89</v>
      </c>
      <c r="FFZ5" s="394" t="s">
        <v>89</v>
      </c>
      <c r="FGA5" s="394" t="s">
        <v>89</v>
      </c>
      <c r="FGB5" s="394" t="s">
        <v>89</v>
      </c>
      <c r="FGC5" s="394" t="s">
        <v>89</v>
      </c>
      <c r="FGD5" s="394" t="s">
        <v>89</v>
      </c>
      <c r="FGE5" s="394" t="s">
        <v>89</v>
      </c>
      <c r="FGF5" s="394" t="s">
        <v>89</v>
      </c>
      <c r="FGG5" s="394" t="s">
        <v>89</v>
      </c>
      <c r="FGH5" s="394" t="s">
        <v>89</v>
      </c>
      <c r="FGI5" s="394" t="s">
        <v>89</v>
      </c>
      <c r="FGJ5" s="394" t="s">
        <v>89</v>
      </c>
      <c r="FGK5" s="394" t="s">
        <v>89</v>
      </c>
      <c r="FGL5" s="394" t="s">
        <v>89</v>
      </c>
      <c r="FGM5" s="394" t="s">
        <v>89</v>
      </c>
      <c r="FGN5" s="394" t="s">
        <v>89</v>
      </c>
      <c r="FGO5" s="394" t="s">
        <v>89</v>
      </c>
      <c r="FGP5" s="394" t="s">
        <v>89</v>
      </c>
      <c r="FGQ5" s="394" t="s">
        <v>89</v>
      </c>
      <c r="FGR5" s="394" t="s">
        <v>89</v>
      </c>
      <c r="FGS5" s="394" t="s">
        <v>89</v>
      </c>
      <c r="FGT5" s="394" t="s">
        <v>89</v>
      </c>
      <c r="FGU5" s="394" t="s">
        <v>89</v>
      </c>
      <c r="FGV5" s="394" t="s">
        <v>89</v>
      </c>
      <c r="FGW5" s="394" t="s">
        <v>89</v>
      </c>
      <c r="FGX5" s="394" t="s">
        <v>89</v>
      </c>
      <c r="FGY5" s="394" t="s">
        <v>89</v>
      </c>
      <c r="FGZ5" s="394" t="s">
        <v>89</v>
      </c>
      <c r="FHA5" s="394" t="s">
        <v>89</v>
      </c>
      <c r="FHB5" s="394" t="s">
        <v>89</v>
      </c>
      <c r="FHC5" s="394" t="s">
        <v>89</v>
      </c>
      <c r="FHD5" s="394" t="s">
        <v>89</v>
      </c>
      <c r="FHE5" s="394" t="s">
        <v>89</v>
      </c>
      <c r="FHF5" s="394" t="s">
        <v>89</v>
      </c>
      <c r="FHG5" s="394" t="s">
        <v>89</v>
      </c>
      <c r="FHH5" s="394" t="s">
        <v>89</v>
      </c>
      <c r="FHI5" s="394" t="s">
        <v>89</v>
      </c>
      <c r="FHJ5" s="394" t="s">
        <v>89</v>
      </c>
      <c r="FHK5" s="394" t="s">
        <v>89</v>
      </c>
      <c r="FHL5" s="394" t="s">
        <v>89</v>
      </c>
      <c r="FHM5" s="394" t="s">
        <v>89</v>
      </c>
      <c r="FHN5" s="394" t="s">
        <v>89</v>
      </c>
      <c r="FHO5" s="394" t="s">
        <v>89</v>
      </c>
      <c r="FHP5" s="394" t="s">
        <v>89</v>
      </c>
      <c r="FHQ5" s="394" t="s">
        <v>89</v>
      </c>
      <c r="FHR5" s="394" t="s">
        <v>89</v>
      </c>
      <c r="FHS5" s="394" t="s">
        <v>89</v>
      </c>
      <c r="FHT5" s="394" t="s">
        <v>89</v>
      </c>
      <c r="FHU5" s="394" t="s">
        <v>89</v>
      </c>
      <c r="FHV5" s="394" t="s">
        <v>89</v>
      </c>
      <c r="FHW5" s="394" t="s">
        <v>89</v>
      </c>
      <c r="FHX5" s="394" t="s">
        <v>89</v>
      </c>
      <c r="FHY5" s="394" t="s">
        <v>89</v>
      </c>
      <c r="FHZ5" s="394" t="s">
        <v>89</v>
      </c>
      <c r="FIA5" s="394" t="s">
        <v>89</v>
      </c>
      <c r="FIB5" s="394" t="s">
        <v>89</v>
      </c>
      <c r="FIC5" s="394" t="s">
        <v>89</v>
      </c>
      <c r="FID5" s="394" t="s">
        <v>89</v>
      </c>
      <c r="FIE5" s="394" t="s">
        <v>89</v>
      </c>
      <c r="FIF5" s="394" t="s">
        <v>89</v>
      </c>
      <c r="FIG5" s="394" t="s">
        <v>89</v>
      </c>
      <c r="FIH5" s="394" t="s">
        <v>89</v>
      </c>
      <c r="FII5" s="394" t="s">
        <v>89</v>
      </c>
      <c r="FIJ5" s="394" t="s">
        <v>89</v>
      </c>
      <c r="FIK5" s="394" t="s">
        <v>89</v>
      </c>
      <c r="FIL5" s="394" t="s">
        <v>89</v>
      </c>
      <c r="FIM5" s="394" t="s">
        <v>89</v>
      </c>
      <c r="FIN5" s="394" t="s">
        <v>89</v>
      </c>
      <c r="FIO5" s="394" t="s">
        <v>89</v>
      </c>
      <c r="FIP5" s="394" t="s">
        <v>89</v>
      </c>
      <c r="FIQ5" s="394" t="s">
        <v>89</v>
      </c>
      <c r="FIR5" s="394" t="s">
        <v>89</v>
      </c>
      <c r="FIS5" s="394" t="s">
        <v>89</v>
      </c>
      <c r="FIT5" s="394" t="s">
        <v>89</v>
      </c>
      <c r="FIU5" s="394" t="s">
        <v>89</v>
      </c>
      <c r="FIV5" s="394" t="s">
        <v>89</v>
      </c>
      <c r="FIW5" s="394" t="s">
        <v>89</v>
      </c>
      <c r="FIX5" s="394" t="s">
        <v>89</v>
      </c>
      <c r="FIY5" s="394" t="s">
        <v>89</v>
      </c>
      <c r="FIZ5" s="394" t="s">
        <v>89</v>
      </c>
      <c r="FJA5" s="394" t="s">
        <v>89</v>
      </c>
      <c r="FJB5" s="394" t="s">
        <v>89</v>
      </c>
      <c r="FJC5" s="394" t="s">
        <v>89</v>
      </c>
      <c r="FJD5" s="394" t="s">
        <v>89</v>
      </c>
      <c r="FJE5" s="394" t="s">
        <v>89</v>
      </c>
      <c r="FJF5" s="394" t="s">
        <v>89</v>
      </c>
      <c r="FJG5" s="394" t="s">
        <v>89</v>
      </c>
      <c r="FJH5" s="394" t="s">
        <v>89</v>
      </c>
      <c r="FJI5" s="394" t="s">
        <v>89</v>
      </c>
      <c r="FJJ5" s="394" t="s">
        <v>89</v>
      </c>
      <c r="FJK5" s="394" t="s">
        <v>89</v>
      </c>
      <c r="FJL5" s="394" t="s">
        <v>89</v>
      </c>
      <c r="FJM5" s="394" t="s">
        <v>89</v>
      </c>
      <c r="FJN5" s="394" t="s">
        <v>89</v>
      </c>
      <c r="FJO5" s="394" t="s">
        <v>89</v>
      </c>
      <c r="FJP5" s="394" t="s">
        <v>89</v>
      </c>
      <c r="FJQ5" s="394" t="s">
        <v>89</v>
      </c>
      <c r="FJR5" s="394" t="s">
        <v>89</v>
      </c>
      <c r="FJS5" s="394" t="s">
        <v>89</v>
      </c>
      <c r="FJT5" s="394" t="s">
        <v>89</v>
      </c>
      <c r="FJU5" s="394" t="s">
        <v>89</v>
      </c>
      <c r="FJV5" s="394" t="s">
        <v>89</v>
      </c>
      <c r="FJW5" s="394" t="s">
        <v>89</v>
      </c>
      <c r="FJX5" s="394" t="s">
        <v>89</v>
      </c>
      <c r="FJY5" s="394" t="s">
        <v>89</v>
      </c>
      <c r="FJZ5" s="394" t="s">
        <v>89</v>
      </c>
      <c r="FKA5" s="394" t="s">
        <v>89</v>
      </c>
      <c r="FKB5" s="394" t="s">
        <v>89</v>
      </c>
      <c r="FKC5" s="394" t="s">
        <v>89</v>
      </c>
      <c r="FKD5" s="394" t="s">
        <v>89</v>
      </c>
      <c r="FKE5" s="394" t="s">
        <v>89</v>
      </c>
      <c r="FKF5" s="394" t="s">
        <v>89</v>
      </c>
      <c r="FKG5" s="394" t="s">
        <v>89</v>
      </c>
      <c r="FKH5" s="394" t="s">
        <v>89</v>
      </c>
      <c r="FKI5" s="394" t="s">
        <v>89</v>
      </c>
      <c r="FKJ5" s="394" t="s">
        <v>89</v>
      </c>
      <c r="FKK5" s="394" t="s">
        <v>89</v>
      </c>
      <c r="FKL5" s="394" t="s">
        <v>89</v>
      </c>
      <c r="FKM5" s="394" t="s">
        <v>89</v>
      </c>
      <c r="FKN5" s="394" t="s">
        <v>89</v>
      </c>
      <c r="FKO5" s="394" t="s">
        <v>89</v>
      </c>
      <c r="FKP5" s="394" t="s">
        <v>89</v>
      </c>
      <c r="FKQ5" s="394" t="s">
        <v>89</v>
      </c>
      <c r="FKR5" s="394" t="s">
        <v>89</v>
      </c>
      <c r="FKS5" s="394" t="s">
        <v>89</v>
      </c>
      <c r="FKT5" s="394" t="s">
        <v>89</v>
      </c>
      <c r="FKU5" s="394" t="s">
        <v>89</v>
      </c>
      <c r="FKV5" s="394" t="s">
        <v>89</v>
      </c>
      <c r="FKW5" s="394" t="s">
        <v>89</v>
      </c>
      <c r="FKX5" s="394" t="s">
        <v>89</v>
      </c>
      <c r="FKY5" s="394" t="s">
        <v>89</v>
      </c>
      <c r="FKZ5" s="394" t="s">
        <v>89</v>
      </c>
      <c r="FLA5" s="394" t="s">
        <v>89</v>
      </c>
      <c r="FLB5" s="394" t="s">
        <v>89</v>
      </c>
      <c r="FLC5" s="394" t="s">
        <v>89</v>
      </c>
      <c r="FLD5" s="394" t="s">
        <v>89</v>
      </c>
      <c r="FLE5" s="394" t="s">
        <v>89</v>
      </c>
      <c r="FLF5" s="394" t="s">
        <v>89</v>
      </c>
      <c r="FLG5" s="394" t="s">
        <v>89</v>
      </c>
      <c r="FLH5" s="394" t="s">
        <v>89</v>
      </c>
      <c r="FLI5" s="394" t="s">
        <v>89</v>
      </c>
      <c r="FLJ5" s="394" t="s">
        <v>89</v>
      </c>
      <c r="FLK5" s="394" t="s">
        <v>89</v>
      </c>
      <c r="FLL5" s="394" t="s">
        <v>89</v>
      </c>
      <c r="FLM5" s="394" t="s">
        <v>89</v>
      </c>
      <c r="FLN5" s="394" t="s">
        <v>89</v>
      </c>
      <c r="FLO5" s="394" t="s">
        <v>89</v>
      </c>
      <c r="FLP5" s="394" t="s">
        <v>89</v>
      </c>
      <c r="FLQ5" s="394" t="s">
        <v>89</v>
      </c>
      <c r="FLR5" s="394" t="s">
        <v>89</v>
      </c>
      <c r="FLS5" s="394" t="s">
        <v>89</v>
      </c>
      <c r="FLT5" s="394" t="s">
        <v>89</v>
      </c>
      <c r="FLU5" s="394" t="s">
        <v>89</v>
      </c>
      <c r="FLV5" s="394" t="s">
        <v>89</v>
      </c>
      <c r="FLW5" s="394" t="s">
        <v>89</v>
      </c>
      <c r="FLX5" s="394" t="s">
        <v>89</v>
      </c>
      <c r="FLY5" s="394" t="s">
        <v>89</v>
      </c>
      <c r="FLZ5" s="394" t="s">
        <v>89</v>
      </c>
      <c r="FMA5" s="394" t="s">
        <v>89</v>
      </c>
      <c r="FMB5" s="394" t="s">
        <v>89</v>
      </c>
      <c r="FMC5" s="394" t="s">
        <v>89</v>
      </c>
      <c r="FMD5" s="394" t="s">
        <v>89</v>
      </c>
      <c r="FME5" s="394" t="s">
        <v>89</v>
      </c>
      <c r="FMF5" s="394" t="s">
        <v>89</v>
      </c>
      <c r="FMG5" s="394" t="s">
        <v>89</v>
      </c>
      <c r="FMH5" s="394" t="s">
        <v>89</v>
      </c>
      <c r="FMI5" s="394" t="s">
        <v>89</v>
      </c>
      <c r="FMJ5" s="394" t="s">
        <v>89</v>
      </c>
      <c r="FMK5" s="394" t="s">
        <v>89</v>
      </c>
      <c r="FML5" s="394" t="s">
        <v>89</v>
      </c>
      <c r="FMM5" s="394" t="s">
        <v>89</v>
      </c>
      <c r="FMN5" s="394" t="s">
        <v>89</v>
      </c>
      <c r="FMO5" s="394" t="s">
        <v>89</v>
      </c>
      <c r="FMP5" s="394" t="s">
        <v>89</v>
      </c>
      <c r="FMQ5" s="394" t="s">
        <v>89</v>
      </c>
      <c r="FMR5" s="394" t="s">
        <v>89</v>
      </c>
      <c r="FMS5" s="394" t="s">
        <v>89</v>
      </c>
      <c r="FMT5" s="394" t="s">
        <v>89</v>
      </c>
      <c r="FMU5" s="394" t="s">
        <v>89</v>
      </c>
      <c r="FMV5" s="394" t="s">
        <v>89</v>
      </c>
      <c r="FMW5" s="394" t="s">
        <v>89</v>
      </c>
      <c r="FMX5" s="394" t="s">
        <v>89</v>
      </c>
      <c r="FMY5" s="394" t="s">
        <v>89</v>
      </c>
      <c r="FMZ5" s="394" t="s">
        <v>89</v>
      </c>
      <c r="FNA5" s="394" t="s">
        <v>89</v>
      </c>
      <c r="FNB5" s="394" t="s">
        <v>89</v>
      </c>
      <c r="FNC5" s="394" t="s">
        <v>89</v>
      </c>
      <c r="FND5" s="394" t="s">
        <v>89</v>
      </c>
      <c r="FNE5" s="394" t="s">
        <v>89</v>
      </c>
      <c r="FNF5" s="394" t="s">
        <v>89</v>
      </c>
      <c r="FNG5" s="394" t="s">
        <v>89</v>
      </c>
      <c r="FNH5" s="394" t="s">
        <v>89</v>
      </c>
      <c r="FNI5" s="394" t="s">
        <v>89</v>
      </c>
      <c r="FNJ5" s="394" t="s">
        <v>89</v>
      </c>
      <c r="FNK5" s="394" t="s">
        <v>89</v>
      </c>
      <c r="FNL5" s="394" t="s">
        <v>89</v>
      </c>
      <c r="FNM5" s="394" t="s">
        <v>89</v>
      </c>
      <c r="FNN5" s="394" t="s">
        <v>89</v>
      </c>
      <c r="FNO5" s="394" t="s">
        <v>89</v>
      </c>
      <c r="FNP5" s="394" t="s">
        <v>89</v>
      </c>
      <c r="FNQ5" s="394" t="s">
        <v>89</v>
      </c>
      <c r="FNR5" s="394" t="s">
        <v>89</v>
      </c>
      <c r="FNS5" s="394" t="s">
        <v>89</v>
      </c>
      <c r="FNT5" s="394" t="s">
        <v>89</v>
      </c>
      <c r="FNU5" s="394" t="s">
        <v>89</v>
      </c>
      <c r="FNV5" s="394" t="s">
        <v>89</v>
      </c>
      <c r="FNW5" s="394" t="s">
        <v>89</v>
      </c>
      <c r="FNX5" s="394" t="s">
        <v>89</v>
      </c>
      <c r="FNY5" s="394" t="s">
        <v>89</v>
      </c>
      <c r="FNZ5" s="394" t="s">
        <v>89</v>
      </c>
      <c r="FOA5" s="394" t="s">
        <v>89</v>
      </c>
      <c r="FOB5" s="394" t="s">
        <v>89</v>
      </c>
      <c r="FOC5" s="394" t="s">
        <v>89</v>
      </c>
      <c r="FOD5" s="394" t="s">
        <v>89</v>
      </c>
      <c r="FOE5" s="394" t="s">
        <v>89</v>
      </c>
      <c r="FOF5" s="394" t="s">
        <v>89</v>
      </c>
      <c r="FOG5" s="394" t="s">
        <v>89</v>
      </c>
      <c r="FOH5" s="394" t="s">
        <v>89</v>
      </c>
      <c r="FOI5" s="394" t="s">
        <v>89</v>
      </c>
      <c r="FOJ5" s="394" t="s">
        <v>89</v>
      </c>
      <c r="FOK5" s="394" t="s">
        <v>89</v>
      </c>
      <c r="FOL5" s="394" t="s">
        <v>89</v>
      </c>
      <c r="FOM5" s="394" t="s">
        <v>89</v>
      </c>
      <c r="FON5" s="394" t="s">
        <v>89</v>
      </c>
      <c r="FOO5" s="394" t="s">
        <v>89</v>
      </c>
      <c r="FOP5" s="394" t="s">
        <v>89</v>
      </c>
      <c r="FOQ5" s="394" t="s">
        <v>89</v>
      </c>
      <c r="FOR5" s="394" t="s">
        <v>89</v>
      </c>
      <c r="FOS5" s="394" t="s">
        <v>89</v>
      </c>
      <c r="FOT5" s="394" t="s">
        <v>89</v>
      </c>
      <c r="FOU5" s="394" t="s">
        <v>89</v>
      </c>
      <c r="FOV5" s="394" t="s">
        <v>89</v>
      </c>
      <c r="FOW5" s="394" t="s">
        <v>89</v>
      </c>
      <c r="FOX5" s="394" t="s">
        <v>89</v>
      </c>
      <c r="FOY5" s="394" t="s">
        <v>89</v>
      </c>
      <c r="FOZ5" s="394" t="s">
        <v>89</v>
      </c>
      <c r="FPA5" s="394" t="s">
        <v>89</v>
      </c>
      <c r="FPB5" s="394" t="s">
        <v>89</v>
      </c>
      <c r="FPC5" s="394" t="s">
        <v>89</v>
      </c>
      <c r="FPD5" s="394" t="s">
        <v>89</v>
      </c>
      <c r="FPE5" s="394" t="s">
        <v>89</v>
      </c>
      <c r="FPF5" s="394" t="s">
        <v>89</v>
      </c>
      <c r="FPG5" s="394" t="s">
        <v>89</v>
      </c>
      <c r="FPH5" s="394" t="s">
        <v>89</v>
      </c>
      <c r="FPI5" s="394" t="s">
        <v>89</v>
      </c>
      <c r="FPJ5" s="394" t="s">
        <v>89</v>
      </c>
      <c r="FPK5" s="394" t="s">
        <v>89</v>
      </c>
      <c r="FPL5" s="394" t="s">
        <v>89</v>
      </c>
      <c r="FPM5" s="394" t="s">
        <v>89</v>
      </c>
      <c r="FPN5" s="394" t="s">
        <v>89</v>
      </c>
      <c r="FPO5" s="394" t="s">
        <v>89</v>
      </c>
      <c r="FPP5" s="394" t="s">
        <v>89</v>
      </c>
      <c r="FPQ5" s="394" t="s">
        <v>89</v>
      </c>
      <c r="FPR5" s="394" t="s">
        <v>89</v>
      </c>
      <c r="FPS5" s="394" t="s">
        <v>89</v>
      </c>
      <c r="FPT5" s="394" t="s">
        <v>89</v>
      </c>
      <c r="FPU5" s="394" t="s">
        <v>89</v>
      </c>
      <c r="FPV5" s="394" t="s">
        <v>89</v>
      </c>
      <c r="FPW5" s="394" t="s">
        <v>89</v>
      </c>
      <c r="FPX5" s="394" t="s">
        <v>89</v>
      </c>
      <c r="FPY5" s="394" t="s">
        <v>89</v>
      </c>
      <c r="FPZ5" s="394" t="s">
        <v>89</v>
      </c>
      <c r="FQA5" s="394" t="s">
        <v>89</v>
      </c>
      <c r="FQB5" s="394" t="s">
        <v>89</v>
      </c>
      <c r="FQC5" s="394" t="s">
        <v>89</v>
      </c>
      <c r="FQD5" s="394" t="s">
        <v>89</v>
      </c>
      <c r="FQE5" s="394" t="s">
        <v>89</v>
      </c>
      <c r="FQF5" s="394" t="s">
        <v>89</v>
      </c>
      <c r="FQG5" s="394" t="s">
        <v>89</v>
      </c>
      <c r="FQH5" s="394" t="s">
        <v>89</v>
      </c>
      <c r="FQI5" s="394" t="s">
        <v>89</v>
      </c>
      <c r="FQJ5" s="394" t="s">
        <v>89</v>
      </c>
      <c r="FQK5" s="394" t="s">
        <v>89</v>
      </c>
      <c r="FQL5" s="394" t="s">
        <v>89</v>
      </c>
      <c r="FQM5" s="394" t="s">
        <v>89</v>
      </c>
      <c r="FQN5" s="394" t="s">
        <v>89</v>
      </c>
      <c r="FQO5" s="394" t="s">
        <v>89</v>
      </c>
      <c r="FQP5" s="394" t="s">
        <v>89</v>
      </c>
      <c r="FQQ5" s="394" t="s">
        <v>89</v>
      </c>
      <c r="FQR5" s="394" t="s">
        <v>89</v>
      </c>
      <c r="FQS5" s="394" t="s">
        <v>89</v>
      </c>
      <c r="FQT5" s="394" t="s">
        <v>89</v>
      </c>
      <c r="FQU5" s="394" t="s">
        <v>89</v>
      </c>
      <c r="FQV5" s="394" t="s">
        <v>89</v>
      </c>
      <c r="FQW5" s="394" t="s">
        <v>89</v>
      </c>
      <c r="FQX5" s="394" t="s">
        <v>89</v>
      </c>
      <c r="FQY5" s="394" t="s">
        <v>89</v>
      </c>
      <c r="FQZ5" s="394" t="s">
        <v>89</v>
      </c>
      <c r="FRA5" s="394" t="s">
        <v>89</v>
      </c>
      <c r="FRB5" s="394" t="s">
        <v>89</v>
      </c>
      <c r="FRC5" s="394" t="s">
        <v>89</v>
      </c>
      <c r="FRD5" s="394" t="s">
        <v>89</v>
      </c>
      <c r="FRE5" s="394" t="s">
        <v>89</v>
      </c>
      <c r="FRF5" s="394" t="s">
        <v>89</v>
      </c>
      <c r="FRG5" s="394" t="s">
        <v>89</v>
      </c>
      <c r="FRH5" s="394" t="s">
        <v>89</v>
      </c>
      <c r="FRI5" s="394" t="s">
        <v>89</v>
      </c>
      <c r="FRJ5" s="394" t="s">
        <v>89</v>
      </c>
      <c r="FRK5" s="394" t="s">
        <v>89</v>
      </c>
      <c r="FRL5" s="394" t="s">
        <v>89</v>
      </c>
      <c r="FRM5" s="394" t="s">
        <v>89</v>
      </c>
      <c r="FRN5" s="394" t="s">
        <v>89</v>
      </c>
      <c r="FRO5" s="394" t="s">
        <v>89</v>
      </c>
      <c r="FRP5" s="394" t="s">
        <v>89</v>
      </c>
      <c r="FRQ5" s="394" t="s">
        <v>89</v>
      </c>
      <c r="FRR5" s="394" t="s">
        <v>89</v>
      </c>
      <c r="FRS5" s="394" t="s">
        <v>89</v>
      </c>
      <c r="FRT5" s="394" t="s">
        <v>89</v>
      </c>
      <c r="FRU5" s="394" t="s">
        <v>89</v>
      </c>
      <c r="FRV5" s="394" t="s">
        <v>89</v>
      </c>
      <c r="FRW5" s="394" t="s">
        <v>89</v>
      </c>
      <c r="FRX5" s="394" t="s">
        <v>89</v>
      </c>
      <c r="FRY5" s="394" t="s">
        <v>89</v>
      </c>
      <c r="FRZ5" s="394" t="s">
        <v>89</v>
      </c>
      <c r="FSA5" s="394" t="s">
        <v>89</v>
      </c>
      <c r="FSB5" s="394" t="s">
        <v>89</v>
      </c>
      <c r="FSC5" s="394" t="s">
        <v>89</v>
      </c>
      <c r="FSD5" s="394" t="s">
        <v>89</v>
      </c>
      <c r="FSE5" s="394" t="s">
        <v>89</v>
      </c>
      <c r="FSF5" s="394" t="s">
        <v>89</v>
      </c>
      <c r="FSG5" s="394" t="s">
        <v>89</v>
      </c>
      <c r="FSH5" s="394" t="s">
        <v>89</v>
      </c>
      <c r="FSI5" s="394" t="s">
        <v>89</v>
      </c>
      <c r="FSJ5" s="394" t="s">
        <v>89</v>
      </c>
      <c r="FSK5" s="394" t="s">
        <v>89</v>
      </c>
      <c r="FSL5" s="394" t="s">
        <v>89</v>
      </c>
      <c r="FSM5" s="394" t="s">
        <v>89</v>
      </c>
      <c r="FSN5" s="394" t="s">
        <v>89</v>
      </c>
      <c r="FSO5" s="394" t="s">
        <v>89</v>
      </c>
      <c r="FSP5" s="394" t="s">
        <v>89</v>
      </c>
      <c r="FSQ5" s="394" t="s">
        <v>89</v>
      </c>
      <c r="FSR5" s="394" t="s">
        <v>89</v>
      </c>
      <c r="FSS5" s="394" t="s">
        <v>89</v>
      </c>
      <c r="FST5" s="394" t="s">
        <v>89</v>
      </c>
      <c r="FSU5" s="394" t="s">
        <v>89</v>
      </c>
      <c r="FSV5" s="394" t="s">
        <v>89</v>
      </c>
      <c r="FSW5" s="394" t="s">
        <v>89</v>
      </c>
      <c r="FSX5" s="394" t="s">
        <v>89</v>
      </c>
      <c r="FSY5" s="394" t="s">
        <v>89</v>
      </c>
      <c r="FSZ5" s="394" t="s">
        <v>89</v>
      </c>
      <c r="FTA5" s="394" t="s">
        <v>89</v>
      </c>
      <c r="FTB5" s="394" t="s">
        <v>89</v>
      </c>
      <c r="FTC5" s="394" t="s">
        <v>89</v>
      </c>
      <c r="FTD5" s="394" t="s">
        <v>89</v>
      </c>
      <c r="FTE5" s="394" t="s">
        <v>89</v>
      </c>
      <c r="FTF5" s="394" t="s">
        <v>89</v>
      </c>
      <c r="FTG5" s="394" t="s">
        <v>89</v>
      </c>
      <c r="FTH5" s="394" t="s">
        <v>89</v>
      </c>
      <c r="FTI5" s="394" t="s">
        <v>89</v>
      </c>
      <c r="FTJ5" s="394" t="s">
        <v>89</v>
      </c>
      <c r="FTK5" s="394" t="s">
        <v>89</v>
      </c>
      <c r="FTL5" s="394" t="s">
        <v>89</v>
      </c>
      <c r="FTM5" s="394" t="s">
        <v>89</v>
      </c>
      <c r="FTN5" s="394" t="s">
        <v>89</v>
      </c>
      <c r="FTO5" s="394" t="s">
        <v>89</v>
      </c>
      <c r="FTP5" s="394" t="s">
        <v>89</v>
      </c>
      <c r="FTQ5" s="394" t="s">
        <v>89</v>
      </c>
      <c r="FTR5" s="394" t="s">
        <v>89</v>
      </c>
      <c r="FTS5" s="394" t="s">
        <v>89</v>
      </c>
      <c r="FTT5" s="394" t="s">
        <v>89</v>
      </c>
      <c r="FTU5" s="394" t="s">
        <v>89</v>
      </c>
      <c r="FTV5" s="394" t="s">
        <v>89</v>
      </c>
      <c r="FTW5" s="394" t="s">
        <v>89</v>
      </c>
      <c r="FTX5" s="394" t="s">
        <v>89</v>
      </c>
      <c r="FTY5" s="394" t="s">
        <v>89</v>
      </c>
      <c r="FTZ5" s="394" t="s">
        <v>89</v>
      </c>
      <c r="FUA5" s="394" t="s">
        <v>89</v>
      </c>
      <c r="FUB5" s="394" t="s">
        <v>89</v>
      </c>
      <c r="FUC5" s="394" t="s">
        <v>89</v>
      </c>
      <c r="FUD5" s="394" t="s">
        <v>89</v>
      </c>
      <c r="FUE5" s="394" t="s">
        <v>89</v>
      </c>
      <c r="FUF5" s="394" t="s">
        <v>89</v>
      </c>
      <c r="FUG5" s="394" t="s">
        <v>89</v>
      </c>
      <c r="FUH5" s="394" t="s">
        <v>89</v>
      </c>
      <c r="FUI5" s="394" t="s">
        <v>89</v>
      </c>
      <c r="FUJ5" s="394" t="s">
        <v>89</v>
      </c>
      <c r="FUK5" s="394" t="s">
        <v>89</v>
      </c>
      <c r="FUL5" s="394" t="s">
        <v>89</v>
      </c>
      <c r="FUM5" s="394" t="s">
        <v>89</v>
      </c>
      <c r="FUN5" s="394" t="s">
        <v>89</v>
      </c>
      <c r="FUO5" s="394" t="s">
        <v>89</v>
      </c>
      <c r="FUP5" s="394" t="s">
        <v>89</v>
      </c>
      <c r="FUQ5" s="394" t="s">
        <v>89</v>
      </c>
      <c r="FUR5" s="394" t="s">
        <v>89</v>
      </c>
      <c r="FUS5" s="394" t="s">
        <v>89</v>
      </c>
      <c r="FUT5" s="394" t="s">
        <v>89</v>
      </c>
      <c r="FUU5" s="394" t="s">
        <v>89</v>
      </c>
      <c r="FUV5" s="394" t="s">
        <v>89</v>
      </c>
      <c r="FUW5" s="394" t="s">
        <v>89</v>
      </c>
      <c r="FUX5" s="394" t="s">
        <v>89</v>
      </c>
      <c r="FUY5" s="394" t="s">
        <v>89</v>
      </c>
      <c r="FUZ5" s="394" t="s">
        <v>89</v>
      </c>
      <c r="FVA5" s="394" t="s">
        <v>89</v>
      </c>
      <c r="FVB5" s="394" t="s">
        <v>89</v>
      </c>
      <c r="FVC5" s="394" t="s">
        <v>89</v>
      </c>
      <c r="FVD5" s="394" t="s">
        <v>89</v>
      </c>
      <c r="FVE5" s="394" t="s">
        <v>89</v>
      </c>
      <c r="FVF5" s="394" t="s">
        <v>89</v>
      </c>
      <c r="FVG5" s="394" t="s">
        <v>89</v>
      </c>
      <c r="FVH5" s="394" t="s">
        <v>89</v>
      </c>
      <c r="FVI5" s="394" t="s">
        <v>89</v>
      </c>
      <c r="FVJ5" s="394" t="s">
        <v>89</v>
      </c>
      <c r="FVK5" s="394" t="s">
        <v>89</v>
      </c>
      <c r="FVL5" s="394" t="s">
        <v>89</v>
      </c>
      <c r="FVM5" s="394" t="s">
        <v>89</v>
      </c>
      <c r="FVN5" s="394" t="s">
        <v>89</v>
      </c>
      <c r="FVO5" s="394" t="s">
        <v>89</v>
      </c>
      <c r="FVP5" s="394" t="s">
        <v>89</v>
      </c>
      <c r="FVQ5" s="394" t="s">
        <v>89</v>
      </c>
      <c r="FVR5" s="394" t="s">
        <v>89</v>
      </c>
      <c r="FVS5" s="394" t="s">
        <v>89</v>
      </c>
      <c r="FVT5" s="394" t="s">
        <v>89</v>
      </c>
      <c r="FVU5" s="394" t="s">
        <v>89</v>
      </c>
      <c r="FVV5" s="394" t="s">
        <v>89</v>
      </c>
      <c r="FVW5" s="394" t="s">
        <v>89</v>
      </c>
      <c r="FVX5" s="394" t="s">
        <v>89</v>
      </c>
      <c r="FVY5" s="394" t="s">
        <v>89</v>
      </c>
      <c r="FVZ5" s="394" t="s">
        <v>89</v>
      </c>
      <c r="FWA5" s="394" t="s">
        <v>89</v>
      </c>
      <c r="FWB5" s="394" t="s">
        <v>89</v>
      </c>
      <c r="FWC5" s="394" t="s">
        <v>89</v>
      </c>
      <c r="FWD5" s="394" t="s">
        <v>89</v>
      </c>
      <c r="FWE5" s="394" t="s">
        <v>89</v>
      </c>
      <c r="FWF5" s="394" t="s">
        <v>89</v>
      </c>
      <c r="FWG5" s="394" t="s">
        <v>89</v>
      </c>
      <c r="FWH5" s="394" t="s">
        <v>89</v>
      </c>
      <c r="FWI5" s="394" t="s">
        <v>89</v>
      </c>
      <c r="FWJ5" s="394" t="s">
        <v>89</v>
      </c>
      <c r="FWK5" s="394" t="s">
        <v>89</v>
      </c>
      <c r="FWL5" s="394" t="s">
        <v>89</v>
      </c>
      <c r="FWM5" s="394" t="s">
        <v>89</v>
      </c>
      <c r="FWN5" s="394" t="s">
        <v>89</v>
      </c>
      <c r="FWO5" s="394" t="s">
        <v>89</v>
      </c>
      <c r="FWP5" s="394" t="s">
        <v>89</v>
      </c>
      <c r="FWQ5" s="394" t="s">
        <v>89</v>
      </c>
      <c r="FWR5" s="394" t="s">
        <v>89</v>
      </c>
      <c r="FWS5" s="394" t="s">
        <v>89</v>
      </c>
      <c r="FWT5" s="394" t="s">
        <v>89</v>
      </c>
      <c r="FWU5" s="394" t="s">
        <v>89</v>
      </c>
      <c r="FWV5" s="394" t="s">
        <v>89</v>
      </c>
      <c r="FWW5" s="394" t="s">
        <v>89</v>
      </c>
      <c r="FWX5" s="394" t="s">
        <v>89</v>
      </c>
      <c r="FWY5" s="394" t="s">
        <v>89</v>
      </c>
      <c r="FWZ5" s="394" t="s">
        <v>89</v>
      </c>
      <c r="FXA5" s="394" t="s">
        <v>89</v>
      </c>
      <c r="FXB5" s="394" t="s">
        <v>89</v>
      </c>
      <c r="FXC5" s="394" t="s">
        <v>89</v>
      </c>
      <c r="FXD5" s="394" t="s">
        <v>89</v>
      </c>
      <c r="FXE5" s="394" t="s">
        <v>89</v>
      </c>
      <c r="FXF5" s="394" t="s">
        <v>89</v>
      </c>
      <c r="FXG5" s="394" t="s">
        <v>89</v>
      </c>
      <c r="FXH5" s="394" t="s">
        <v>89</v>
      </c>
      <c r="FXI5" s="394" t="s">
        <v>89</v>
      </c>
      <c r="FXJ5" s="394" t="s">
        <v>89</v>
      </c>
      <c r="FXK5" s="394" t="s">
        <v>89</v>
      </c>
      <c r="FXL5" s="394" t="s">
        <v>89</v>
      </c>
      <c r="FXM5" s="394" t="s">
        <v>89</v>
      </c>
      <c r="FXN5" s="394" t="s">
        <v>89</v>
      </c>
      <c r="FXO5" s="394" t="s">
        <v>89</v>
      </c>
      <c r="FXP5" s="394" t="s">
        <v>89</v>
      </c>
      <c r="FXQ5" s="394" t="s">
        <v>89</v>
      </c>
      <c r="FXR5" s="394" t="s">
        <v>89</v>
      </c>
      <c r="FXS5" s="394" t="s">
        <v>89</v>
      </c>
      <c r="FXT5" s="394" t="s">
        <v>89</v>
      </c>
      <c r="FXU5" s="394" t="s">
        <v>89</v>
      </c>
      <c r="FXV5" s="394" t="s">
        <v>89</v>
      </c>
      <c r="FXW5" s="394" t="s">
        <v>89</v>
      </c>
      <c r="FXX5" s="394" t="s">
        <v>89</v>
      </c>
      <c r="FXY5" s="394" t="s">
        <v>89</v>
      </c>
      <c r="FXZ5" s="394" t="s">
        <v>89</v>
      </c>
      <c r="FYA5" s="394" t="s">
        <v>89</v>
      </c>
      <c r="FYB5" s="394" t="s">
        <v>89</v>
      </c>
      <c r="FYC5" s="394" t="s">
        <v>89</v>
      </c>
      <c r="FYD5" s="394" t="s">
        <v>89</v>
      </c>
      <c r="FYE5" s="394" t="s">
        <v>89</v>
      </c>
      <c r="FYF5" s="394" t="s">
        <v>89</v>
      </c>
      <c r="FYG5" s="394" t="s">
        <v>89</v>
      </c>
      <c r="FYH5" s="394" t="s">
        <v>89</v>
      </c>
      <c r="FYI5" s="394" t="s">
        <v>89</v>
      </c>
      <c r="FYJ5" s="394" t="s">
        <v>89</v>
      </c>
      <c r="FYK5" s="394" t="s">
        <v>89</v>
      </c>
      <c r="FYL5" s="394" t="s">
        <v>89</v>
      </c>
      <c r="FYM5" s="394" t="s">
        <v>89</v>
      </c>
      <c r="FYN5" s="394" t="s">
        <v>89</v>
      </c>
      <c r="FYO5" s="394" t="s">
        <v>89</v>
      </c>
      <c r="FYP5" s="394" t="s">
        <v>89</v>
      </c>
      <c r="FYQ5" s="394" t="s">
        <v>89</v>
      </c>
      <c r="FYR5" s="394" t="s">
        <v>89</v>
      </c>
      <c r="FYS5" s="394" t="s">
        <v>89</v>
      </c>
      <c r="FYT5" s="394" t="s">
        <v>89</v>
      </c>
      <c r="FYU5" s="394" t="s">
        <v>89</v>
      </c>
      <c r="FYV5" s="394" t="s">
        <v>89</v>
      </c>
      <c r="FYW5" s="394" t="s">
        <v>89</v>
      </c>
      <c r="FYX5" s="394" t="s">
        <v>89</v>
      </c>
      <c r="FYY5" s="394" t="s">
        <v>89</v>
      </c>
      <c r="FYZ5" s="394" t="s">
        <v>89</v>
      </c>
      <c r="FZA5" s="394" t="s">
        <v>89</v>
      </c>
      <c r="FZB5" s="394" t="s">
        <v>89</v>
      </c>
      <c r="FZC5" s="394" t="s">
        <v>89</v>
      </c>
      <c r="FZD5" s="394" t="s">
        <v>89</v>
      </c>
      <c r="FZE5" s="394" t="s">
        <v>89</v>
      </c>
      <c r="FZF5" s="394" t="s">
        <v>89</v>
      </c>
      <c r="FZG5" s="394" t="s">
        <v>89</v>
      </c>
      <c r="FZH5" s="394" t="s">
        <v>89</v>
      </c>
      <c r="FZI5" s="394" t="s">
        <v>89</v>
      </c>
      <c r="FZJ5" s="394" t="s">
        <v>89</v>
      </c>
      <c r="FZK5" s="394" t="s">
        <v>89</v>
      </c>
      <c r="FZL5" s="394" t="s">
        <v>89</v>
      </c>
      <c r="FZM5" s="394" t="s">
        <v>89</v>
      </c>
      <c r="FZN5" s="394" t="s">
        <v>89</v>
      </c>
      <c r="FZO5" s="394" t="s">
        <v>89</v>
      </c>
      <c r="FZP5" s="394" t="s">
        <v>89</v>
      </c>
      <c r="FZQ5" s="394" t="s">
        <v>89</v>
      </c>
      <c r="FZR5" s="394" t="s">
        <v>89</v>
      </c>
      <c r="FZS5" s="394" t="s">
        <v>89</v>
      </c>
      <c r="FZT5" s="394" t="s">
        <v>89</v>
      </c>
      <c r="FZU5" s="394" t="s">
        <v>89</v>
      </c>
      <c r="FZV5" s="394" t="s">
        <v>89</v>
      </c>
      <c r="FZW5" s="394" t="s">
        <v>89</v>
      </c>
      <c r="FZX5" s="394" t="s">
        <v>89</v>
      </c>
      <c r="FZY5" s="394" t="s">
        <v>89</v>
      </c>
      <c r="FZZ5" s="394" t="s">
        <v>89</v>
      </c>
      <c r="GAA5" s="394" t="s">
        <v>89</v>
      </c>
      <c r="GAB5" s="394" t="s">
        <v>89</v>
      </c>
      <c r="GAC5" s="394" t="s">
        <v>89</v>
      </c>
      <c r="GAD5" s="394" t="s">
        <v>89</v>
      </c>
      <c r="GAE5" s="394" t="s">
        <v>89</v>
      </c>
      <c r="GAF5" s="394" t="s">
        <v>89</v>
      </c>
      <c r="GAG5" s="394" t="s">
        <v>89</v>
      </c>
      <c r="GAH5" s="394" t="s">
        <v>89</v>
      </c>
      <c r="GAI5" s="394" t="s">
        <v>89</v>
      </c>
      <c r="GAJ5" s="394" t="s">
        <v>89</v>
      </c>
      <c r="GAK5" s="394" t="s">
        <v>89</v>
      </c>
      <c r="GAL5" s="394" t="s">
        <v>89</v>
      </c>
      <c r="GAM5" s="394" t="s">
        <v>89</v>
      </c>
      <c r="GAN5" s="394" t="s">
        <v>89</v>
      </c>
      <c r="GAO5" s="394" t="s">
        <v>89</v>
      </c>
      <c r="GAP5" s="394" t="s">
        <v>89</v>
      </c>
      <c r="GAQ5" s="394" t="s">
        <v>89</v>
      </c>
      <c r="GAR5" s="394" t="s">
        <v>89</v>
      </c>
      <c r="GAS5" s="394" t="s">
        <v>89</v>
      </c>
      <c r="GAT5" s="394" t="s">
        <v>89</v>
      </c>
      <c r="GAU5" s="394" t="s">
        <v>89</v>
      </c>
      <c r="GAV5" s="394" t="s">
        <v>89</v>
      </c>
      <c r="GAW5" s="394" t="s">
        <v>89</v>
      </c>
      <c r="GAX5" s="394" t="s">
        <v>89</v>
      </c>
      <c r="GAY5" s="394" t="s">
        <v>89</v>
      </c>
      <c r="GAZ5" s="394" t="s">
        <v>89</v>
      </c>
      <c r="GBA5" s="394" t="s">
        <v>89</v>
      </c>
      <c r="GBB5" s="394" t="s">
        <v>89</v>
      </c>
      <c r="GBC5" s="394" t="s">
        <v>89</v>
      </c>
      <c r="GBD5" s="394" t="s">
        <v>89</v>
      </c>
      <c r="GBE5" s="394" t="s">
        <v>89</v>
      </c>
      <c r="GBF5" s="394" t="s">
        <v>89</v>
      </c>
      <c r="GBG5" s="394" t="s">
        <v>89</v>
      </c>
      <c r="GBH5" s="394" t="s">
        <v>89</v>
      </c>
      <c r="GBI5" s="394" t="s">
        <v>89</v>
      </c>
      <c r="GBJ5" s="394" t="s">
        <v>89</v>
      </c>
      <c r="GBK5" s="394" t="s">
        <v>89</v>
      </c>
      <c r="GBL5" s="394" t="s">
        <v>89</v>
      </c>
      <c r="GBM5" s="394" t="s">
        <v>89</v>
      </c>
      <c r="GBN5" s="394" t="s">
        <v>89</v>
      </c>
      <c r="GBO5" s="394" t="s">
        <v>89</v>
      </c>
      <c r="GBP5" s="394" t="s">
        <v>89</v>
      </c>
      <c r="GBQ5" s="394" t="s">
        <v>89</v>
      </c>
      <c r="GBR5" s="394" t="s">
        <v>89</v>
      </c>
      <c r="GBS5" s="394" t="s">
        <v>89</v>
      </c>
      <c r="GBT5" s="394" t="s">
        <v>89</v>
      </c>
      <c r="GBU5" s="394" t="s">
        <v>89</v>
      </c>
      <c r="GBV5" s="394" t="s">
        <v>89</v>
      </c>
      <c r="GBW5" s="394" t="s">
        <v>89</v>
      </c>
      <c r="GBX5" s="394" t="s">
        <v>89</v>
      </c>
      <c r="GBY5" s="394" t="s">
        <v>89</v>
      </c>
      <c r="GBZ5" s="394" t="s">
        <v>89</v>
      </c>
      <c r="GCA5" s="394" t="s">
        <v>89</v>
      </c>
      <c r="GCB5" s="394" t="s">
        <v>89</v>
      </c>
      <c r="GCC5" s="394" t="s">
        <v>89</v>
      </c>
      <c r="GCD5" s="394" t="s">
        <v>89</v>
      </c>
      <c r="GCE5" s="394" t="s">
        <v>89</v>
      </c>
      <c r="GCF5" s="394" t="s">
        <v>89</v>
      </c>
      <c r="GCG5" s="394" t="s">
        <v>89</v>
      </c>
      <c r="GCH5" s="394" t="s">
        <v>89</v>
      </c>
      <c r="GCI5" s="394" t="s">
        <v>89</v>
      </c>
      <c r="GCJ5" s="394" t="s">
        <v>89</v>
      </c>
      <c r="GCK5" s="394" t="s">
        <v>89</v>
      </c>
      <c r="GCL5" s="394" t="s">
        <v>89</v>
      </c>
      <c r="GCM5" s="394" t="s">
        <v>89</v>
      </c>
      <c r="GCN5" s="394" t="s">
        <v>89</v>
      </c>
      <c r="GCO5" s="394" t="s">
        <v>89</v>
      </c>
      <c r="GCP5" s="394" t="s">
        <v>89</v>
      </c>
      <c r="GCQ5" s="394" t="s">
        <v>89</v>
      </c>
      <c r="GCR5" s="394" t="s">
        <v>89</v>
      </c>
      <c r="GCS5" s="394" t="s">
        <v>89</v>
      </c>
      <c r="GCT5" s="394" t="s">
        <v>89</v>
      </c>
      <c r="GCU5" s="394" t="s">
        <v>89</v>
      </c>
      <c r="GCV5" s="394" t="s">
        <v>89</v>
      </c>
      <c r="GCW5" s="394" t="s">
        <v>89</v>
      </c>
      <c r="GCX5" s="394" t="s">
        <v>89</v>
      </c>
      <c r="GCY5" s="394" t="s">
        <v>89</v>
      </c>
      <c r="GCZ5" s="394" t="s">
        <v>89</v>
      </c>
      <c r="GDA5" s="394" t="s">
        <v>89</v>
      </c>
      <c r="GDB5" s="394" t="s">
        <v>89</v>
      </c>
      <c r="GDC5" s="394" t="s">
        <v>89</v>
      </c>
      <c r="GDD5" s="394" t="s">
        <v>89</v>
      </c>
      <c r="GDE5" s="394" t="s">
        <v>89</v>
      </c>
      <c r="GDF5" s="394" t="s">
        <v>89</v>
      </c>
      <c r="GDG5" s="394" t="s">
        <v>89</v>
      </c>
      <c r="GDH5" s="394" t="s">
        <v>89</v>
      </c>
      <c r="GDI5" s="394" t="s">
        <v>89</v>
      </c>
      <c r="GDJ5" s="394" t="s">
        <v>89</v>
      </c>
      <c r="GDK5" s="394" t="s">
        <v>89</v>
      </c>
      <c r="GDL5" s="394" t="s">
        <v>89</v>
      </c>
      <c r="GDM5" s="394" t="s">
        <v>89</v>
      </c>
      <c r="GDN5" s="394" t="s">
        <v>89</v>
      </c>
      <c r="GDO5" s="394" t="s">
        <v>89</v>
      </c>
      <c r="GDP5" s="394" t="s">
        <v>89</v>
      </c>
      <c r="GDQ5" s="394" t="s">
        <v>89</v>
      </c>
      <c r="GDR5" s="394" t="s">
        <v>89</v>
      </c>
      <c r="GDS5" s="394" t="s">
        <v>89</v>
      </c>
      <c r="GDT5" s="394" t="s">
        <v>89</v>
      </c>
      <c r="GDU5" s="394" t="s">
        <v>89</v>
      </c>
      <c r="GDV5" s="394" t="s">
        <v>89</v>
      </c>
      <c r="GDW5" s="394" t="s">
        <v>89</v>
      </c>
      <c r="GDX5" s="394" t="s">
        <v>89</v>
      </c>
      <c r="GDY5" s="394" t="s">
        <v>89</v>
      </c>
      <c r="GDZ5" s="394" t="s">
        <v>89</v>
      </c>
      <c r="GEA5" s="394" t="s">
        <v>89</v>
      </c>
      <c r="GEB5" s="394" t="s">
        <v>89</v>
      </c>
      <c r="GEC5" s="394" t="s">
        <v>89</v>
      </c>
      <c r="GED5" s="394" t="s">
        <v>89</v>
      </c>
      <c r="GEE5" s="394" t="s">
        <v>89</v>
      </c>
      <c r="GEF5" s="394" t="s">
        <v>89</v>
      </c>
      <c r="GEG5" s="394" t="s">
        <v>89</v>
      </c>
      <c r="GEH5" s="394" t="s">
        <v>89</v>
      </c>
      <c r="GEI5" s="394" t="s">
        <v>89</v>
      </c>
      <c r="GEJ5" s="394" t="s">
        <v>89</v>
      </c>
      <c r="GEK5" s="394" t="s">
        <v>89</v>
      </c>
      <c r="GEL5" s="394" t="s">
        <v>89</v>
      </c>
      <c r="GEM5" s="394" t="s">
        <v>89</v>
      </c>
      <c r="GEN5" s="394" t="s">
        <v>89</v>
      </c>
      <c r="GEO5" s="394" t="s">
        <v>89</v>
      </c>
      <c r="GEP5" s="394" t="s">
        <v>89</v>
      </c>
      <c r="GEQ5" s="394" t="s">
        <v>89</v>
      </c>
      <c r="GER5" s="394" t="s">
        <v>89</v>
      </c>
      <c r="GES5" s="394" t="s">
        <v>89</v>
      </c>
      <c r="GET5" s="394" t="s">
        <v>89</v>
      </c>
      <c r="GEU5" s="394" t="s">
        <v>89</v>
      </c>
      <c r="GEV5" s="394" t="s">
        <v>89</v>
      </c>
      <c r="GEW5" s="394" t="s">
        <v>89</v>
      </c>
      <c r="GEX5" s="394" t="s">
        <v>89</v>
      </c>
      <c r="GEY5" s="394" t="s">
        <v>89</v>
      </c>
      <c r="GEZ5" s="394" t="s">
        <v>89</v>
      </c>
      <c r="GFA5" s="394" t="s">
        <v>89</v>
      </c>
      <c r="GFB5" s="394" t="s">
        <v>89</v>
      </c>
      <c r="GFC5" s="394" t="s">
        <v>89</v>
      </c>
      <c r="GFD5" s="394" t="s">
        <v>89</v>
      </c>
      <c r="GFE5" s="394" t="s">
        <v>89</v>
      </c>
      <c r="GFF5" s="394" t="s">
        <v>89</v>
      </c>
      <c r="GFG5" s="394" t="s">
        <v>89</v>
      </c>
      <c r="GFH5" s="394" t="s">
        <v>89</v>
      </c>
      <c r="GFI5" s="394" t="s">
        <v>89</v>
      </c>
      <c r="GFJ5" s="394" t="s">
        <v>89</v>
      </c>
      <c r="GFK5" s="394" t="s">
        <v>89</v>
      </c>
      <c r="GFL5" s="394" t="s">
        <v>89</v>
      </c>
      <c r="GFM5" s="394" t="s">
        <v>89</v>
      </c>
      <c r="GFN5" s="394" t="s">
        <v>89</v>
      </c>
      <c r="GFO5" s="394" t="s">
        <v>89</v>
      </c>
      <c r="GFP5" s="394" t="s">
        <v>89</v>
      </c>
      <c r="GFQ5" s="394" t="s">
        <v>89</v>
      </c>
      <c r="GFR5" s="394" t="s">
        <v>89</v>
      </c>
      <c r="GFS5" s="394" t="s">
        <v>89</v>
      </c>
      <c r="GFT5" s="394" t="s">
        <v>89</v>
      </c>
      <c r="GFU5" s="394" t="s">
        <v>89</v>
      </c>
      <c r="GFV5" s="394" t="s">
        <v>89</v>
      </c>
      <c r="GFW5" s="394" t="s">
        <v>89</v>
      </c>
      <c r="GFX5" s="394" t="s">
        <v>89</v>
      </c>
      <c r="GFY5" s="394" t="s">
        <v>89</v>
      </c>
      <c r="GFZ5" s="394" t="s">
        <v>89</v>
      </c>
      <c r="GGA5" s="394" t="s">
        <v>89</v>
      </c>
      <c r="GGB5" s="394" t="s">
        <v>89</v>
      </c>
      <c r="GGC5" s="394" t="s">
        <v>89</v>
      </c>
      <c r="GGD5" s="394" t="s">
        <v>89</v>
      </c>
      <c r="GGE5" s="394" t="s">
        <v>89</v>
      </c>
      <c r="GGF5" s="394" t="s">
        <v>89</v>
      </c>
      <c r="GGG5" s="394" t="s">
        <v>89</v>
      </c>
      <c r="GGH5" s="394" t="s">
        <v>89</v>
      </c>
      <c r="GGI5" s="394" t="s">
        <v>89</v>
      </c>
      <c r="GGJ5" s="394" t="s">
        <v>89</v>
      </c>
      <c r="GGK5" s="394" t="s">
        <v>89</v>
      </c>
      <c r="GGL5" s="394" t="s">
        <v>89</v>
      </c>
      <c r="GGM5" s="394" t="s">
        <v>89</v>
      </c>
      <c r="GGN5" s="394" t="s">
        <v>89</v>
      </c>
      <c r="GGO5" s="394" t="s">
        <v>89</v>
      </c>
      <c r="GGP5" s="394" t="s">
        <v>89</v>
      </c>
      <c r="GGQ5" s="394" t="s">
        <v>89</v>
      </c>
      <c r="GGR5" s="394" t="s">
        <v>89</v>
      </c>
      <c r="GGS5" s="394" t="s">
        <v>89</v>
      </c>
      <c r="GGT5" s="394" t="s">
        <v>89</v>
      </c>
      <c r="GGU5" s="394" t="s">
        <v>89</v>
      </c>
      <c r="GGV5" s="394" t="s">
        <v>89</v>
      </c>
      <c r="GGW5" s="394" t="s">
        <v>89</v>
      </c>
      <c r="GGX5" s="394" t="s">
        <v>89</v>
      </c>
      <c r="GGY5" s="394" t="s">
        <v>89</v>
      </c>
      <c r="GGZ5" s="394" t="s">
        <v>89</v>
      </c>
      <c r="GHA5" s="394" t="s">
        <v>89</v>
      </c>
      <c r="GHB5" s="394" t="s">
        <v>89</v>
      </c>
      <c r="GHC5" s="394" t="s">
        <v>89</v>
      </c>
      <c r="GHD5" s="394" t="s">
        <v>89</v>
      </c>
      <c r="GHE5" s="394" t="s">
        <v>89</v>
      </c>
      <c r="GHF5" s="394" t="s">
        <v>89</v>
      </c>
      <c r="GHG5" s="394" t="s">
        <v>89</v>
      </c>
      <c r="GHH5" s="394" t="s">
        <v>89</v>
      </c>
      <c r="GHI5" s="394" t="s">
        <v>89</v>
      </c>
      <c r="GHJ5" s="394" t="s">
        <v>89</v>
      </c>
      <c r="GHK5" s="394" t="s">
        <v>89</v>
      </c>
      <c r="GHL5" s="394" t="s">
        <v>89</v>
      </c>
      <c r="GHM5" s="394" t="s">
        <v>89</v>
      </c>
      <c r="GHN5" s="394" t="s">
        <v>89</v>
      </c>
      <c r="GHO5" s="394" t="s">
        <v>89</v>
      </c>
      <c r="GHP5" s="394" t="s">
        <v>89</v>
      </c>
      <c r="GHQ5" s="394" t="s">
        <v>89</v>
      </c>
      <c r="GHR5" s="394" t="s">
        <v>89</v>
      </c>
      <c r="GHS5" s="394" t="s">
        <v>89</v>
      </c>
      <c r="GHT5" s="394" t="s">
        <v>89</v>
      </c>
      <c r="GHU5" s="394" t="s">
        <v>89</v>
      </c>
      <c r="GHV5" s="394" t="s">
        <v>89</v>
      </c>
      <c r="GHW5" s="394" t="s">
        <v>89</v>
      </c>
      <c r="GHX5" s="394" t="s">
        <v>89</v>
      </c>
      <c r="GHY5" s="394" t="s">
        <v>89</v>
      </c>
      <c r="GHZ5" s="394" t="s">
        <v>89</v>
      </c>
      <c r="GIA5" s="394" t="s">
        <v>89</v>
      </c>
      <c r="GIB5" s="394" t="s">
        <v>89</v>
      </c>
      <c r="GIC5" s="394" t="s">
        <v>89</v>
      </c>
      <c r="GID5" s="394" t="s">
        <v>89</v>
      </c>
      <c r="GIE5" s="394" t="s">
        <v>89</v>
      </c>
      <c r="GIF5" s="394" t="s">
        <v>89</v>
      </c>
      <c r="GIG5" s="394" t="s">
        <v>89</v>
      </c>
      <c r="GIH5" s="394" t="s">
        <v>89</v>
      </c>
      <c r="GII5" s="394" t="s">
        <v>89</v>
      </c>
      <c r="GIJ5" s="394" t="s">
        <v>89</v>
      </c>
      <c r="GIK5" s="394" t="s">
        <v>89</v>
      </c>
      <c r="GIL5" s="394" t="s">
        <v>89</v>
      </c>
      <c r="GIM5" s="394" t="s">
        <v>89</v>
      </c>
      <c r="GIN5" s="394" t="s">
        <v>89</v>
      </c>
      <c r="GIO5" s="394" t="s">
        <v>89</v>
      </c>
      <c r="GIP5" s="394" t="s">
        <v>89</v>
      </c>
      <c r="GIQ5" s="394" t="s">
        <v>89</v>
      </c>
      <c r="GIR5" s="394" t="s">
        <v>89</v>
      </c>
      <c r="GIS5" s="394" t="s">
        <v>89</v>
      </c>
      <c r="GIT5" s="394" t="s">
        <v>89</v>
      </c>
      <c r="GIU5" s="394" t="s">
        <v>89</v>
      </c>
      <c r="GIV5" s="394" t="s">
        <v>89</v>
      </c>
      <c r="GIW5" s="394" t="s">
        <v>89</v>
      </c>
      <c r="GIX5" s="394" t="s">
        <v>89</v>
      </c>
      <c r="GIY5" s="394" t="s">
        <v>89</v>
      </c>
      <c r="GIZ5" s="394" t="s">
        <v>89</v>
      </c>
      <c r="GJA5" s="394" t="s">
        <v>89</v>
      </c>
      <c r="GJB5" s="394" t="s">
        <v>89</v>
      </c>
      <c r="GJC5" s="394" t="s">
        <v>89</v>
      </c>
      <c r="GJD5" s="394" t="s">
        <v>89</v>
      </c>
      <c r="GJE5" s="394" t="s">
        <v>89</v>
      </c>
      <c r="GJF5" s="394" t="s">
        <v>89</v>
      </c>
      <c r="GJG5" s="394" t="s">
        <v>89</v>
      </c>
      <c r="GJH5" s="394" t="s">
        <v>89</v>
      </c>
      <c r="GJI5" s="394" t="s">
        <v>89</v>
      </c>
      <c r="GJJ5" s="394" t="s">
        <v>89</v>
      </c>
      <c r="GJK5" s="394" t="s">
        <v>89</v>
      </c>
      <c r="GJL5" s="394" t="s">
        <v>89</v>
      </c>
      <c r="GJM5" s="394" t="s">
        <v>89</v>
      </c>
      <c r="GJN5" s="394" t="s">
        <v>89</v>
      </c>
      <c r="GJO5" s="394" t="s">
        <v>89</v>
      </c>
      <c r="GJP5" s="394" t="s">
        <v>89</v>
      </c>
      <c r="GJQ5" s="394" t="s">
        <v>89</v>
      </c>
      <c r="GJR5" s="394" t="s">
        <v>89</v>
      </c>
      <c r="GJS5" s="394" t="s">
        <v>89</v>
      </c>
      <c r="GJT5" s="394" t="s">
        <v>89</v>
      </c>
      <c r="GJU5" s="394" t="s">
        <v>89</v>
      </c>
      <c r="GJV5" s="394" t="s">
        <v>89</v>
      </c>
      <c r="GJW5" s="394" t="s">
        <v>89</v>
      </c>
      <c r="GJX5" s="394" t="s">
        <v>89</v>
      </c>
      <c r="GJY5" s="394" t="s">
        <v>89</v>
      </c>
      <c r="GJZ5" s="394" t="s">
        <v>89</v>
      </c>
      <c r="GKA5" s="394" t="s">
        <v>89</v>
      </c>
      <c r="GKB5" s="394" t="s">
        <v>89</v>
      </c>
      <c r="GKC5" s="394" t="s">
        <v>89</v>
      </c>
      <c r="GKD5" s="394" t="s">
        <v>89</v>
      </c>
      <c r="GKE5" s="394" t="s">
        <v>89</v>
      </c>
      <c r="GKF5" s="394" t="s">
        <v>89</v>
      </c>
      <c r="GKG5" s="394" t="s">
        <v>89</v>
      </c>
      <c r="GKH5" s="394" t="s">
        <v>89</v>
      </c>
      <c r="GKI5" s="394" t="s">
        <v>89</v>
      </c>
      <c r="GKJ5" s="394" t="s">
        <v>89</v>
      </c>
      <c r="GKK5" s="394" t="s">
        <v>89</v>
      </c>
      <c r="GKL5" s="394" t="s">
        <v>89</v>
      </c>
      <c r="GKM5" s="394" t="s">
        <v>89</v>
      </c>
      <c r="GKN5" s="394" t="s">
        <v>89</v>
      </c>
      <c r="GKO5" s="394" t="s">
        <v>89</v>
      </c>
      <c r="GKP5" s="394" t="s">
        <v>89</v>
      </c>
      <c r="GKQ5" s="394" t="s">
        <v>89</v>
      </c>
      <c r="GKR5" s="394" t="s">
        <v>89</v>
      </c>
      <c r="GKS5" s="394" t="s">
        <v>89</v>
      </c>
      <c r="GKT5" s="394" t="s">
        <v>89</v>
      </c>
      <c r="GKU5" s="394" t="s">
        <v>89</v>
      </c>
      <c r="GKV5" s="394" t="s">
        <v>89</v>
      </c>
      <c r="GKW5" s="394" t="s">
        <v>89</v>
      </c>
      <c r="GKX5" s="394" t="s">
        <v>89</v>
      </c>
      <c r="GKY5" s="394" t="s">
        <v>89</v>
      </c>
      <c r="GKZ5" s="394" t="s">
        <v>89</v>
      </c>
      <c r="GLA5" s="394" t="s">
        <v>89</v>
      </c>
      <c r="GLB5" s="394" t="s">
        <v>89</v>
      </c>
      <c r="GLC5" s="394" t="s">
        <v>89</v>
      </c>
      <c r="GLD5" s="394" t="s">
        <v>89</v>
      </c>
      <c r="GLE5" s="394" t="s">
        <v>89</v>
      </c>
      <c r="GLF5" s="394" t="s">
        <v>89</v>
      </c>
      <c r="GLG5" s="394" t="s">
        <v>89</v>
      </c>
      <c r="GLH5" s="394" t="s">
        <v>89</v>
      </c>
      <c r="GLI5" s="394" t="s">
        <v>89</v>
      </c>
      <c r="GLJ5" s="394" t="s">
        <v>89</v>
      </c>
      <c r="GLK5" s="394" t="s">
        <v>89</v>
      </c>
      <c r="GLL5" s="394" t="s">
        <v>89</v>
      </c>
      <c r="GLM5" s="394" t="s">
        <v>89</v>
      </c>
      <c r="GLN5" s="394" t="s">
        <v>89</v>
      </c>
      <c r="GLO5" s="394" t="s">
        <v>89</v>
      </c>
      <c r="GLP5" s="394" t="s">
        <v>89</v>
      </c>
      <c r="GLQ5" s="394" t="s">
        <v>89</v>
      </c>
      <c r="GLR5" s="394" t="s">
        <v>89</v>
      </c>
      <c r="GLS5" s="394" t="s">
        <v>89</v>
      </c>
      <c r="GLT5" s="394" t="s">
        <v>89</v>
      </c>
      <c r="GLU5" s="394" t="s">
        <v>89</v>
      </c>
      <c r="GLV5" s="394" t="s">
        <v>89</v>
      </c>
      <c r="GLW5" s="394" t="s">
        <v>89</v>
      </c>
      <c r="GLX5" s="394" t="s">
        <v>89</v>
      </c>
      <c r="GLY5" s="394" t="s">
        <v>89</v>
      </c>
      <c r="GLZ5" s="394" t="s">
        <v>89</v>
      </c>
      <c r="GMA5" s="394" t="s">
        <v>89</v>
      </c>
      <c r="GMB5" s="394" t="s">
        <v>89</v>
      </c>
      <c r="GMC5" s="394" t="s">
        <v>89</v>
      </c>
      <c r="GMD5" s="394" t="s">
        <v>89</v>
      </c>
      <c r="GME5" s="394" t="s">
        <v>89</v>
      </c>
      <c r="GMF5" s="394" t="s">
        <v>89</v>
      </c>
      <c r="GMG5" s="394" t="s">
        <v>89</v>
      </c>
      <c r="GMH5" s="394" t="s">
        <v>89</v>
      </c>
      <c r="GMI5" s="394" t="s">
        <v>89</v>
      </c>
      <c r="GMJ5" s="394" t="s">
        <v>89</v>
      </c>
      <c r="GMK5" s="394" t="s">
        <v>89</v>
      </c>
      <c r="GML5" s="394" t="s">
        <v>89</v>
      </c>
      <c r="GMM5" s="394" t="s">
        <v>89</v>
      </c>
      <c r="GMN5" s="394" t="s">
        <v>89</v>
      </c>
      <c r="GMO5" s="394" t="s">
        <v>89</v>
      </c>
      <c r="GMP5" s="394" t="s">
        <v>89</v>
      </c>
      <c r="GMQ5" s="394" t="s">
        <v>89</v>
      </c>
      <c r="GMR5" s="394" t="s">
        <v>89</v>
      </c>
      <c r="GMS5" s="394" t="s">
        <v>89</v>
      </c>
      <c r="GMT5" s="394" t="s">
        <v>89</v>
      </c>
      <c r="GMU5" s="394" t="s">
        <v>89</v>
      </c>
      <c r="GMV5" s="394" t="s">
        <v>89</v>
      </c>
      <c r="GMW5" s="394" t="s">
        <v>89</v>
      </c>
      <c r="GMX5" s="394" t="s">
        <v>89</v>
      </c>
      <c r="GMY5" s="394" t="s">
        <v>89</v>
      </c>
      <c r="GMZ5" s="394" t="s">
        <v>89</v>
      </c>
      <c r="GNA5" s="394" t="s">
        <v>89</v>
      </c>
      <c r="GNB5" s="394" t="s">
        <v>89</v>
      </c>
      <c r="GNC5" s="394" t="s">
        <v>89</v>
      </c>
      <c r="GND5" s="394" t="s">
        <v>89</v>
      </c>
      <c r="GNE5" s="394" t="s">
        <v>89</v>
      </c>
      <c r="GNF5" s="394" t="s">
        <v>89</v>
      </c>
      <c r="GNG5" s="394" t="s">
        <v>89</v>
      </c>
      <c r="GNH5" s="394" t="s">
        <v>89</v>
      </c>
      <c r="GNI5" s="394" t="s">
        <v>89</v>
      </c>
      <c r="GNJ5" s="394" t="s">
        <v>89</v>
      </c>
      <c r="GNK5" s="394" t="s">
        <v>89</v>
      </c>
      <c r="GNL5" s="394" t="s">
        <v>89</v>
      </c>
      <c r="GNM5" s="394" t="s">
        <v>89</v>
      </c>
      <c r="GNN5" s="394" t="s">
        <v>89</v>
      </c>
      <c r="GNO5" s="394" t="s">
        <v>89</v>
      </c>
      <c r="GNP5" s="394" t="s">
        <v>89</v>
      </c>
      <c r="GNQ5" s="394" t="s">
        <v>89</v>
      </c>
      <c r="GNR5" s="394" t="s">
        <v>89</v>
      </c>
      <c r="GNS5" s="394" t="s">
        <v>89</v>
      </c>
      <c r="GNT5" s="394" t="s">
        <v>89</v>
      </c>
      <c r="GNU5" s="394" t="s">
        <v>89</v>
      </c>
      <c r="GNV5" s="394" t="s">
        <v>89</v>
      </c>
      <c r="GNW5" s="394" t="s">
        <v>89</v>
      </c>
      <c r="GNX5" s="394" t="s">
        <v>89</v>
      </c>
      <c r="GNY5" s="394" t="s">
        <v>89</v>
      </c>
      <c r="GNZ5" s="394" t="s">
        <v>89</v>
      </c>
      <c r="GOA5" s="394" t="s">
        <v>89</v>
      </c>
      <c r="GOB5" s="394" t="s">
        <v>89</v>
      </c>
      <c r="GOC5" s="394" t="s">
        <v>89</v>
      </c>
      <c r="GOD5" s="394" t="s">
        <v>89</v>
      </c>
      <c r="GOE5" s="394" t="s">
        <v>89</v>
      </c>
      <c r="GOF5" s="394" t="s">
        <v>89</v>
      </c>
      <c r="GOG5" s="394" t="s">
        <v>89</v>
      </c>
      <c r="GOH5" s="394" t="s">
        <v>89</v>
      </c>
      <c r="GOI5" s="394" t="s">
        <v>89</v>
      </c>
      <c r="GOJ5" s="394" t="s">
        <v>89</v>
      </c>
      <c r="GOK5" s="394" t="s">
        <v>89</v>
      </c>
      <c r="GOL5" s="394" t="s">
        <v>89</v>
      </c>
      <c r="GOM5" s="394" t="s">
        <v>89</v>
      </c>
      <c r="GON5" s="394" t="s">
        <v>89</v>
      </c>
      <c r="GOO5" s="394" t="s">
        <v>89</v>
      </c>
      <c r="GOP5" s="394" t="s">
        <v>89</v>
      </c>
      <c r="GOQ5" s="394" t="s">
        <v>89</v>
      </c>
      <c r="GOR5" s="394" t="s">
        <v>89</v>
      </c>
      <c r="GOS5" s="394" t="s">
        <v>89</v>
      </c>
      <c r="GOT5" s="394" t="s">
        <v>89</v>
      </c>
      <c r="GOU5" s="394" t="s">
        <v>89</v>
      </c>
      <c r="GOV5" s="394" t="s">
        <v>89</v>
      </c>
      <c r="GOW5" s="394" t="s">
        <v>89</v>
      </c>
      <c r="GOX5" s="394" t="s">
        <v>89</v>
      </c>
      <c r="GOY5" s="394" t="s">
        <v>89</v>
      </c>
      <c r="GOZ5" s="394" t="s">
        <v>89</v>
      </c>
      <c r="GPA5" s="394" t="s">
        <v>89</v>
      </c>
      <c r="GPB5" s="394" t="s">
        <v>89</v>
      </c>
      <c r="GPC5" s="394" t="s">
        <v>89</v>
      </c>
      <c r="GPD5" s="394" t="s">
        <v>89</v>
      </c>
      <c r="GPE5" s="394" t="s">
        <v>89</v>
      </c>
      <c r="GPF5" s="394" t="s">
        <v>89</v>
      </c>
      <c r="GPG5" s="394" t="s">
        <v>89</v>
      </c>
      <c r="GPH5" s="394" t="s">
        <v>89</v>
      </c>
      <c r="GPI5" s="394" t="s">
        <v>89</v>
      </c>
      <c r="GPJ5" s="394" t="s">
        <v>89</v>
      </c>
      <c r="GPK5" s="394" t="s">
        <v>89</v>
      </c>
      <c r="GPL5" s="394" t="s">
        <v>89</v>
      </c>
      <c r="GPM5" s="394" t="s">
        <v>89</v>
      </c>
      <c r="GPN5" s="394" t="s">
        <v>89</v>
      </c>
      <c r="GPO5" s="394" t="s">
        <v>89</v>
      </c>
      <c r="GPP5" s="394" t="s">
        <v>89</v>
      </c>
      <c r="GPQ5" s="394" t="s">
        <v>89</v>
      </c>
      <c r="GPR5" s="394" t="s">
        <v>89</v>
      </c>
      <c r="GPS5" s="394" t="s">
        <v>89</v>
      </c>
      <c r="GPT5" s="394" t="s">
        <v>89</v>
      </c>
      <c r="GPU5" s="394" t="s">
        <v>89</v>
      </c>
      <c r="GPV5" s="394" t="s">
        <v>89</v>
      </c>
      <c r="GPW5" s="394" t="s">
        <v>89</v>
      </c>
      <c r="GPX5" s="394" t="s">
        <v>89</v>
      </c>
      <c r="GPY5" s="394" t="s">
        <v>89</v>
      </c>
      <c r="GPZ5" s="394" t="s">
        <v>89</v>
      </c>
      <c r="GQA5" s="394" t="s">
        <v>89</v>
      </c>
      <c r="GQB5" s="394" t="s">
        <v>89</v>
      </c>
      <c r="GQC5" s="394" t="s">
        <v>89</v>
      </c>
      <c r="GQD5" s="394" t="s">
        <v>89</v>
      </c>
      <c r="GQE5" s="394" t="s">
        <v>89</v>
      </c>
      <c r="GQF5" s="394" t="s">
        <v>89</v>
      </c>
      <c r="GQG5" s="394" t="s">
        <v>89</v>
      </c>
      <c r="GQH5" s="394" t="s">
        <v>89</v>
      </c>
      <c r="GQI5" s="394" t="s">
        <v>89</v>
      </c>
      <c r="GQJ5" s="394" t="s">
        <v>89</v>
      </c>
      <c r="GQK5" s="394" t="s">
        <v>89</v>
      </c>
      <c r="GQL5" s="394" t="s">
        <v>89</v>
      </c>
      <c r="GQM5" s="394" t="s">
        <v>89</v>
      </c>
      <c r="GQN5" s="394" t="s">
        <v>89</v>
      </c>
      <c r="GQO5" s="394" t="s">
        <v>89</v>
      </c>
      <c r="GQP5" s="394" t="s">
        <v>89</v>
      </c>
      <c r="GQQ5" s="394" t="s">
        <v>89</v>
      </c>
      <c r="GQR5" s="394" t="s">
        <v>89</v>
      </c>
      <c r="GQS5" s="394" t="s">
        <v>89</v>
      </c>
      <c r="GQT5" s="394" t="s">
        <v>89</v>
      </c>
      <c r="GQU5" s="394" t="s">
        <v>89</v>
      </c>
      <c r="GQV5" s="394" t="s">
        <v>89</v>
      </c>
      <c r="GQW5" s="394" t="s">
        <v>89</v>
      </c>
      <c r="GQX5" s="394" t="s">
        <v>89</v>
      </c>
      <c r="GQY5" s="394" t="s">
        <v>89</v>
      </c>
      <c r="GQZ5" s="394" t="s">
        <v>89</v>
      </c>
      <c r="GRA5" s="394" t="s">
        <v>89</v>
      </c>
      <c r="GRB5" s="394" t="s">
        <v>89</v>
      </c>
      <c r="GRC5" s="394" t="s">
        <v>89</v>
      </c>
      <c r="GRD5" s="394" t="s">
        <v>89</v>
      </c>
      <c r="GRE5" s="394" t="s">
        <v>89</v>
      </c>
      <c r="GRF5" s="394" t="s">
        <v>89</v>
      </c>
      <c r="GRG5" s="394" t="s">
        <v>89</v>
      </c>
      <c r="GRH5" s="394" t="s">
        <v>89</v>
      </c>
      <c r="GRI5" s="394" t="s">
        <v>89</v>
      </c>
      <c r="GRJ5" s="394" t="s">
        <v>89</v>
      </c>
      <c r="GRK5" s="394" t="s">
        <v>89</v>
      </c>
      <c r="GRL5" s="394" t="s">
        <v>89</v>
      </c>
      <c r="GRM5" s="394" t="s">
        <v>89</v>
      </c>
      <c r="GRN5" s="394" t="s">
        <v>89</v>
      </c>
      <c r="GRO5" s="394" t="s">
        <v>89</v>
      </c>
      <c r="GRP5" s="394" t="s">
        <v>89</v>
      </c>
      <c r="GRQ5" s="394" t="s">
        <v>89</v>
      </c>
      <c r="GRR5" s="394" t="s">
        <v>89</v>
      </c>
      <c r="GRS5" s="394" t="s">
        <v>89</v>
      </c>
      <c r="GRT5" s="394" t="s">
        <v>89</v>
      </c>
      <c r="GRU5" s="394" t="s">
        <v>89</v>
      </c>
      <c r="GRV5" s="394" t="s">
        <v>89</v>
      </c>
      <c r="GRW5" s="394" t="s">
        <v>89</v>
      </c>
      <c r="GRX5" s="394" t="s">
        <v>89</v>
      </c>
      <c r="GRY5" s="394" t="s">
        <v>89</v>
      </c>
      <c r="GRZ5" s="394" t="s">
        <v>89</v>
      </c>
      <c r="GSA5" s="394" t="s">
        <v>89</v>
      </c>
      <c r="GSB5" s="394" t="s">
        <v>89</v>
      </c>
      <c r="GSC5" s="394" t="s">
        <v>89</v>
      </c>
      <c r="GSD5" s="394" t="s">
        <v>89</v>
      </c>
      <c r="GSE5" s="394" t="s">
        <v>89</v>
      </c>
      <c r="GSF5" s="394" t="s">
        <v>89</v>
      </c>
      <c r="GSG5" s="394" t="s">
        <v>89</v>
      </c>
      <c r="GSH5" s="394" t="s">
        <v>89</v>
      </c>
      <c r="GSI5" s="394" t="s">
        <v>89</v>
      </c>
      <c r="GSJ5" s="394" t="s">
        <v>89</v>
      </c>
      <c r="GSK5" s="394" t="s">
        <v>89</v>
      </c>
      <c r="GSL5" s="394" t="s">
        <v>89</v>
      </c>
      <c r="GSM5" s="394" t="s">
        <v>89</v>
      </c>
      <c r="GSN5" s="394" t="s">
        <v>89</v>
      </c>
      <c r="GSO5" s="394" t="s">
        <v>89</v>
      </c>
      <c r="GSP5" s="394" t="s">
        <v>89</v>
      </c>
      <c r="GSQ5" s="394" t="s">
        <v>89</v>
      </c>
      <c r="GSR5" s="394" t="s">
        <v>89</v>
      </c>
      <c r="GSS5" s="394" t="s">
        <v>89</v>
      </c>
      <c r="GST5" s="394" t="s">
        <v>89</v>
      </c>
      <c r="GSU5" s="394" t="s">
        <v>89</v>
      </c>
      <c r="GSV5" s="394" t="s">
        <v>89</v>
      </c>
      <c r="GSW5" s="394" t="s">
        <v>89</v>
      </c>
      <c r="GSX5" s="394" t="s">
        <v>89</v>
      </c>
      <c r="GSY5" s="394" t="s">
        <v>89</v>
      </c>
      <c r="GSZ5" s="394" t="s">
        <v>89</v>
      </c>
      <c r="GTA5" s="394" t="s">
        <v>89</v>
      </c>
      <c r="GTB5" s="394" t="s">
        <v>89</v>
      </c>
      <c r="GTC5" s="394" t="s">
        <v>89</v>
      </c>
      <c r="GTD5" s="394" t="s">
        <v>89</v>
      </c>
      <c r="GTE5" s="394" t="s">
        <v>89</v>
      </c>
      <c r="GTF5" s="394" t="s">
        <v>89</v>
      </c>
      <c r="GTG5" s="394" t="s">
        <v>89</v>
      </c>
      <c r="GTH5" s="394" t="s">
        <v>89</v>
      </c>
      <c r="GTI5" s="394" t="s">
        <v>89</v>
      </c>
      <c r="GTJ5" s="394" t="s">
        <v>89</v>
      </c>
      <c r="GTK5" s="394" t="s">
        <v>89</v>
      </c>
      <c r="GTL5" s="394" t="s">
        <v>89</v>
      </c>
      <c r="GTM5" s="394" t="s">
        <v>89</v>
      </c>
      <c r="GTN5" s="394" t="s">
        <v>89</v>
      </c>
      <c r="GTO5" s="394" t="s">
        <v>89</v>
      </c>
      <c r="GTP5" s="394" t="s">
        <v>89</v>
      </c>
      <c r="GTQ5" s="394" t="s">
        <v>89</v>
      </c>
      <c r="GTR5" s="394" t="s">
        <v>89</v>
      </c>
      <c r="GTS5" s="394" t="s">
        <v>89</v>
      </c>
      <c r="GTT5" s="394" t="s">
        <v>89</v>
      </c>
      <c r="GTU5" s="394" t="s">
        <v>89</v>
      </c>
      <c r="GTV5" s="394" t="s">
        <v>89</v>
      </c>
      <c r="GTW5" s="394" t="s">
        <v>89</v>
      </c>
      <c r="GTX5" s="394" t="s">
        <v>89</v>
      </c>
      <c r="GTY5" s="394" t="s">
        <v>89</v>
      </c>
      <c r="GTZ5" s="394" t="s">
        <v>89</v>
      </c>
      <c r="GUA5" s="394" t="s">
        <v>89</v>
      </c>
      <c r="GUB5" s="394" t="s">
        <v>89</v>
      </c>
      <c r="GUC5" s="394" t="s">
        <v>89</v>
      </c>
      <c r="GUD5" s="394" t="s">
        <v>89</v>
      </c>
      <c r="GUE5" s="394" t="s">
        <v>89</v>
      </c>
      <c r="GUF5" s="394" t="s">
        <v>89</v>
      </c>
      <c r="GUG5" s="394" t="s">
        <v>89</v>
      </c>
      <c r="GUH5" s="394" t="s">
        <v>89</v>
      </c>
      <c r="GUI5" s="394" t="s">
        <v>89</v>
      </c>
      <c r="GUJ5" s="394" t="s">
        <v>89</v>
      </c>
      <c r="GUK5" s="394" t="s">
        <v>89</v>
      </c>
      <c r="GUL5" s="394" t="s">
        <v>89</v>
      </c>
      <c r="GUM5" s="394" t="s">
        <v>89</v>
      </c>
      <c r="GUN5" s="394" t="s">
        <v>89</v>
      </c>
      <c r="GUO5" s="394" t="s">
        <v>89</v>
      </c>
      <c r="GUP5" s="394" t="s">
        <v>89</v>
      </c>
      <c r="GUQ5" s="394" t="s">
        <v>89</v>
      </c>
      <c r="GUR5" s="394" t="s">
        <v>89</v>
      </c>
      <c r="GUS5" s="394" t="s">
        <v>89</v>
      </c>
      <c r="GUT5" s="394" t="s">
        <v>89</v>
      </c>
      <c r="GUU5" s="394" t="s">
        <v>89</v>
      </c>
      <c r="GUV5" s="394" t="s">
        <v>89</v>
      </c>
      <c r="GUW5" s="394" t="s">
        <v>89</v>
      </c>
      <c r="GUX5" s="394" t="s">
        <v>89</v>
      </c>
      <c r="GUY5" s="394" t="s">
        <v>89</v>
      </c>
      <c r="GUZ5" s="394" t="s">
        <v>89</v>
      </c>
      <c r="GVA5" s="394" t="s">
        <v>89</v>
      </c>
      <c r="GVB5" s="394" t="s">
        <v>89</v>
      </c>
      <c r="GVC5" s="394" t="s">
        <v>89</v>
      </c>
      <c r="GVD5" s="394" t="s">
        <v>89</v>
      </c>
      <c r="GVE5" s="394" t="s">
        <v>89</v>
      </c>
      <c r="GVF5" s="394" t="s">
        <v>89</v>
      </c>
      <c r="GVG5" s="394" t="s">
        <v>89</v>
      </c>
      <c r="GVH5" s="394" t="s">
        <v>89</v>
      </c>
      <c r="GVI5" s="394" t="s">
        <v>89</v>
      </c>
      <c r="GVJ5" s="394" t="s">
        <v>89</v>
      </c>
      <c r="GVK5" s="394" t="s">
        <v>89</v>
      </c>
      <c r="GVL5" s="394" t="s">
        <v>89</v>
      </c>
      <c r="GVM5" s="394" t="s">
        <v>89</v>
      </c>
      <c r="GVN5" s="394" t="s">
        <v>89</v>
      </c>
      <c r="GVO5" s="394" t="s">
        <v>89</v>
      </c>
      <c r="GVP5" s="394" t="s">
        <v>89</v>
      </c>
      <c r="GVQ5" s="394" t="s">
        <v>89</v>
      </c>
      <c r="GVR5" s="394" t="s">
        <v>89</v>
      </c>
      <c r="GVS5" s="394" t="s">
        <v>89</v>
      </c>
      <c r="GVT5" s="394" t="s">
        <v>89</v>
      </c>
      <c r="GVU5" s="394" t="s">
        <v>89</v>
      </c>
      <c r="GVV5" s="394" t="s">
        <v>89</v>
      </c>
      <c r="GVW5" s="394" t="s">
        <v>89</v>
      </c>
      <c r="GVX5" s="394" t="s">
        <v>89</v>
      </c>
      <c r="GVY5" s="394" t="s">
        <v>89</v>
      </c>
      <c r="GVZ5" s="394" t="s">
        <v>89</v>
      </c>
      <c r="GWA5" s="394" t="s">
        <v>89</v>
      </c>
      <c r="GWB5" s="394" t="s">
        <v>89</v>
      </c>
      <c r="GWC5" s="394" t="s">
        <v>89</v>
      </c>
      <c r="GWD5" s="394" t="s">
        <v>89</v>
      </c>
      <c r="GWE5" s="394" t="s">
        <v>89</v>
      </c>
      <c r="GWF5" s="394" t="s">
        <v>89</v>
      </c>
      <c r="GWG5" s="394" t="s">
        <v>89</v>
      </c>
      <c r="GWH5" s="394" t="s">
        <v>89</v>
      </c>
      <c r="GWI5" s="394" t="s">
        <v>89</v>
      </c>
      <c r="GWJ5" s="394" t="s">
        <v>89</v>
      </c>
      <c r="GWK5" s="394" t="s">
        <v>89</v>
      </c>
      <c r="GWL5" s="394" t="s">
        <v>89</v>
      </c>
      <c r="GWM5" s="394" t="s">
        <v>89</v>
      </c>
      <c r="GWN5" s="394" t="s">
        <v>89</v>
      </c>
      <c r="GWO5" s="394" t="s">
        <v>89</v>
      </c>
      <c r="GWP5" s="394" t="s">
        <v>89</v>
      </c>
      <c r="GWQ5" s="394" t="s">
        <v>89</v>
      </c>
      <c r="GWR5" s="394" t="s">
        <v>89</v>
      </c>
      <c r="GWS5" s="394" t="s">
        <v>89</v>
      </c>
      <c r="GWT5" s="394" t="s">
        <v>89</v>
      </c>
      <c r="GWU5" s="394" t="s">
        <v>89</v>
      </c>
      <c r="GWV5" s="394" t="s">
        <v>89</v>
      </c>
      <c r="GWW5" s="394" t="s">
        <v>89</v>
      </c>
      <c r="GWX5" s="394" t="s">
        <v>89</v>
      </c>
      <c r="GWY5" s="394" t="s">
        <v>89</v>
      </c>
      <c r="GWZ5" s="394" t="s">
        <v>89</v>
      </c>
      <c r="GXA5" s="394" t="s">
        <v>89</v>
      </c>
      <c r="GXB5" s="394" t="s">
        <v>89</v>
      </c>
      <c r="GXC5" s="394" t="s">
        <v>89</v>
      </c>
      <c r="GXD5" s="394" t="s">
        <v>89</v>
      </c>
      <c r="GXE5" s="394" t="s">
        <v>89</v>
      </c>
      <c r="GXF5" s="394" t="s">
        <v>89</v>
      </c>
      <c r="GXG5" s="394" t="s">
        <v>89</v>
      </c>
      <c r="GXH5" s="394" t="s">
        <v>89</v>
      </c>
      <c r="GXI5" s="394" t="s">
        <v>89</v>
      </c>
      <c r="GXJ5" s="394" t="s">
        <v>89</v>
      </c>
      <c r="GXK5" s="394" t="s">
        <v>89</v>
      </c>
      <c r="GXL5" s="394" t="s">
        <v>89</v>
      </c>
      <c r="GXM5" s="394" t="s">
        <v>89</v>
      </c>
      <c r="GXN5" s="394" t="s">
        <v>89</v>
      </c>
      <c r="GXO5" s="394" t="s">
        <v>89</v>
      </c>
      <c r="GXP5" s="394" t="s">
        <v>89</v>
      </c>
      <c r="GXQ5" s="394" t="s">
        <v>89</v>
      </c>
      <c r="GXR5" s="394" t="s">
        <v>89</v>
      </c>
      <c r="GXS5" s="394" t="s">
        <v>89</v>
      </c>
      <c r="GXT5" s="394" t="s">
        <v>89</v>
      </c>
      <c r="GXU5" s="394" t="s">
        <v>89</v>
      </c>
      <c r="GXV5" s="394" t="s">
        <v>89</v>
      </c>
      <c r="GXW5" s="394" t="s">
        <v>89</v>
      </c>
      <c r="GXX5" s="394" t="s">
        <v>89</v>
      </c>
      <c r="GXY5" s="394" t="s">
        <v>89</v>
      </c>
      <c r="GXZ5" s="394" t="s">
        <v>89</v>
      </c>
      <c r="GYA5" s="394" t="s">
        <v>89</v>
      </c>
      <c r="GYB5" s="394" t="s">
        <v>89</v>
      </c>
      <c r="GYC5" s="394" t="s">
        <v>89</v>
      </c>
      <c r="GYD5" s="394" t="s">
        <v>89</v>
      </c>
      <c r="GYE5" s="394" t="s">
        <v>89</v>
      </c>
      <c r="GYF5" s="394" t="s">
        <v>89</v>
      </c>
      <c r="GYG5" s="394" t="s">
        <v>89</v>
      </c>
      <c r="GYH5" s="394" t="s">
        <v>89</v>
      </c>
      <c r="GYI5" s="394" t="s">
        <v>89</v>
      </c>
      <c r="GYJ5" s="394" t="s">
        <v>89</v>
      </c>
      <c r="GYK5" s="394" t="s">
        <v>89</v>
      </c>
      <c r="GYL5" s="394" t="s">
        <v>89</v>
      </c>
      <c r="GYM5" s="394" t="s">
        <v>89</v>
      </c>
      <c r="GYN5" s="394" t="s">
        <v>89</v>
      </c>
      <c r="GYO5" s="394" t="s">
        <v>89</v>
      </c>
      <c r="GYP5" s="394" t="s">
        <v>89</v>
      </c>
      <c r="GYQ5" s="394" t="s">
        <v>89</v>
      </c>
      <c r="GYR5" s="394" t="s">
        <v>89</v>
      </c>
      <c r="GYS5" s="394" t="s">
        <v>89</v>
      </c>
      <c r="GYT5" s="394" t="s">
        <v>89</v>
      </c>
      <c r="GYU5" s="394" t="s">
        <v>89</v>
      </c>
      <c r="GYV5" s="394" t="s">
        <v>89</v>
      </c>
      <c r="GYW5" s="394" t="s">
        <v>89</v>
      </c>
      <c r="GYX5" s="394" t="s">
        <v>89</v>
      </c>
      <c r="GYY5" s="394" t="s">
        <v>89</v>
      </c>
      <c r="GYZ5" s="394" t="s">
        <v>89</v>
      </c>
      <c r="GZA5" s="394" t="s">
        <v>89</v>
      </c>
      <c r="GZB5" s="394" t="s">
        <v>89</v>
      </c>
      <c r="GZC5" s="394" t="s">
        <v>89</v>
      </c>
      <c r="GZD5" s="394" t="s">
        <v>89</v>
      </c>
      <c r="GZE5" s="394" t="s">
        <v>89</v>
      </c>
      <c r="GZF5" s="394" t="s">
        <v>89</v>
      </c>
      <c r="GZG5" s="394" t="s">
        <v>89</v>
      </c>
      <c r="GZH5" s="394" t="s">
        <v>89</v>
      </c>
      <c r="GZI5" s="394" t="s">
        <v>89</v>
      </c>
      <c r="GZJ5" s="394" t="s">
        <v>89</v>
      </c>
      <c r="GZK5" s="394" t="s">
        <v>89</v>
      </c>
      <c r="GZL5" s="394" t="s">
        <v>89</v>
      </c>
      <c r="GZM5" s="394" t="s">
        <v>89</v>
      </c>
      <c r="GZN5" s="394" t="s">
        <v>89</v>
      </c>
      <c r="GZO5" s="394" t="s">
        <v>89</v>
      </c>
      <c r="GZP5" s="394" t="s">
        <v>89</v>
      </c>
      <c r="GZQ5" s="394" t="s">
        <v>89</v>
      </c>
      <c r="GZR5" s="394" t="s">
        <v>89</v>
      </c>
      <c r="GZS5" s="394" t="s">
        <v>89</v>
      </c>
      <c r="GZT5" s="394" t="s">
        <v>89</v>
      </c>
      <c r="GZU5" s="394" t="s">
        <v>89</v>
      </c>
      <c r="GZV5" s="394" t="s">
        <v>89</v>
      </c>
      <c r="GZW5" s="394" t="s">
        <v>89</v>
      </c>
      <c r="GZX5" s="394" t="s">
        <v>89</v>
      </c>
      <c r="GZY5" s="394" t="s">
        <v>89</v>
      </c>
      <c r="GZZ5" s="394" t="s">
        <v>89</v>
      </c>
      <c r="HAA5" s="394" t="s">
        <v>89</v>
      </c>
      <c r="HAB5" s="394" t="s">
        <v>89</v>
      </c>
      <c r="HAC5" s="394" t="s">
        <v>89</v>
      </c>
      <c r="HAD5" s="394" t="s">
        <v>89</v>
      </c>
      <c r="HAE5" s="394" t="s">
        <v>89</v>
      </c>
      <c r="HAF5" s="394" t="s">
        <v>89</v>
      </c>
      <c r="HAG5" s="394" t="s">
        <v>89</v>
      </c>
      <c r="HAH5" s="394" t="s">
        <v>89</v>
      </c>
      <c r="HAI5" s="394" t="s">
        <v>89</v>
      </c>
      <c r="HAJ5" s="394" t="s">
        <v>89</v>
      </c>
      <c r="HAK5" s="394" t="s">
        <v>89</v>
      </c>
      <c r="HAL5" s="394" t="s">
        <v>89</v>
      </c>
      <c r="HAM5" s="394" t="s">
        <v>89</v>
      </c>
      <c r="HAN5" s="394" t="s">
        <v>89</v>
      </c>
      <c r="HAO5" s="394" t="s">
        <v>89</v>
      </c>
      <c r="HAP5" s="394" t="s">
        <v>89</v>
      </c>
      <c r="HAQ5" s="394" t="s">
        <v>89</v>
      </c>
      <c r="HAR5" s="394" t="s">
        <v>89</v>
      </c>
      <c r="HAS5" s="394" t="s">
        <v>89</v>
      </c>
      <c r="HAT5" s="394" t="s">
        <v>89</v>
      </c>
      <c r="HAU5" s="394" t="s">
        <v>89</v>
      </c>
      <c r="HAV5" s="394" t="s">
        <v>89</v>
      </c>
      <c r="HAW5" s="394" t="s">
        <v>89</v>
      </c>
      <c r="HAX5" s="394" t="s">
        <v>89</v>
      </c>
      <c r="HAY5" s="394" t="s">
        <v>89</v>
      </c>
      <c r="HAZ5" s="394" t="s">
        <v>89</v>
      </c>
      <c r="HBA5" s="394" t="s">
        <v>89</v>
      </c>
      <c r="HBB5" s="394" t="s">
        <v>89</v>
      </c>
      <c r="HBC5" s="394" t="s">
        <v>89</v>
      </c>
      <c r="HBD5" s="394" t="s">
        <v>89</v>
      </c>
      <c r="HBE5" s="394" t="s">
        <v>89</v>
      </c>
      <c r="HBF5" s="394" t="s">
        <v>89</v>
      </c>
      <c r="HBG5" s="394" t="s">
        <v>89</v>
      </c>
      <c r="HBH5" s="394" t="s">
        <v>89</v>
      </c>
      <c r="HBI5" s="394" t="s">
        <v>89</v>
      </c>
      <c r="HBJ5" s="394" t="s">
        <v>89</v>
      </c>
      <c r="HBK5" s="394" t="s">
        <v>89</v>
      </c>
      <c r="HBL5" s="394" t="s">
        <v>89</v>
      </c>
      <c r="HBM5" s="394" t="s">
        <v>89</v>
      </c>
      <c r="HBN5" s="394" t="s">
        <v>89</v>
      </c>
      <c r="HBO5" s="394" t="s">
        <v>89</v>
      </c>
      <c r="HBP5" s="394" t="s">
        <v>89</v>
      </c>
      <c r="HBQ5" s="394" t="s">
        <v>89</v>
      </c>
      <c r="HBR5" s="394" t="s">
        <v>89</v>
      </c>
      <c r="HBS5" s="394" t="s">
        <v>89</v>
      </c>
      <c r="HBT5" s="394" t="s">
        <v>89</v>
      </c>
      <c r="HBU5" s="394" t="s">
        <v>89</v>
      </c>
      <c r="HBV5" s="394" t="s">
        <v>89</v>
      </c>
      <c r="HBW5" s="394" t="s">
        <v>89</v>
      </c>
      <c r="HBX5" s="394" t="s">
        <v>89</v>
      </c>
      <c r="HBY5" s="394" t="s">
        <v>89</v>
      </c>
      <c r="HBZ5" s="394" t="s">
        <v>89</v>
      </c>
      <c r="HCA5" s="394" t="s">
        <v>89</v>
      </c>
      <c r="HCB5" s="394" t="s">
        <v>89</v>
      </c>
      <c r="HCC5" s="394" t="s">
        <v>89</v>
      </c>
      <c r="HCD5" s="394" t="s">
        <v>89</v>
      </c>
      <c r="HCE5" s="394" t="s">
        <v>89</v>
      </c>
      <c r="HCF5" s="394" t="s">
        <v>89</v>
      </c>
      <c r="HCG5" s="394" t="s">
        <v>89</v>
      </c>
      <c r="HCH5" s="394" t="s">
        <v>89</v>
      </c>
      <c r="HCI5" s="394" t="s">
        <v>89</v>
      </c>
      <c r="HCJ5" s="394" t="s">
        <v>89</v>
      </c>
      <c r="HCK5" s="394" t="s">
        <v>89</v>
      </c>
      <c r="HCL5" s="394" t="s">
        <v>89</v>
      </c>
      <c r="HCM5" s="394" t="s">
        <v>89</v>
      </c>
      <c r="HCN5" s="394" t="s">
        <v>89</v>
      </c>
      <c r="HCO5" s="394" t="s">
        <v>89</v>
      </c>
      <c r="HCP5" s="394" t="s">
        <v>89</v>
      </c>
      <c r="HCQ5" s="394" t="s">
        <v>89</v>
      </c>
      <c r="HCR5" s="394" t="s">
        <v>89</v>
      </c>
      <c r="HCS5" s="394" t="s">
        <v>89</v>
      </c>
      <c r="HCT5" s="394" t="s">
        <v>89</v>
      </c>
      <c r="HCU5" s="394" t="s">
        <v>89</v>
      </c>
      <c r="HCV5" s="394" t="s">
        <v>89</v>
      </c>
      <c r="HCW5" s="394" t="s">
        <v>89</v>
      </c>
      <c r="HCX5" s="394" t="s">
        <v>89</v>
      </c>
      <c r="HCY5" s="394" t="s">
        <v>89</v>
      </c>
      <c r="HCZ5" s="394" t="s">
        <v>89</v>
      </c>
      <c r="HDA5" s="394" t="s">
        <v>89</v>
      </c>
      <c r="HDB5" s="394" t="s">
        <v>89</v>
      </c>
      <c r="HDC5" s="394" t="s">
        <v>89</v>
      </c>
      <c r="HDD5" s="394" t="s">
        <v>89</v>
      </c>
      <c r="HDE5" s="394" t="s">
        <v>89</v>
      </c>
      <c r="HDF5" s="394" t="s">
        <v>89</v>
      </c>
      <c r="HDG5" s="394" t="s">
        <v>89</v>
      </c>
      <c r="HDH5" s="394" t="s">
        <v>89</v>
      </c>
      <c r="HDI5" s="394" t="s">
        <v>89</v>
      </c>
      <c r="HDJ5" s="394" t="s">
        <v>89</v>
      </c>
      <c r="HDK5" s="394" t="s">
        <v>89</v>
      </c>
      <c r="HDL5" s="394" t="s">
        <v>89</v>
      </c>
      <c r="HDM5" s="394" t="s">
        <v>89</v>
      </c>
      <c r="HDN5" s="394" t="s">
        <v>89</v>
      </c>
      <c r="HDO5" s="394" t="s">
        <v>89</v>
      </c>
      <c r="HDP5" s="394" t="s">
        <v>89</v>
      </c>
      <c r="HDQ5" s="394" t="s">
        <v>89</v>
      </c>
      <c r="HDR5" s="394" t="s">
        <v>89</v>
      </c>
      <c r="HDS5" s="394" t="s">
        <v>89</v>
      </c>
      <c r="HDT5" s="394" t="s">
        <v>89</v>
      </c>
      <c r="HDU5" s="394" t="s">
        <v>89</v>
      </c>
      <c r="HDV5" s="394" t="s">
        <v>89</v>
      </c>
      <c r="HDW5" s="394" t="s">
        <v>89</v>
      </c>
      <c r="HDX5" s="394" t="s">
        <v>89</v>
      </c>
      <c r="HDY5" s="394" t="s">
        <v>89</v>
      </c>
      <c r="HDZ5" s="394" t="s">
        <v>89</v>
      </c>
      <c r="HEA5" s="394" t="s">
        <v>89</v>
      </c>
      <c r="HEB5" s="394" t="s">
        <v>89</v>
      </c>
      <c r="HEC5" s="394" t="s">
        <v>89</v>
      </c>
      <c r="HED5" s="394" t="s">
        <v>89</v>
      </c>
      <c r="HEE5" s="394" t="s">
        <v>89</v>
      </c>
      <c r="HEF5" s="394" t="s">
        <v>89</v>
      </c>
      <c r="HEG5" s="394" t="s">
        <v>89</v>
      </c>
      <c r="HEH5" s="394" t="s">
        <v>89</v>
      </c>
      <c r="HEI5" s="394" t="s">
        <v>89</v>
      </c>
      <c r="HEJ5" s="394" t="s">
        <v>89</v>
      </c>
      <c r="HEK5" s="394" t="s">
        <v>89</v>
      </c>
      <c r="HEL5" s="394" t="s">
        <v>89</v>
      </c>
      <c r="HEM5" s="394" t="s">
        <v>89</v>
      </c>
      <c r="HEN5" s="394" t="s">
        <v>89</v>
      </c>
      <c r="HEO5" s="394" t="s">
        <v>89</v>
      </c>
      <c r="HEP5" s="394" t="s">
        <v>89</v>
      </c>
      <c r="HEQ5" s="394" t="s">
        <v>89</v>
      </c>
      <c r="HER5" s="394" t="s">
        <v>89</v>
      </c>
      <c r="HES5" s="394" t="s">
        <v>89</v>
      </c>
      <c r="HET5" s="394" t="s">
        <v>89</v>
      </c>
      <c r="HEU5" s="394" t="s">
        <v>89</v>
      </c>
      <c r="HEV5" s="394" t="s">
        <v>89</v>
      </c>
      <c r="HEW5" s="394" t="s">
        <v>89</v>
      </c>
      <c r="HEX5" s="394" t="s">
        <v>89</v>
      </c>
      <c r="HEY5" s="394" t="s">
        <v>89</v>
      </c>
      <c r="HEZ5" s="394" t="s">
        <v>89</v>
      </c>
      <c r="HFA5" s="394" t="s">
        <v>89</v>
      </c>
      <c r="HFB5" s="394" t="s">
        <v>89</v>
      </c>
      <c r="HFC5" s="394" t="s">
        <v>89</v>
      </c>
      <c r="HFD5" s="394" t="s">
        <v>89</v>
      </c>
      <c r="HFE5" s="394" t="s">
        <v>89</v>
      </c>
      <c r="HFF5" s="394" t="s">
        <v>89</v>
      </c>
      <c r="HFG5" s="394" t="s">
        <v>89</v>
      </c>
      <c r="HFH5" s="394" t="s">
        <v>89</v>
      </c>
      <c r="HFI5" s="394" t="s">
        <v>89</v>
      </c>
      <c r="HFJ5" s="394" t="s">
        <v>89</v>
      </c>
      <c r="HFK5" s="394" t="s">
        <v>89</v>
      </c>
      <c r="HFL5" s="394" t="s">
        <v>89</v>
      </c>
      <c r="HFM5" s="394" t="s">
        <v>89</v>
      </c>
      <c r="HFN5" s="394" t="s">
        <v>89</v>
      </c>
      <c r="HFO5" s="394" t="s">
        <v>89</v>
      </c>
      <c r="HFP5" s="394" t="s">
        <v>89</v>
      </c>
      <c r="HFQ5" s="394" t="s">
        <v>89</v>
      </c>
      <c r="HFR5" s="394" t="s">
        <v>89</v>
      </c>
      <c r="HFS5" s="394" t="s">
        <v>89</v>
      </c>
      <c r="HFT5" s="394" t="s">
        <v>89</v>
      </c>
      <c r="HFU5" s="394" t="s">
        <v>89</v>
      </c>
      <c r="HFV5" s="394" t="s">
        <v>89</v>
      </c>
      <c r="HFW5" s="394" t="s">
        <v>89</v>
      </c>
      <c r="HFX5" s="394" t="s">
        <v>89</v>
      </c>
      <c r="HFY5" s="394" t="s">
        <v>89</v>
      </c>
      <c r="HFZ5" s="394" t="s">
        <v>89</v>
      </c>
      <c r="HGA5" s="394" t="s">
        <v>89</v>
      </c>
      <c r="HGB5" s="394" t="s">
        <v>89</v>
      </c>
      <c r="HGC5" s="394" t="s">
        <v>89</v>
      </c>
      <c r="HGD5" s="394" t="s">
        <v>89</v>
      </c>
      <c r="HGE5" s="394" t="s">
        <v>89</v>
      </c>
      <c r="HGF5" s="394" t="s">
        <v>89</v>
      </c>
      <c r="HGG5" s="394" t="s">
        <v>89</v>
      </c>
      <c r="HGH5" s="394" t="s">
        <v>89</v>
      </c>
      <c r="HGI5" s="394" t="s">
        <v>89</v>
      </c>
      <c r="HGJ5" s="394" t="s">
        <v>89</v>
      </c>
      <c r="HGK5" s="394" t="s">
        <v>89</v>
      </c>
      <c r="HGL5" s="394" t="s">
        <v>89</v>
      </c>
      <c r="HGM5" s="394" t="s">
        <v>89</v>
      </c>
      <c r="HGN5" s="394" t="s">
        <v>89</v>
      </c>
      <c r="HGO5" s="394" t="s">
        <v>89</v>
      </c>
      <c r="HGP5" s="394" t="s">
        <v>89</v>
      </c>
      <c r="HGQ5" s="394" t="s">
        <v>89</v>
      </c>
      <c r="HGR5" s="394" t="s">
        <v>89</v>
      </c>
      <c r="HGS5" s="394" t="s">
        <v>89</v>
      </c>
      <c r="HGT5" s="394" t="s">
        <v>89</v>
      </c>
      <c r="HGU5" s="394" t="s">
        <v>89</v>
      </c>
      <c r="HGV5" s="394" t="s">
        <v>89</v>
      </c>
      <c r="HGW5" s="394" t="s">
        <v>89</v>
      </c>
      <c r="HGX5" s="394" t="s">
        <v>89</v>
      </c>
      <c r="HGY5" s="394" t="s">
        <v>89</v>
      </c>
      <c r="HGZ5" s="394" t="s">
        <v>89</v>
      </c>
      <c r="HHA5" s="394" t="s">
        <v>89</v>
      </c>
      <c r="HHB5" s="394" t="s">
        <v>89</v>
      </c>
      <c r="HHC5" s="394" t="s">
        <v>89</v>
      </c>
      <c r="HHD5" s="394" t="s">
        <v>89</v>
      </c>
      <c r="HHE5" s="394" t="s">
        <v>89</v>
      </c>
      <c r="HHF5" s="394" t="s">
        <v>89</v>
      </c>
      <c r="HHG5" s="394" t="s">
        <v>89</v>
      </c>
      <c r="HHH5" s="394" t="s">
        <v>89</v>
      </c>
      <c r="HHI5" s="394" t="s">
        <v>89</v>
      </c>
      <c r="HHJ5" s="394" t="s">
        <v>89</v>
      </c>
      <c r="HHK5" s="394" t="s">
        <v>89</v>
      </c>
      <c r="HHL5" s="394" t="s">
        <v>89</v>
      </c>
      <c r="HHM5" s="394" t="s">
        <v>89</v>
      </c>
      <c r="HHN5" s="394" t="s">
        <v>89</v>
      </c>
      <c r="HHO5" s="394" t="s">
        <v>89</v>
      </c>
      <c r="HHP5" s="394" t="s">
        <v>89</v>
      </c>
      <c r="HHQ5" s="394" t="s">
        <v>89</v>
      </c>
      <c r="HHR5" s="394" t="s">
        <v>89</v>
      </c>
      <c r="HHS5" s="394" t="s">
        <v>89</v>
      </c>
      <c r="HHT5" s="394" t="s">
        <v>89</v>
      </c>
      <c r="HHU5" s="394" t="s">
        <v>89</v>
      </c>
      <c r="HHV5" s="394" t="s">
        <v>89</v>
      </c>
      <c r="HHW5" s="394" t="s">
        <v>89</v>
      </c>
      <c r="HHX5" s="394" t="s">
        <v>89</v>
      </c>
      <c r="HHY5" s="394" t="s">
        <v>89</v>
      </c>
      <c r="HHZ5" s="394" t="s">
        <v>89</v>
      </c>
      <c r="HIA5" s="394" t="s">
        <v>89</v>
      </c>
      <c r="HIB5" s="394" t="s">
        <v>89</v>
      </c>
      <c r="HIC5" s="394" t="s">
        <v>89</v>
      </c>
      <c r="HID5" s="394" t="s">
        <v>89</v>
      </c>
      <c r="HIE5" s="394" t="s">
        <v>89</v>
      </c>
      <c r="HIF5" s="394" t="s">
        <v>89</v>
      </c>
      <c r="HIG5" s="394" t="s">
        <v>89</v>
      </c>
      <c r="HIH5" s="394" t="s">
        <v>89</v>
      </c>
      <c r="HII5" s="394" t="s">
        <v>89</v>
      </c>
      <c r="HIJ5" s="394" t="s">
        <v>89</v>
      </c>
      <c r="HIK5" s="394" t="s">
        <v>89</v>
      </c>
      <c r="HIL5" s="394" t="s">
        <v>89</v>
      </c>
      <c r="HIM5" s="394" t="s">
        <v>89</v>
      </c>
      <c r="HIN5" s="394" t="s">
        <v>89</v>
      </c>
      <c r="HIO5" s="394" t="s">
        <v>89</v>
      </c>
      <c r="HIP5" s="394" t="s">
        <v>89</v>
      </c>
      <c r="HIQ5" s="394" t="s">
        <v>89</v>
      </c>
      <c r="HIR5" s="394" t="s">
        <v>89</v>
      </c>
      <c r="HIS5" s="394" t="s">
        <v>89</v>
      </c>
      <c r="HIT5" s="394" t="s">
        <v>89</v>
      </c>
      <c r="HIU5" s="394" t="s">
        <v>89</v>
      </c>
      <c r="HIV5" s="394" t="s">
        <v>89</v>
      </c>
      <c r="HIW5" s="394" t="s">
        <v>89</v>
      </c>
      <c r="HIX5" s="394" t="s">
        <v>89</v>
      </c>
      <c r="HIY5" s="394" t="s">
        <v>89</v>
      </c>
      <c r="HIZ5" s="394" t="s">
        <v>89</v>
      </c>
      <c r="HJA5" s="394" t="s">
        <v>89</v>
      </c>
      <c r="HJB5" s="394" t="s">
        <v>89</v>
      </c>
      <c r="HJC5" s="394" t="s">
        <v>89</v>
      </c>
      <c r="HJD5" s="394" t="s">
        <v>89</v>
      </c>
      <c r="HJE5" s="394" t="s">
        <v>89</v>
      </c>
      <c r="HJF5" s="394" t="s">
        <v>89</v>
      </c>
      <c r="HJG5" s="394" t="s">
        <v>89</v>
      </c>
      <c r="HJH5" s="394" t="s">
        <v>89</v>
      </c>
      <c r="HJI5" s="394" t="s">
        <v>89</v>
      </c>
      <c r="HJJ5" s="394" t="s">
        <v>89</v>
      </c>
      <c r="HJK5" s="394" t="s">
        <v>89</v>
      </c>
      <c r="HJL5" s="394" t="s">
        <v>89</v>
      </c>
      <c r="HJM5" s="394" t="s">
        <v>89</v>
      </c>
      <c r="HJN5" s="394" t="s">
        <v>89</v>
      </c>
      <c r="HJO5" s="394" t="s">
        <v>89</v>
      </c>
      <c r="HJP5" s="394" t="s">
        <v>89</v>
      </c>
      <c r="HJQ5" s="394" t="s">
        <v>89</v>
      </c>
      <c r="HJR5" s="394" t="s">
        <v>89</v>
      </c>
      <c r="HJS5" s="394" t="s">
        <v>89</v>
      </c>
      <c r="HJT5" s="394" t="s">
        <v>89</v>
      </c>
      <c r="HJU5" s="394" t="s">
        <v>89</v>
      </c>
      <c r="HJV5" s="394" t="s">
        <v>89</v>
      </c>
      <c r="HJW5" s="394" t="s">
        <v>89</v>
      </c>
      <c r="HJX5" s="394" t="s">
        <v>89</v>
      </c>
      <c r="HJY5" s="394" t="s">
        <v>89</v>
      </c>
      <c r="HJZ5" s="394" t="s">
        <v>89</v>
      </c>
      <c r="HKA5" s="394" t="s">
        <v>89</v>
      </c>
      <c r="HKB5" s="394" t="s">
        <v>89</v>
      </c>
      <c r="HKC5" s="394" t="s">
        <v>89</v>
      </c>
      <c r="HKD5" s="394" t="s">
        <v>89</v>
      </c>
      <c r="HKE5" s="394" t="s">
        <v>89</v>
      </c>
      <c r="HKF5" s="394" t="s">
        <v>89</v>
      </c>
      <c r="HKG5" s="394" t="s">
        <v>89</v>
      </c>
      <c r="HKH5" s="394" t="s">
        <v>89</v>
      </c>
      <c r="HKI5" s="394" t="s">
        <v>89</v>
      </c>
      <c r="HKJ5" s="394" t="s">
        <v>89</v>
      </c>
      <c r="HKK5" s="394" t="s">
        <v>89</v>
      </c>
      <c r="HKL5" s="394" t="s">
        <v>89</v>
      </c>
      <c r="HKM5" s="394" t="s">
        <v>89</v>
      </c>
      <c r="HKN5" s="394" t="s">
        <v>89</v>
      </c>
      <c r="HKO5" s="394" t="s">
        <v>89</v>
      </c>
      <c r="HKP5" s="394" t="s">
        <v>89</v>
      </c>
      <c r="HKQ5" s="394" t="s">
        <v>89</v>
      </c>
      <c r="HKR5" s="394" t="s">
        <v>89</v>
      </c>
      <c r="HKS5" s="394" t="s">
        <v>89</v>
      </c>
      <c r="HKT5" s="394" t="s">
        <v>89</v>
      </c>
      <c r="HKU5" s="394" t="s">
        <v>89</v>
      </c>
      <c r="HKV5" s="394" t="s">
        <v>89</v>
      </c>
      <c r="HKW5" s="394" t="s">
        <v>89</v>
      </c>
      <c r="HKX5" s="394" t="s">
        <v>89</v>
      </c>
      <c r="HKY5" s="394" t="s">
        <v>89</v>
      </c>
      <c r="HKZ5" s="394" t="s">
        <v>89</v>
      </c>
      <c r="HLA5" s="394" t="s">
        <v>89</v>
      </c>
      <c r="HLB5" s="394" t="s">
        <v>89</v>
      </c>
      <c r="HLC5" s="394" t="s">
        <v>89</v>
      </c>
      <c r="HLD5" s="394" t="s">
        <v>89</v>
      </c>
      <c r="HLE5" s="394" t="s">
        <v>89</v>
      </c>
      <c r="HLF5" s="394" t="s">
        <v>89</v>
      </c>
      <c r="HLG5" s="394" t="s">
        <v>89</v>
      </c>
      <c r="HLH5" s="394" t="s">
        <v>89</v>
      </c>
      <c r="HLI5" s="394" t="s">
        <v>89</v>
      </c>
      <c r="HLJ5" s="394" t="s">
        <v>89</v>
      </c>
      <c r="HLK5" s="394" t="s">
        <v>89</v>
      </c>
      <c r="HLL5" s="394" t="s">
        <v>89</v>
      </c>
      <c r="HLM5" s="394" t="s">
        <v>89</v>
      </c>
      <c r="HLN5" s="394" t="s">
        <v>89</v>
      </c>
      <c r="HLO5" s="394" t="s">
        <v>89</v>
      </c>
      <c r="HLP5" s="394" t="s">
        <v>89</v>
      </c>
      <c r="HLQ5" s="394" t="s">
        <v>89</v>
      </c>
      <c r="HLR5" s="394" t="s">
        <v>89</v>
      </c>
      <c r="HLS5" s="394" t="s">
        <v>89</v>
      </c>
      <c r="HLT5" s="394" t="s">
        <v>89</v>
      </c>
      <c r="HLU5" s="394" t="s">
        <v>89</v>
      </c>
      <c r="HLV5" s="394" t="s">
        <v>89</v>
      </c>
      <c r="HLW5" s="394" t="s">
        <v>89</v>
      </c>
      <c r="HLX5" s="394" t="s">
        <v>89</v>
      </c>
      <c r="HLY5" s="394" t="s">
        <v>89</v>
      </c>
      <c r="HLZ5" s="394" t="s">
        <v>89</v>
      </c>
      <c r="HMA5" s="394" t="s">
        <v>89</v>
      </c>
      <c r="HMB5" s="394" t="s">
        <v>89</v>
      </c>
      <c r="HMC5" s="394" t="s">
        <v>89</v>
      </c>
      <c r="HMD5" s="394" t="s">
        <v>89</v>
      </c>
      <c r="HME5" s="394" t="s">
        <v>89</v>
      </c>
      <c r="HMF5" s="394" t="s">
        <v>89</v>
      </c>
      <c r="HMG5" s="394" t="s">
        <v>89</v>
      </c>
      <c r="HMH5" s="394" t="s">
        <v>89</v>
      </c>
      <c r="HMI5" s="394" t="s">
        <v>89</v>
      </c>
      <c r="HMJ5" s="394" t="s">
        <v>89</v>
      </c>
      <c r="HMK5" s="394" t="s">
        <v>89</v>
      </c>
      <c r="HML5" s="394" t="s">
        <v>89</v>
      </c>
      <c r="HMM5" s="394" t="s">
        <v>89</v>
      </c>
      <c r="HMN5" s="394" t="s">
        <v>89</v>
      </c>
      <c r="HMO5" s="394" t="s">
        <v>89</v>
      </c>
      <c r="HMP5" s="394" t="s">
        <v>89</v>
      </c>
      <c r="HMQ5" s="394" t="s">
        <v>89</v>
      </c>
      <c r="HMR5" s="394" t="s">
        <v>89</v>
      </c>
      <c r="HMS5" s="394" t="s">
        <v>89</v>
      </c>
      <c r="HMT5" s="394" t="s">
        <v>89</v>
      </c>
      <c r="HMU5" s="394" t="s">
        <v>89</v>
      </c>
      <c r="HMV5" s="394" t="s">
        <v>89</v>
      </c>
      <c r="HMW5" s="394" t="s">
        <v>89</v>
      </c>
      <c r="HMX5" s="394" t="s">
        <v>89</v>
      </c>
      <c r="HMY5" s="394" t="s">
        <v>89</v>
      </c>
      <c r="HMZ5" s="394" t="s">
        <v>89</v>
      </c>
      <c r="HNA5" s="394" t="s">
        <v>89</v>
      </c>
      <c r="HNB5" s="394" t="s">
        <v>89</v>
      </c>
      <c r="HNC5" s="394" t="s">
        <v>89</v>
      </c>
      <c r="HND5" s="394" t="s">
        <v>89</v>
      </c>
      <c r="HNE5" s="394" t="s">
        <v>89</v>
      </c>
      <c r="HNF5" s="394" t="s">
        <v>89</v>
      </c>
      <c r="HNG5" s="394" t="s">
        <v>89</v>
      </c>
      <c r="HNH5" s="394" t="s">
        <v>89</v>
      </c>
      <c r="HNI5" s="394" t="s">
        <v>89</v>
      </c>
      <c r="HNJ5" s="394" t="s">
        <v>89</v>
      </c>
      <c r="HNK5" s="394" t="s">
        <v>89</v>
      </c>
      <c r="HNL5" s="394" t="s">
        <v>89</v>
      </c>
      <c r="HNM5" s="394" t="s">
        <v>89</v>
      </c>
      <c r="HNN5" s="394" t="s">
        <v>89</v>
      </c>
      <c r="HNO5" s="394" t="s">
        <v>89</v>
      </c>
      <c r="HNP5" s="394" t="s">
        <v>89</v>
      </c>
      <c r="HNQ5" s="394" t="s">
        <v>89</v>
      </c>
      <c r="HNR5" s="394" t="s">
        <v>89</v>
      </c>
      <c r="HNS5" s="394" t="s">
        <v>89</v>
      </c>
      <c r="HNT5" s="394" t="s">
        <v>89</v>
      </c>
      <c r="HNU5" s="394" t="s">
        <v>89</v>
      </c>
      <c r="HNV5" s="394" t="s">
        <v>89</v>
      </c>
      <c r="HNW5" s="394" t="s">
        <v>89</v>
      </c>
      <c r="HNX5" s="394" t="s">
        <v>89</v>
      </c>
      <c r="HNY5" s="394" t="s">
        <v>89</v>
      </c>
      <c r="HNZ5" s="394" t="s">
        <v>89</v>
      </c>
      <c r="HOA5" s="394" t="s">
        <v>89</v>
      </c>
      <c r="HOB5" s="394" t="s">
        <v>89</v>
      </c>
      <c r="HOC5" s="394" t="s">
        <v>89</v>
      </c>
      <c r="HOD5" s="394" t="s">
        <v>89</v>
      </c>
      <c r="HOE5" s="394" t="s">
        <v>89</v>
      </c>
      <c r="HOF5" s="394" t="s">
        <v>89</v>
      </c>
      <c r="HOG5" s="394" t="s">
        <v>89</v>
      </c>
      <c r="HOH5" s="394" t="s">
        <v>89</v>
      </c>
      <c r="HOI5" s="394" t="s">
        <v>89</v>
      </c>
      <c r="HOJ5" s="394" t="s">
        <v>89</v>
      </c>
      <c r="HOK5" s="394" t="s">
        <v>89</v>
      </c>
      <c r="HOL5" s="394" t="s">
        <v>89</v>
      </c>
      <c r="HOM5" s="394" t="s">
        <v>89</v>
      </c>
      <c r="HON5" s="394" t="s">
        <v>89</v>
      </c>
      <c r="HOO5" s="394" t="s">
        <v>89</v>
      </c>
      <c r="HOP5" s="394" t="s">
        <v>89</v>
      </c>
      <c r="HOQ5" s="394" t="s">
        <v>89</v>
      </c>
      <c r="HOR5" s="394" t="s">
        <v>89</v>
      </c>
      <c r="HOS5" s="394" t="s">
        <v>89</v>
      </c>
      <c r="HOT5" s="394" t="s">
        <v>89</v>
      </c>
      <c r="HOU5" s="394" t="s">
        <v>89</v>
      </c>
      <c r="HOV5" s="394" t="s">
        <v>89</v>
      </c>
      <c r="HOW5" s="394" t="s">
        <v>89</v>
      </c>
      <c r="HOX5" s="394" t="s">
        <v>89</v>
      </c>
      <c r="HOY5" s="394" t="s">
        <v>89</v>
      </c>
      <c r="HOZ5" s="394" t="s">
        <v>89</v>
      </c>
      <c r="HPA5" s="394" t="s">
        <v>89</v>
      </c>
      <c r="HPB5" s="394" t="s">
        <v>89</v>
      </c>
      <c r="HPC5" s="394" t="s">
        <v>89</v>
      </c>
      <c r="HPD5" s="394" t="s">
        <v>89</v>
      </c>
      <c r="HPE5" s="394" t="s">
        <v>89</v>
      </c>
      <c r="HPF5" s="394" t="s">
        <v>89</v>
      </c>
      <c r="HPG5" s="394" t="s">
        <v>89</v>
      </c>
      <c r="HPH5" s="394" t="s">
        <v>89</v>
      </c>
      <c r="HPI5" s="394" t="s">
        <v>89</v>
      </c>
      <c r="HPJ5" s="394" t="s">
        <v>89</v>
      </c>
      <c r="HPK5" s="394" t="s">
        <v>89</v>
      </c>
      <c r="HPL5" s="394" t="s">
        <v>89</v>
      </c>
      <c r="HPM5" s="394" t="s">
        <v>89</v>
      </c>
      <c r="HPN5" s="394" t="s">
        <v>89</v>
      </c>
      <c r="HPO5" s="394" t="s">
        <v>89</v>
      </c>
      <c r="HPP5" s="394" t="s">
        <v>89</v>
      </c>
      <c r="HPQ5" s="394" t="s">
        <v>89</v>
      </c>
      <c r="HPR5" s="394" t="s">
        <v>89</v>
      </c>
      <c r="HPS5" s="394" t="s">
        <v>89</v>
      </c>
      <c r="HPT5" s="394" t="s">
        <v>89</v>
      </c>
      <c r="HPU5" s="394" t="s">
        <v>89</v>
      </c>
      <c r="HPV5" s="394" t="s">
        <v>89</v>
      </c>
      <c r="HPW5" s="394" t="s">
        <v>89</v>
      </c>
      <c r="HPX5" s="394" t="s">
        <v>89</v>
      </c>
      <c r="HPY5" s="394" t="s">
        <v>89</v>
      </c>
      <c r="HPZ5" s="394" t="s">
        <v>89</v>
      </c>
      <c r="HQA5" s="394" t="s">
        <v>89</v>
      </c>
      <c r="HQB5" s="394" t="s">
        <v>89</v>
      </c>
      <c r="HQC5" s="394" t="s">
        <v>89</v>
      </c>
      <c r="HQD5" s="394" t="s">
        <v>89</v>
      </c>
      <c r="HQE5" s="394" t="s">
        <v>89</v>
      </c>
      <c r="HQF5" s="394" t="s">
        <v>89</v>
      </c>
      <c r="HQG5" s="394" t="s">
        <v>89</v>
      </c>
      <c r="HQH5" s="394" t="s">
        <v>89</v>
      </c>
      <c r="HQI5" s="394" t="s">
        <v>89</v>
      </c>
      <c r="HQJ5" s="394" t="s">
        <v>89</v>
      </c>
      <c r="HQK5" s="394" t="s">
        <v>89</v>
      </c>
      <c r="HQL5" s="394" t="s">
        <v>89</v>
      </c>
      <c r="HQM5" s="394" t="s">
        <v>89</v>
      </c>
      <c r="HQN5" s="394" t="s">
        <v>89</v>
      </c>
      <c r="HQO5" s="394" t="s">
        <v>89</v>
      </c>
      <c r="HQP5" s="394" t="s">
        <v>89</v>
      </c>
      <c r="HQQ5" s="394" t="s">
        <v>89</v>
      </c>
      <c r="HQR5" s="394" t="s">
        <v>89</v>
      </c>
      <c r="HQS5" s="394" t="s">
        <v>89</v>
      </c>
      <c r="HQT5" s="394" t="s">
        <v>89</v>
      </c>
      <c r="HQU5" s="394" t="s">
        <v>89</v>
      </c>
      <c r="HQV5" s="394" t="s">
        <v>89</v>
      </c>
      <c r="HQW5" s="394" t="s">
        <v>89</v>
      </c>
      <c r="HQX5" s="394" t="s">
        <v>89</v>
      </c>
      <c r="HQY5" s="394" t="s">
        <v>89</v>
      </c>
      <c r="HQZ5" s="394" t="s">
        <v>89</v>
      </c>
      <c r="HRA5" s="394" t="s">
        <v>89</v>
      </c>
      <c r="HRB5" s="394" t="s">
        <v>89</v>
      </c>
      <c r="HRC5" s="394" t="s">
        <v>89</v>
      </c>
      <c r="HRD5" s="394" t="s">
        <v>89</v>
      </c>
      <c r="HRE5" s="394" t="s">
        <v>89</v>
      </c>
      <c r="HRF5" s="394" t="s">
        <v>89</v>
      </c>
      <c r="HRG5" s="394" t="s">
        <v>89</v>
      </c>
      <c r="HRH5" s="394" t="s">
        <v>89</v>
      </c>
      <c r="HRI5" s="394" t="s">
        <v>89</v>
      </c>
      <c r="HRJ5" s="394" t="s">
        <v>89</v>
      </c>
      <c r="HRK5" s="394" t="s">
        <v>89</v>
      </c>
      <c r="HRL5" s="394" t="s">
        <v>89</v>
      </c>
      <c r="HRM5" s="394" t="s">
        <v>89</v>
      </c>
      <c r="HRN5" s="394" t="s">
        <v>89</v>
      </c>
      <c r="HRO5" s="394" t="s">
        <v>89</v>
      </c>
      <c r="HRP5" s="394" t="s">
        <v>89</v>
      </c>
      <c r="HRQ5" s="394" t="s">
        <v>89</v>
      </c>
      <c r="HRR5" s="394" t="s">
        <v>89</v>
      </c>
      <c r="HRS5" s="394" t="s">
        <v>89</v>
      </c>
      <c r="HRT5" s="394" t="s">
        <v>89</v>
      </c>
      <c r="HRU5" s="394" t="s">
        <v>89</v>
      </c>
      <c r="HRV5" s="394" t="s">
        <v>89</v>
      </c>
      <c r="HRW5" s="394" t="s">
        <v>89</v>
      </c>
      <c r="HRX5" s="394" t="s">
        <v>89</v>
      </c>
      <c r="HRY5" s="394" t="s">
        <v>89</v>
      </c>
      <c r="HRZ5" s="394" t="s">
        <v>89</v>
      </c>
      <c r="HSA5" s="394" t="s">
        <v>89</v>
      </c>
      <c r="HSB5" s="394" t="s">
        <v>89</v>
      </c>
      <c r="HSC5" s="394" t="s">
        <v>89</v>
      </c>
      <c r="HSD5" s="394" t="s">
        <v>89</v>
      </c>
      <c r="HSE5" s="394" t="s">
        <v>89</v>
      </c>
      <c r="HSF5" s="394" t="s">
        <v>89</v>
      </c>
      <c r="HSG5" s="394" t="s">
        <v>89</v>
      </c>
      <c r="HSH5" s="394" t="s">
        <v>89</v>
      </c>
      <c r="HSI5" s="394" t="s">
        <v>89</v>
      </c>
      <c r="HSJ5" s="394" t="s">
        <v>89</v>
      </c>
      <c r="HSK5" s="394" t="s">
        <v>89</v>
      </c>
      <c r="HSL5" s="394" t="s">
        <v>89</v>
      </c>
      <c r="HSM5" s="394" t="s">
        <v>89</v>
      </c>
      <c r="HSN5" s="394" t="s">
        <v>89</v>
      </c>
      <c r="HSO5" s="394" t="s">
        <v>89</v>
      </c>
      <c r="HSP5" s="394" t="s">
        <v>89</v>
      </c>
      <c r="HSQ5" s="394" t="s">
        <v>89</v>
      </c>
      <c r="HSR5" s="394" t="s">
        <v>89</v>
      </c>
      <c r="HSS5" s="394" t="s">
        <v>89</v>
      </c>
      <c r="HST5" s="394" t="s">
        <v>89</v>
      </c>
      <c r="HSU5" s="394" t="s">
        <v>89</v>
      </c>
      <c r="HSV5" s="394" t="s">
        <v>89</v>
      </c>
      <c r="HSW5" s="394" t="s">
        <v>89</v>
      </c>
      <c r="HSX5" s="394" t="s">
        <v>89</v>
      </c>
      <c r="HSY5" s="394" t="s">
        <v>89</v>
      </c>
      <c r="HSZ5" s="394" t="s">
        <v>89</v>
      </c>
      <c r="HTA5" s="394" t="s">
        <v>89</v>
      </c>
      <c r="HTB5" s="394" t="s">
        <v>89</v>
      </c>
      <c r="HTC5" s="394" t="s">
        <v>89</v>
      </c>
      <c r="HTD5" s="394" t="s">
        <v>89</v>
      </c>
      <c r="HTE5" s="394" t="s">
        <v>89</v>
      </c>
      <c r="HTF5" s="394" t="s">
        <v>89</v>
      </c>
      <c r="HTG5" s="394" t="s">
        <v>89</v>
      </c>
      <c r="HTH5" s="394" t="s">
        <v>89</v>
      </c>
      <c r="HTI5" s="394" t="s">
        <v>89</v>
      </c>
      <c r="HTJ5" s="394" t="s">
        <v>89</v>
      </c>
      <c r="HTK5" s="394" t="s">
        <v>89</v>
      </c>
      <c r="HTL5" s="394" t="s">
        <v>89</v>
      </c>
      <c r="HTM5" s="394" t="s">
        <v>89</v>
      </c>
      <c r="HTN5" s="394" t="s">
        <v>89</v>
      </c>
      <c r="HTO5" s="394" t="s">
        <v>89</v>
      </c>
      <c r="HTP5" s="394" t="s">
        <v>89</v>
      </c>
      <c r="HTQ5" s="394" t="s">
        <v>89</v>
      </c>
      <c r="HTR5" s="394" t="s">
        <v>89</v>
      </c>
      <c r="HTS5" s="394" t="s">
        <v>89</v>
      </c>
      <c r="HTT5" s="394" t="s">
        <v>89</v>
      </c>
      <c r="HTU5" s="394" t="s">
        <v>89</v>
      </c>
      <c r="HTV5" s="394" t="s">
        <v>89</v>
      </c>
      <c r="HTW5" s="394" t="s">
        <v>89</v>
      </c>
      <c r="HTX5" s="394" t="s">
        <v>89</v>
      </c>
      <c r="HTY5" s="394" t="s">
        <v>89</v>
      </c>
      <c r="HTZ5" s="394" t="s">
        <v>89</v>
      </c>
      <c r="HUA5" s="394" t="s">
        <v>89</v>
      </c>
      <c r="HUB5" s="394" t="s">
        <v>89</v>
      </c>
      <c r="HUC5" s="394" t="s">
        <v>89</v>
      </c>
      <c r="HUD5" s="394" t="s">
        <v>89</v>
      </c>
      <c r="HUE5" s="394" t="s">
        <v>89</v>
      </c>
      <c r="HUF5" s="394" t="s">
        <v>89</v>
      </c>
      <c r="HUG5" s="394" t="s">
        <v>89</v>
      </c>
      <c r="HUH5" s="394" t="s">
        <v>89</v>
      </c>
      <c r="HUI5" s="394" t="s">
        <v>89</v>
      </c>
      <c r="HUJ5" s="394" t="s">
        <v>89</v>
      </c>
      <c r="HUK5" s="394" t="s">
        <v>89</v>
      </c>
      <c r="HUL5" s="394" t="s">
        <v>89</v>
      </c>
      <c r="HUM5" s="394" t="s">
        <v>89</v>
      </c>
      <c r="HUN5" s="394" t="s">
        <v>89</v>
      </c>
      <c r="HUO5" s="394" t="s">
        <v>89</v>
      </c>
      <c r="HUP5" s="394" t="s">
        <v>89</v>
      </c>
      <c r="HUQ5" s="394" t="s">
        <v>89</v>
      </c>
      <c r="HUR5" s="394" t="s">
        <v>89</v>
      </c>
      <c r="HUS5" s="394" t="s">
        <v>89</v>
      </c>
      <c r="HUT5" s="394" t="s">
        <v>89</v>
      </c>
      <c r="HUU5" s="394" t="s">
        <v>89</v>
      </c>
      <c r="HUV5" s="394" t="s">
        <v>89</v>
      </c>
      <c r="HUW5" s="394" t="s">
        <v>89</v>
      </c>
      <c r="HUX5" s="394" t="s">
        <v>89</v>
      </c>
      <c r="HUY5" s="394" t="s">
        <v>89</v>
      </c>
      <c r="HUZ5" s="394" t="s">
        <v>89</v>
      </c>
      <c r="HVA5" s="394" t="s">
        <v>89</v>
      </c>
      <c r="HVB5" s="394" t="s">
        <v>89</v>
      </c>
      <c r="HVC5" s="394" t="s">
        <v>89</v>
      </c>
      <c r="HVD5" s="394" t="s">
        <v>89</v>
      </c>
      <c r="HVE5" s="394" t="s">
        <v>89</v>
      </c>
      <c r="HVF5" s="394" t="s">
        <v>89</v>
      </c>
      <c r="HVG5" s="394" t="s">
        <v>89</v>
      </c>
      <c r="HVH5" s="394" t="s">
        <v>89</v>
      </c>
      <c r="HVI5" s="394" t="s">
        <v>89</v>
      </c>
      <c r="HVJ5" s="394" t="s">
        <v>89</v>
      </c>
      <c r="HVK5" s="394" t="s">
        <v>89</v>
      </c>
      <c r="HVL5" s="394" t="s">
        <v>89</v>
      </c>
      <c r="HVM5" s="394" t="s">
        <v>89</v>
      </c>
      <c r="HVN5" s="394" t="s">
        <v>89</v>
      </c>
      <c r="HVO5" s="394" t="s">
        <v>89</v>
      </c>
      <c r="HVP5" s="394" t="s">
        <v>89</v>
      </c>
      <c r="HVQ5" s="394" t="s">
        <v>89</v>
      </c>
      <c r="HVR5" s="394" t="s">
        <v>89</v>
      </c>
      <c r="HVS5" s="394" t="s">
        <v>89</v>
      </c>
      <c r="HVT5" s="394" t="s">
        <v>89</v>
      </c>
      <c r="HVU5" s="394" t="s">
        <v>89</v>
      </c>
      <c r="HVV5" s="394" t="s">
        <v>89</v>
      </c>
      <c r="HVW5" s="394" t="s">
        <v>89</v>
      </c>
      <c r="HVX5" s="394" t="s">
        <v>89</v>
      </c>
      <c r="HVY5" s="394" t="s">
        <v>89</v>
      </c>
      <c r="HVZ5" s="394" t="s">
        <v>89</v>
      </c>
      <c r="HWA5" s="394" t="s">
        <v>89</v>
      </c>
      <c r="HWB5" s="394" t="s">
        <v>89</v>
      </c>
      <c r="HWC5" s="394" t="s">
        <v>89</v>
      </c>
      <c r="HWD5" s="394" t="s">
        <v>89</v>
      </c>
      <c r="HWE5" s="394" t="s">
        <v>89</v>
      </c>
      <c r="HWF5" s="394" t="s">
        <v>89</v>
      </c>
      <c r="HWG5" s="394" t="s">
        <v>89</v>
      </c>
      <c r="HWH5" s="394" t="s">
        <v>89</v>
      </c>
      <c r="HWI5" s="394" t="s">
        <v>89</v>
      </c>
      <c r="HWJ5" s="394" t="s">
        <v>89</v>
      </c>
      <c r="HWK5" s="394" t="s">
        <v>89</v>
      </c>
      <c r="HWL5" s="394" t="s">
        <v>89</v>
      </c>
      <c r="HWM5" s="394" t="s">
        <v>89</v>
      </c>
      <c r="HWN5" s="394" t="s">
        <v>89</v>
      </c>
      <c r="HWO5" s="394" t="s">
        <v>89</v>
      </c>
      <c r="HWP5" s="394" t="s">
        <v>89</v>
      </c>
      <c r="HWQ5" s="394" t="s">
        <v>89</v>
      </c>
      <c r="HWR5" s="394" t="s">
        <v>89</v>
      </c>
      <c r="HWS5" s="394" t="s">
        <v>89</v>
      </c>
      <c r="HWT5" s="394" t="s">
        <v>89</v>
      </c>
      <c r="HWU5" s="394" t="s">
        <v>89</v>
      </c>
      <c r="HWV5" s="394" t="s">
        <v>89</v>
      </c>
      <c r="HWW5" s="394" t="s">
        <v>89</v>
      </c>
      <c r="HWX5" s="394" t="s">
        <v>89</v>
      </c>
      <c r="HWY5" s="394" t="s">
        <v>89</v>
      </c>
      <c r="HWZ5" s="394" t="s">
        <v>89</v>
      </c>
      <c r="HXA5" s="394" t="s">
        <v>89</v>
      </c>
      <c r="HXB5" s="394" t="s">
        <v>89</v>
      </c>
      <c r="HXC5" s="394" t="s">
        <v>89</v>
      </c>
      <c r="HXD5" s="394" t="s">
        <v>89</v>
      </c>
      <c r="HXE5" s="394" t="s">
        <v>89</v>
      </c>
      <c r="HXF5" s="394" t="s">
        <v>89</v>
      </c>
      <c r="HXG5" s="394" t="s">
        <v>89</v>
      </c>
      <c r="HXH5" s="394" t="s">
        <v>89</v>
      </c>
      <c r="HXI5" s="394" t="s">
        <v>89</v>
      </c>
      <c r="HXJ5" s="394" t="s">
        <v>89</v>
      </c>
      <c r="HXK5" s="394" t="s">
        <v>89</v>
      </c>
      <c r="HXL5" s="394" t="s">
        <v>89</v>
      </c>
      <c r="HXM5" s="394" t="s">
        <v>89</v>
      </c>
      <c r="HXN5" s="394" t="s">
        <v>89</v>
      </c>
      <c r="HXO5" s="394" t="s">
        <v>89</v>
      </c>
      <c r="HXP5" s="394" t="s">
        <v>89</v>
      </c>
      <c r="HXQ5" s="394" t="s">
        <v>89</v>
      </c>
      <c r="HXR5" s="394" t="s">
        <v>89</v>
      </c>
      <c r="HXS5" s="394" t="s">
        <v>89</v>
      </c>
      <c r="HXT5" s="394" t="s">
        <v>89</v>
      </c>
      <c r="HXU5" s="394" t="s">
        <v>89</v>
      </c>
      <c r="HXV5" s="394" t="s">
        <v>89</v>
      </c>
      <c r="HXW5" s="394" t="s">
        <v>89</v>
      </c>
      <c r="HXX5" s="394" t="s">
        <v>89</v>
      </c>
      <c r="HXY5" s="394" t="s">
        <v>89</v>
      </c>
      <c r="HXZ5" s="394" t="s">
        <v>89</v>
      </c>
      <c r="HYA5" s="394" t="s">
        <v>89</v>
      </c>
      <c r="HYB5" s="394" t="s">
        <v>89</v>
      </c>
      <c r="HYC5" s="394" t="s">
        <v>89</v>
      </c>
      <c r="HYD5" s="394" t="s">
        <v>89</v>
      </c>
      <c r="HYE5" s="394" t="s">
        <v>89</v>
      </c>
      <c r="HYF5" s="394" t="s">
        <v>89</v>
      </c>
      <c r="HYG5" s="394" t="s">
        <v>89</v>
      </c>
      <c r="HYH5" s="394" t="s">
        <v>89</v>
      </c>
      <c r="HYI5" s="394" t="s">
        <v>89</v>
      </c>
      <c r="HYJ5" s="394" t="s">
        <v>89</v>
      </c>
      <c r="HYK5" s="394" t="s">
        <v>89</v>
      </c>
      <c r="HYL5" s="394" t="s">
        <v>89</v>
      </c>
      <c r="HYM5" s="394" t="s">
        <v>89</v>
      </c>
      <c r="HYN5" s="394" t="s">
        <v>89</v>
      </c>
      <c r="HYO5" s="394" t="s">
        <v>89</v>
      </c>
      <c r="HYP5" s="394" t="s">
        <v>89</v>
      </c>
      <c r="HYQ5" s="394" t="s">
        <v>89</v>
      </c>
      <c r="HYR5" s="394" t="s">
        <v>89</v>
      </c>
      <c r="HYS5" s="394" t="s">
        <v>89</v>
      </c>
      <c r="HYT5" s="394" t="s">
        <v>89</v>
      </c>
      <c r="HYU5" s="394" t="s">
        <v>89</v>
      </c>
      <c r="HYV5" s="394" t="s">
        <v>89</v>
      </c>
      <c r="HYW5" s="394" t="s">
        <v>89</v>
      </c>
      <c r="HYX5" s="394" t="s">
        <v>89</v>
      </c>
      <c r="HYY5" s="394" t="s">
        <v>89</v>
      </c>
      <c r="HYZ5" s="394" t="s">
        <v>89</v>
      </c>
      <c r="HZA5" s="394" t="s">
        <v>89</v>
      </c>
      <c r="HZB5" s="394" t="s">
        <v>89</v>
      </c>
      <c r="HZC5" s="394" t="s">
        <v>89</v>
      </c>
      <c r="HZD5" s="394" t="s">
        <v>89</v>
      </c>
      <c r="HZE5" s="394" t="s">
        <v>89</v>
      </c>
      <c r="HZF5" s="394" t="s">
        <v>89</v>
      </c>
      <c r="HZG5" s="394" t="s">
        <v>89</v>
      </c>
      <c r="HZH5" s="394" t="s">
        <v>89</v>
      </c>
      <c r="HZI5" s="394" t="s">
        <v>89</v>
      </c>
      <c r="HZJ5" s="394" t="s">
        <v>89</v>
      </c>
      <c r="HZK5" s="394" t="s">
        <v>89</v>
      </c>
      <c r="HZL5" s="394" t="s">
        <v>89</v>
      </c>
      <c r="HZM5" s="394" t="s">
        <v>89</v>
      </c>
      <c r="HZN5" s="394" t="s">
        <v>89</v>
      </c>
      <c r="HZO5" s="394" t="s">
        <v>89</v>
      </c>
      <c r="HZP5" s="394" t="s">
        <v>89</v>
      </c>
      <c r="HZQ5" s="394" t="s">
        <v>89</v>
      </c>
      <c r="HZR5" s="394" t="s">
        <v>89</v>
      </c>
      <c r="HZS5" s="394" t="s">
        <v>89</v>
      </c>
      <c r="HZT5" s="394" t="s">
        <v>89</v>
      </c>
      <c r="HZU5" s="394" t="s">
        <v>89</v>
      </c>
      <c r="HZV5" s="394" t="s">
        <v>89</v>
      </c>
      <c r="HZW5" s="394" t="s">
        <v>89</v>
      </c>
      <c r="HZX5" s="394" t="s">
        <v>89</v>
      </c>
      <c r="HZY5" s="394" t="s">
        <v>89</v>
      </c>
      <c r="HZZ5" s="394" t="s">
        <v>89</v>
      </c>
      <c r="IAA5" s="394" t="s">
        <v>89</v>
      </c>
      <c r="IAB5" s="394" t="s">
        <v>89</v>
      </c>
      <c r="IAC5" s="394" t="s">
        <v>89</v>
      </c>
      <c r="IAD5" s="394" t="s">
        <v>89</v>
      </c>
      <c r="IAE5" s="394" t="s">
        <v>89</v>
      </c>
      <c r="IAF5" s="394" t="s">
        <v>89</v>
      </c>
      <c r="IAG5" s="394" t="s">
        <v>89</v>
      </c>
      <c r="IAH5" s="394" t="s">
        <v>89</v>
      </c>
      <c r="IAI5" s="394" t="s">
        <v>89</v>
      </c>
      <c r="IAJ5" s="394" t="s">
        <v>89</v>
      </c>
      <c r="IAK5" s="394" t="s">
        <v>89</v>
      </c>
      <c r="IAL5" s="394" t="s">
        <v>89</v>
      </c>
      <c r="IAM5" s="394" t="s">
        <v>89</v>
      </c>
      <c r="IAN5" s="394" t="s">
        <v>89</v>
      </c>
      <c r="IAO5" s="394" t="s">
        <v>89</v>
      </c>
      <c r="IAP5" s="394" t="s">
        <v>89</v>
      </c>
      <c r="IAQ5" s="394" t="s">
        <v>89</v>
      </c>
      <c r="IAR5" s="394" t="s">
        <v>89</v>
      </c>
      <c r="IAS5" s="394" t="s">
        <v>89</v>
      </c>
      <c r="IAT5" s="394" t="s">
        <v>89</v>
      </c>
      <c r="IAU5" s="394" t="s">
        <v>89</v>
      </c>
      <c r="IAV5" s="394" t="s">
        <v>89</v>
      </c>
      <c r="IAW5" s="394" t="s">
        <v>89</v>
      </c>
      <c r="IAX5" s="394" t="s">
        <v>89</v>
      </c>
      <c r="IAY5" s="394" t="s">
        <v>89</v>
      </c>
      <c r="IAZ5" s="394" t="s">
        <v>89</v>
      </c>
      <c r="IBA5" s="394" t="s">
        <v>89</v>
      </c>
      <c r="IBB5" s="394" t="s">
        <v>89</v>
      </c>
      <c r="IBC5" s="394" t="s">
        <v>89</v>
      </c>
      <c r="IBD5" s="394" t="s">
        <v>89</v>
      </c>
      <c r="IBE5" s="394" t="s">
        <v>89</v>
      </c>
      <c r="IBF5" s="394" t="s">
        <v>89</v>
      </c>
      <c r="IBG5" s="394" t="s">
        <v>89</v>
      </c>
      <c r="IBH5" s="394" t="s">
        <v>89</v>
      </c>
      <c r="IBI5" s="394" t="s">
        <v>89</v>
      </c>
      <c r="IBJ5" s="394" t="s">
        <v>89</v>
      </c>
      <c r="IBK5" s="394" t="s">
        <v>89</v>
      </c>
      <c r="IBL5" s="394" t="s">
        <v>89</v>
      </c>
      <c r="IBM5" s="394" t="s">
        <v>89</v>
      </c>
      <c r="IBN5" s="394" t="s">
        <v>89</v>
      </c>
      <c r="IBO5" s="394" t="s">
        <v>89</v>
      </c>
      <c r="IBP5" s="394" t="s">
        <v>89</v>
      </c>
      <c r="IBQ5" s="394" t="s">
        <v>89</v>
      </c>
      <c r="IBR5" s="394" t="s">
        <v>89</v>
      </c>
      <c r="IBS5" s="394" t="s">
        <v>89</v>
      </c>
      <c r="IBT5" s="394" t="s">
        <v>89</v>
      </c>
      <c r="IBU5" s="394" t="s">
        <v>89</v>
      </c>
      <c r="IBV5" s="394" t="s">
        <v>89</v>
      </c>
      <c r="IBW5" s="394" t="s">
        <v>89</v>
      </c>
      <c r="IBX5" s="394" t="s">
        <v>89</v>
      </c>
      <c r="IBY5" s="394" t="s">
        <v>89</v>
      </c>
      <c r="IBZ5" s="394" t="s">
        <v>89</v>
      </c>
      <c r="ICA5" s="394" t="s">
        <v>89</v>
      </c>
      <c r="ICB5" s="394" t="s">
        <v>89</v>
      </c>
      <c r="ICC5" s="394" t="s">
        <v>89</v>
      </c>
      <c r="ICD5" s="394" t="s">
        <v>89</v>
      </c>
      <c r="ICE5" s="394" t="s">
        <v>89</v>
      </c>
      <c r="ICF5" s="394" t="s">
        <v>89</v>
      </c>
      <c r="ICG5" s="394" t="s">
        <v>89</v>
      </c>
      <c r="ICH5" s="394" t="s">
        <v>89</v>
      </c>
      <c r="ICI5" s="394" t="s">
        <v>89</v>
      </c>
      <c r="ICJ5" s="394" t="s">
        <v>89</v>
      </c>
      <c r="ICK5" s="394" t="s">
        <v>89</v>
      </c>
      <c r="ICL5" s="394" t="s">
        <v>89</v>
      </c>
      <c r="ICM5" s="394" t="s">
        <v>89</v>
      </c>
      <c r="ICN5" s="394" t="s">
        <v>89</v>
      </c>
      <c r="ICO5" s="394" t="s">
        <v>89</v>
      </c>
      <c r="ICP5" s="394" t="s">
        <v>89</v>
      </c>
      <c r="ICQ5" s="394" t="s">
        <v>89</v>
      </c>
      <c r="ICR5" s="394" t="s">
        <v>89</v>
      </c>
      <c r="ICS5" s="394" t="s">
        <v>89</v>
      </c>
      <c r="ICT5" s="394" t="s">
        <v>89</v>
      </c>
      <c r="ICU5" s="394" t="s">
        <v>89</v>
      </c>
      <c r="ICV5" s="394" t="s">
        <v>89</v>
      </c>
      <c r="ICW5" s="394" t="s">
        <v>89</v>
      </c>
      <c r="ICX5" s="394" t="s">
        <v>89</v>
      </c>
      <c r="ICY5" s="394" t="s">
        <v>89</v>
      </c>
      <c r="ICZ5" s="394" t="s">
        <v>89</v>
      </c>
      <c r="IDA5" s="394" t="s">
        <v>89</v>
      </c>
      <c r="IDB5" s="394" t="s">
        <v>89</v>
      </c>
      <c r="IDC5" s="394" t="s">
        <v>89</v>
      </c>
      <c r="IDD5" s="394" t="s">
        <v>89</v>
      </c>
      <c r="IDE5" s="394" t="s">
        <v>89</v>
      </c>
      <c r="IDF5" s="394" t="s">
        <v>89</v>
      </c>
      <c r="IDG5" s="394" t="s">
        <v>89</v>
      </c>
      <c r="IDH5" s="394" t="s">
        <v>89</v>
      </c>
      <c r="IDI5" s="394" t="s">
        <v>89</v>
      </c>
      <c r="IDJ5" s="394" t="s">
        <v>89</v>
      </c>
      <c r="IDK5" s="394" t="s">
        <v>89</v>
      </c>
      <c r="IDL5" s="394" t="s">
        <v>89</v>
      </c>
      <c r="IDM5" s="394" t="s">
        <v>89</v>
      </c>
      <c r="IDN5" s="394" t="s">
        <v>89</v>
      </c>
      <c r="IDO5" s="394" t="s">
        <v>89</v>
      </c>
      <c r="IDP5" s="394" t="s">
        <v>89</v>
      </c>
      <c r="IDQ5" s="394" t="s">
        <v>89</v>
      </c>
      <c r="IDR5" s="394" t="s">
        <v>89</v>
      </c>
      <c r="IDS5" s="394" t="s">
        <v>89</v>
      </c>
      <c r="IDT5" s="394" t="s">
        <v>89</v>
      </c>
      <c r="IDU5" s="394" t="s">
        <v>89</v>
      </c>
      <c r="IDV5" s="394" t="s">
        <v>89</v>
      </c>
      <c r="IDW5" s="394" t="s">
        <v>89</v>
      </c>
      <c r="IDX5" s="394" t="s">
        <v>89</v>
      </c>
      <c r="IDY5" s="394" t="s">
        <v>89</v>
      </c>
      <c r="IDZ5" s="394" t="s">
        <v>89</v>
      </c>
      <c r="IEA5" s="394" t="s">
        <v>89</v>
      </c>
      <c r="IEB5" s="394" t="s">
        <v>89</v>
      </c>
      <c r="IEC5" s="394" t="s">
        <v>89</v>
      </c>
      <c r="IED5" s="394" t="s">
        <v>89</v>
      </c>
      <c r="IEE5" s="394" t="s">
        <v>89</v>
      </c>
      <c r="IEF5" s="394" t="s">
        <v>89</v>
      </c>
      <c r="IEG5" s="394" t="s">
        <v>89</v>
      </c>
      <c r="IEH5" s="394" t="s">
        <v>89</v>
      </c>
      <c r="IEI5" s="394" t="s">
        <v>89</v>
      </c>
      <c r="IEJ5" s="394" t="s">
        <v>89</v>
      </c>
      <c r="IEK5" s="394" t="s">
        <v>89</v>
      </c>
      <c r="IEL5" s="394" t="s">
        <v>89</v>
      </c>
      <c r="IEM5" s="394" t="s">
        <v>89</v>
      </c>
      <c r="IEN5" s="394" t="s">
        <v>89</v>
      </c>
      <c r="IEO5" s="394" t="s">
        <v>89</v>
      </c>
      <c r="IEP5" s="394" t="s">
        <v>89</v>
      </c>
      <c r="IEQ5" s="394" t="s">
        <v>89</v>
      </c>
      <c r="IER5" s="394" t="s">
        <v>89</v>
      </c>
      <c r="IES5" s="394" t="s">
        <v>89</v>
      </c>
      <c r="IET5" s="394" t="s">
        <v>89</v>
      </c>
      <c r="IEU5" s="394" t="s">
        <v>89</v>
      </c>
      <c r="IEV5" s="394" t="s">
        <v>89</v>
      </c>
      <c r="IEW5" s="394" t="s">
        <v>89</v>
      </c>
      <c r="IEX5" s="394" t="s">
        <v>89</v>
      </c>
      <c r="IEY5" s="394" t="s">
        <v>89</v>
      </c>
      <c r="IEZ5" s="394" t="s">
        <v>89</v>
      </c>
      <c r="IFA5" s="394" t="s">
        <v>89</v>
      </c>
      <c r="IFB5" s="394" t="s">
        <v>89</v>
      </c>
      <c r="IFC5" s="394" t="s">
        <v>89</v>
      </c>
      <c r="IFD5" s="394" t="s">
        <v>89</v>
      </c>
      <c r="IFE5" s="394" t="s">
        <v>89</v>
      </c>
      <c r="IFF5" s="394" t="s">
        <v>89</v>
      </c>
      <c r="IFG5" s="394" t="s">
        <v>89</v>
      </c>
      <c r="IFH5" s="394" t="s">
        <v>89</v>
      </c>
      <c r="IFI5" s="394" t="s">
        <v>89</v>
      </c>
      <c r="IFJ5" s="394" t="s">
        <v>89</v>
      </c>
      <c r="IFK5" s="394" t="s">
        <v>89</v>
      </c>
      <c r="IFL5" s="394" t="s">
        <v>89</v>
      </c>
      <c r="IFM5" s="394" t="s">
        <v>89</v>
      </c>
      <c r="IFN5" s="394" t="s">
        <v>89</v>
      </c>
      <c r="IFO5" s="394" t="s">
        <v>89</v>
      </c>
      <c r="IFP5" s="394" t="s">
        <v>89</v>
      </c>
      <c r="IFQ5" s="394" t="s">
        <v>89</v>
      </c>
      <c r="IFR5" s="394" t="s">
        <v>89</v>
      </c>
      <c r="IFS5" s="394" t="s">
        <v>89</v>
      </c>
      <c r="IFT5" s="394" t="s">
        <v>89</v>
      </c>
      <c r="IFU5" s="394" t="s">
        <v>89</v>
      </c>
      <c r="IFV5" s="394" t="s">
        <v>89</v>
      </c>
      <c r="IFW5" s="394" t="s">
        <v>89</v>
      </c>
      <c r="IFX5" s="394" t="s">
        <v>89</v>
      </c>
      <c r="IFY5" s="394" t="s">
        <v>89</v>
      </c>
      <c r="IFZ5" s="394" t="s">
        <v>89</v>
      </c>
      <c r="IGA5" s="394" t="s">
        <v>89</v>
      </c>
      <c r="IGB5" s="394" t="s">
        <v>89</v>
      </c>
      <c r="IGC5" s="394" t="s">
        <v>89</v>
      </c>
      <c r="IGD5" s="394" t="s">
        <v>89</v>
      </c>
      <c r="IGE5" s="394" t="s">
        <v>89</v>
      </c>
      <c r="IGF5" s="394" t="s">
        <v>89</v>
      </c>
      <c r="IGG5" s="394" t="s">
        <v>89</v>
      </c>
      <c r="IGH5" s="394" t="s">
        <v>89</v>
      </c>
      <c r="IGI5" s="394" t="s">
        <v>89</v>
      </c>
      <c r="IGJ5" s="394" t="s">
        <v>89</v>
      </c>
      <c r="IGK5" s="394" t="s">
        <v>89</v>
      </c>
      <c r="IGL5" s="394" t="s">
        <v>89</v>
      </c>
      <c r="IGM5" s="394" t="s">
        <v>89</v>
      </c>
      <c r="IGN5" s="394" t="s">
        <v>89</v>
      </c>
      <c r="IGO5" s="394" t="s">
        <v>89</v>
      </c>
      <c r="IGP5" s="394" t="s">
        <v>89</v>
      </c>
      <c r="IGQ5" s="394" t="s">
        <v>89</v>
      </c>
      <c r="IGR5" s="394" t="s">
        <v>89</v>
      </c>
      <c r="IGS5" s="394" t="s">
        <v>89</v>
      </c>
      <c r="IGT5" s="394" t="s">
        <v>89</v>
      </c>
      <c r="IGU5" s="394" t="s">
        <v>89</v>
      </c>
      <c r="IGV5" s="394" t="s">
        <v>89</v>
      </c>
      <c r="IGW5" s="394" t="s">
        <v>89</v>
      </c>
      <c r="IGX5" s="394" t="s">
        <v>89</v>
      </c>
      <c r="IGY5" s="394" t="s">
        <v>89</v>
      </c>
      <c r="IGZ5" s="394" t="s">
        <v>89</v>
      </c>
      <c r="IHA5" s="394" t="s">
        <v>89</v>
      </c>
      <c r="IHB5" s="394" t="s">
        <v>89</v>
      </c>
      <c r="IHC5" s="394" t="s">
        <v>89</v>
      </c>
      <c r="IHD5" s="394" t="s">
        <v>89</v>
      </c>
      <c r="IHE5" s="394" t="s">
        <v>89</v>
      </c>
      <c r="IHF5" s="394" t="s">
        <v>89</v>
      </c>
      <c r="IHG5" s="394" t="s">
        <v>89</v>
      </c>
      <c r="IHH5" s="394" t="s">
        <v>89</v>
      </c>
      <c r="IHI5" s="394" t="s">
        <v>89</v>
      </c>
      <c r="IHJ5" s="394" t="s">
        <v>89</v>
      </c>
      <c r="IHK5" s="394" t="s">
        <v>89</v>
      </c>
      <c r="IHL5" s="394" t="s">
        <v>89</v>
      </c>
      <c r="IHM5" s="394" t="s">
        <v>89</v>
      </c>
      <c r="IHN5" s="394" t="s">
        <v>89</v>
      </c>
      <c r="IHO5" s="394" t="s">
        <v>89</v>
      </c>
      <c r="IHP5" s="394" t="s">
        <v>89</v>
      </c>
      <c r="IHQ5" s="394" t="s">
        <v>89</v>
      </c>
      <c r="IHR5" s="394" t="s">
        <v>89</v>
      </c>
      <c r="IHS5" s="394" t="s">
        <v>89</v>
      </c>
      <c r="IHT5" s="394" t="s">
        <v>89</v>
      </c>
      <c r="IHU5" s="394" t="s">
        <v>89</v>
      </c>
      <c r="IHV5" s="394" t="s">
        <v>89</v>
      </c>
      <c r="IHW5" s="394" t="s">
        <v>89</v>
      </c>
      <c r="IHX5" s="394" t="s">
        <v>89</v>
      </c>
      <c r="IHY5" s="394" t="s">
        <v>89</v>
      </c>
      <c r="IHZ5" s="394" t="s">
        <v>89</v>
      </c>
      <c r="IIA5" s="394" t="s">
        <v>89</v>
      </c>
      <c r="IIB5" s="394" t="s">
        <v>89</v>
      </c>
      <c r="IIC5" s="394" t="s">
        <v>89</v>
      </c>
      <c r="IID5" s="394" t="s">
        <v>89</v>
      </c>
      <c r="IIE5" s="394" t="s">
        <v>89</v>
      </c>
      <c r="IIF5" s="394" t="s">
        <v>89</v>
      </c>
      <c r="IIG5" s="394" t="s">
        <v>89</v>
      </c>
      <c r="IIH5" s="394" t="s">
        <v>89</v>
      </c>
      <c r="III5" s="394" t="s">
        <v>89</v>
      </c>
      <c r="IIJ5" s="394" t="s">
        <v>89</v>
      </c>
      <c r="IIK5" s="394" t="s">
        <v>89</v>
      </c>
      <c r="IIL5" s="394" t="s">
        <v>89</v>
      </c>
      <c r="IIM5" s="394" t="s">
        <v>89</v>
      </c>
      <c r="IIN5" s="394" t="s">
        <v>89</v>
      </c>
      <c r="IIO5" s="394" t="s">
        <v>89</v>
      </c>
      <c r="IIP5" s="394" t="s">
        <v>89</v>
      </c>
      <c r="IIQ5" s="394" t="s">
        <v>89</v>
      </c>
      <c r="IIR5" s="394" t="s">
        <v>89</v>
      </c>
      <c r="IIS5" s="394" t="s">
        <v>89</v>
      </c>
      <c r="IIT5" s="394" t="s">
        <v>89</v>
      </c>
      <c r="IIU5" s="394" t="s">
        <v>89</v>
      </c>
      <c r="IIV5" s="394" t="s">
        <v>89</v>
      </c>
      <c r="IIW5" s="394" t="s">
        <v>89</v>
      </c>
      <c r="IIX5" s="394" t="s">
        <v>89</v>
      </c>
      <c r="IIY5" s="394" t="s">
        <v>89</v>
      </c>
      <c r="IIZ5" s="394" t="s">
        <v>89</v>
      </c>
      <c r="IJA5" s="394" t="s">
        <v>89</v>
      </c>
      <c r="IJB5" s="394" t="s">
        <v>89</v>
      </c>
      <c r="IJC5" s="394" t="s">
        <v>89</v>
      </c>
      <c r="IJD5" s="394" t="s">
        <v>89</v>
      </c>
      <c r="IJE5" s="394" t="s">
        <v>89</v>
      </c>
      <c r="IJF5" s="394" t="s">
        <v>89</v>
      </c>
      <c r="IJG5" s="394" t="s">
        <v>89</v>
      </c>
      <c r="IJH5" s="394" t="s">
        <v>89</v>
      </c>
      <c r="IJI5" s="394" t="s">
        <v>89</v>
      </c>
      <c r="IJJ5" s="394" t="s">
        <v>89</v>
      </c>
      <c r="IJK5" s="394" t="s">
        <v>89</v>
      </c>
      <c r="IJL5" s="394" t="s">
        <v>89</v>
      </c>
      <c r="IJM5" s="394" t="s">
        <v>89</v>
      </c>
      <c r="IJN5" s="394" t="s">
        <v>89</v>
      </c>
      <c r="IJO5" s="394" t="s">
        <v>89</v>
      </c>
      <c r="IJP5" s="394" t="s">
        <v>89</v>
      </c>
      <c r="IJQ5" s="394" t="s">
        <v>89</v>
      </c>
      <c r="IJR5" s="394" t="s">
        <v>89</v>
      </c>
      <c r="IJS5" s="394" t="s">
        <v>89</v>
      </c>
      <c r="IJT5" s="394" t="s">
        <v>89</v>
      </c>
      <c r="IJU5" s="394" t="s">
        <v>89</v>
      </c>
      <c r="IJV5" s="394" t="s">
        <v>89</v>
      </c>
      <c r="IJW5" s="394" t="s">
        <v>89</v>
      </c>
      <c r="IJX5" s="394" t="s">
        <v>89</v>
      </c>
      <c r="IJY5" s="394" t="s">
        <v>89</v>
      </c>
      <c r="IJZ5" s="394" t="s">
        <v>89</v>
      </c>
      <c r="IKA5" s="394" t="s">
        <v>89</v>
      </c>
      <c r="IKB5" s="394" t="s">
        <v>89</v>
      </c>
      <c r="IKC5" s="394" t="s">
        <v>89</v>
      </c>
      <c r="IKD5" s="394" t="s">
        <v>89</v>
      </c>
      <c r="IKE5" s="394" t="s">
        <v>89</v>
      </c>
      <c r="IKF5" s="394" t="s">
        <v>89</v>
      </c>
      <c r="IKG5" s="394" t="s">
        <v>89</v>
      </c>
      <c r="IKH5" s="394" t="s">
        <v>89</v>
      </c>
      <c r="IKI5" s="394" t="s">
        <v>89</v>
      </c>
      <c r="IKJ5" s="394" t="s">
        <v>89</v>
      </c>
      <c r="IKK5" s="394" t="s">
        <v>89</v>
      </c>
      <c r="IKL5" s="394" t="s">
        <v>89</v>
      </c>
      <c r="IKM5" s="394" t="s">
        <v>89</v>
      </c>
      <c r="IKN5" s="394" t="s">
        <v>89</v>
      </c>
      <c r="IKO5" s="394" t="s">
        <v>89</v>
      </c>
      <c r="IKP5" s="394" t="s">
        <v>89</v>
      </c>
      <c r="IKQ5" s="394" t="s">
        <v>89</v>
      </c>
      <c r="IKR5" s="394" t="s">
        <v>89</v>
      </c>
      <c r="IKS5" s="394" t="s">
        <v>89</v>
      </c>
      <c r="IKT5" s="394" t="s">
        <v>89</v>
      </c>
      <c r="IKU5" s="394" t="s">
        <v>89</v>
      </c>
      <c r="IKV5" s="394" t="s">
        <v>89</v>
      </c>
      <c r="IKW5" s="394" t="s">
        <v>89</v>
      </c>
      <c r="IKX5" s="394" t="s">
        <v>89</v>
      </c>
      <c r="IKY5" s="394" t="s">
        <v>89</v>
      </c>
      <c r="IKZ5" s="394" t="s">
        <v>89</v>
      </c>
      <c r="ILA5" s="394" t="s">
        <v>89</v>
      </c>
      <c r="ILB5" s="394" t="s">
        <v>89</v>
      </c>
      <c r="ILC5" s="394" t="s">
        <v>89</v>
      </c>
      <c r="ILD5" s="394" t="s">
        <v>89</v>
      </c>
      <c r="ILE5" s="394" t="s">
        <v>89</v>
      </c>
      <c r="ILF5" s="394" t="s">
        <v>89</v>
      </c>
      <c r="ILG5" s="394" t="s">
        <v>89</v>
      </c>
      <c r="ILH5" s="394" t="s">
        <v>89</v>
      </c>
      <c r="ILI5" s="394" t="s">
        <v>89</v>
      </c>
      <c r="ILJ5" s="394" t="s">
        <v>89</v>
      </c>
      <c r="ILK5" s="394" t="s">
        <v>89</v>
      </c>
      <c r="ILL5" s="394" t="s">
        <v>89</v>
      </c>
      <c r="ILM5" s="394" t="s">
        <v>89</v>
      </c>
      <c r="ILN5" s="394" t="s">
        <v>89</v>
      </c>
      <c r="ILO5" s="394" t="s">
        <v>89</v>
      </c>
      <c r="ILP5" s="394" t="s">
        <v>89</v>
      </c>
      <c r="ILQ5" s="394" t="s">
        <v>89</v>
      </c>
      <c r="ILR5" s="394" t="s">
        <v>89</v>
      </c>
      <c r="ILS5" s="394" t="s">
        <v>89</v>
      </c>
      <c r="ILT5" s="394" t="s">
        <v>89</v>
      </c>
      <c r="ILU5" s="394" t="s">
        <v>89</v>
      </c>
      <c r="ILV5" s="394" t="s">
        <v>89</v>
      </c>
      <c r="ILW5" s="394" t="s">
        <v>89</v>
      </c>
      <c r="ILX5" s="394" t="s">
        <v>89</v>
      </c>
      <c r="ILY5" s="394" t="s">
        <v>89</v>
      </c>
      <c r="ILZ5" s="394" t="s">
        <v>89</v>
      </c>
      <c r="IMA5" s="394" t="s">
        <v>89</v>
      </c>
      <c r="IMB5" s="394" t="s">
        <v>89</v>
      </c>
      <c r="IMC5" s="394" t="s">
        <v>89</v>
      </c>
      <c r="IMD5" s="394" t="s">
        <v>89</v>
      </c>
      <c r="IME5" s="394" t="s">
        <v>89</v>
      </c>
      <c r="IMF5" s="394" t="s">
        <v>89</v>
      </c>
      <c r="IMG5" s="394" t="s">
        <v>89</v>
      </c>
      <c r="IMH5" s="394" t="s">
        <v>89</v>
      </c>
      <c r="IMI5" s="394" t="s">
        <v>89</v>
      </c>
      <c r="IMJ5" s="394" t="s">
        <v>89</v>
      </c>
      <c r="IMK5" s="394" t="s">
        <v>89</v>
      </c>
      <c r="IML5" s="394" t="s">
        <v>89</v>
      </c>
      <c r="IMM5" s="394" t="s">
        <v>89</v>
      </c>
      <c r="IMN5" s="394" t="s">
        <v>89</v>
      </c>
      <c r="IMO5" s="394" t="s">
        <v>89</v>
      </c>
      <c r="IMP5" s="394" t="s">
        <v>89</v>
      </c>
      <c r="IMQ5" s="394" t="s">
        <v>89</v>
      </c>
      <c r="IMR5" s="394" t="s">
        <v>89</v>
      </c>
      <c r="IMS5" s="394" t="s">
        <v>89</v>
      </c>
      <c r="IMT5" s="394" t="s">
        <v>89</v>
      </c>
      <c r="IMU5" s="394" t="s">
        <v>89</v>
      </c>
      <c r="IMV5" s="394" t="s">
        <v>89</v>
      </c>
      <c r="IMW5" s="394" t="s">
        <v>89</v>
      </c>
      <c r="IMX5" s="394" t="s">
        <v>89</v>
      </c>
      <c r="IMY5" s="394" t="s">
        <v>89</v>
      </c>
      <c r="IMZ5" s="394" t="s">
        <v>89</v>
      </c>
      <c r="INA5" s="394" t="s">
        <v>89</v>
      </c>
      <c r="INB5" s="394" t="s">
        <v>89</v>
      </c>
      <c r="INC5" s="394" t="s">
        <v>89</v>
      </c>
      <c r="IND5" s="394" t="s">
        <v>89</v>
      </c>
      <c r="INE5" s="394" t="s">
        <v>89</v>
      </c>
      <c r="INF5" s="394" t="s">
        <v>89</v>
      </c>
      <c r="ING5" s="394" t="s">
        <v>89</v>
      </c>
      <c r="INH5" s="394" t="s">
        <v>89</v>
      </c>
      <c r="INI5" s="394" t="s">
        <v>89</v>
      </c>
      <c r="INJ5" s="394" t="s">
        <v>89</v>
      </c>
      <c r="INK5" s="394" t="s">
        <v>89</v>
      </c>
      <c r="INL5" s="394" t="s">
        <v>89</v>
      </c>
      <c r="INM5" s="394" t="s">
        <v>89</v>
      </c>
      <c r="INN5" s="394" t="s">
        <v>89</v>
      </c>
      <c r="INO5" s="394" t="s">
        <v>89</v>
      </c>
      <c r="INP5" s="394" t="s">
        <v>89</v>
      </c>
      <c r="INQ5" s="394" t="s">
        <v>89</v>
      </c>
      <c r="INR5" s="394" t="s">
        <v>89</v>
      </c>
      <c r="INS5" s="394" t="s">
        <v>89</v>
      </c>
      <c r="INT5" s="394" t="s">
        <v>89</v>
      </c>
      <c r="INU5" s="394" t="s">
        <v>89</v>
      </c>
      <c r="INV5" s="394" t="s">
        <v>89</v>
      </c>
      <c r="INW5" s="394" t="s">
        <v>89</v>
      </c>
      <c r="INX5" s="394" t="s">
        <v>89</v>
      </c>
      <c r="INY5" s="394" t="s">
        <v>89</v>
      </c>
      <c r="INZ5" s="394" t="s">
        <v>89</v>
      </c>
      <c r="IOA5" s="394" t="s">
        <v>89</v>
      </c>
      <c r="IOB5" s="394" t="s">
        <v>89</v>
      </c>
      <c r="IOC5" s="394" t="s">
        <v>89</v>
      </c>
      <c r="IOD5" s="394" t="s">
        <v>89</v>
      </c>
      <c r="IOE5" s="394" t="s">
        <v>89</v>
      </c>
      <c r="IOF5" s="394" t="s">
        <v>89</v>
      </c>
      <c r="IOG5" s="394" t="s">
        <v>89</v>
      </c>
      <c r="IOH5" s="394" t="s">
        <v>89</v>
      </c>
      <c r="IOI5" s="394" t="s">
        <v>89</v>
      </c>
      <c r="IOJ5" s="394" t="s">
        <v>89</v>
      </c>
      <c r="IOK5" s="394" t="s">
        <v>89</v>
      </c>
      <c r="IOL5" s="394" t="s">
        <v>89</v>
      </c>
      <c r="IOM5" s="394" t="s">
        <v>89</v>
      </c>
      <c r="ION5" s="394" t="s">
        <v>89</v>
      </c>
      <c r="IOO5" s="394" t="s">
        <v>89</v>
      </c>
      <c r="IOP5" s="394" t="s">
        <v>89</v>
      </c>
      <c r="IOQ5" s="394" t="s">
        <v>89</v>
      </c>
      <c r="IOR5" s="394" t="s">
        <v>89</v>
      </c>
      <c r="IOS5" s="394" t="s">
        <v>89</v>
      </c>
      <c r="IOT5" s="394" t="s">
        <v>89</v>
      </c>
      <c r="IOU5" s="394" t="s">
        <v>89</v>
      </c>
      <c r="IOV5" s="394" t="s">
        <v>89</v>
      </c>
      <c r="IOW5" s="394" t="s">
        <v>89</v>
      </c>
      <c r="IOX5" s="394" t="s">
        <v>89</v>
      </c>
      <c r="IOY5" s="394" t="s">
        <v>89</v>
      </c>
      <c r="IOZ5" s="394" t="s">
        <v>89</v>
      </c>
      <c r="IPA5" s="394" t="s">
        <v>89</v>
      </c>
      <c r="IPB5" s="394" t="s">
        <v>89</v>
      </c>
      <c r="IPC5" s="394" t="s">
        <v>89</v>
      </c>
      <c r="IPD5" s="394" t="s">
        <v>89</v>
      </c>
      <c r="IPE5" s="394" t="s">
        <v>89</v>
      </c>
      <c r="IPF5" s="394" t="s">
        <v>89</v>
      </c>
      <c r="IPG5" s="394" t="s">
        <v>89</v>
      </c>
      <c r="IPH5" s="394" t="s">
        <v>89</v>
      </c>
      <c r="IPI5" s="394" t="s">
        <v>89</v>
      </c>
      <c r="IPJ5" s="394" t="s">
        <v>89</v>
      </c>
      <c r="IPK5" s="394" t="s">
        <v>89</v>
      </c>
      <c r="IPL5" s="394" t="s">
        <v>89</v>
      </c>
      <c r="IPM5" s="394" t="s">
        <v>89</v>
      </c>
      <c r="IPN5" s="394" t="s">
        <v>89</v>
      </c>
      <c r="IPO5" s="394" t="s">
        <v>89</v>
      </c>
      <c r="IPP5" s="394" t="s">
        <v>89</v>
      </c>
      <c r="IPQ5" s="394" t="s">
        <v>89</v>
      </c>
      <c r="IPR5" s="394" t="s">
        <v>89</v>
      </c>
      <c r="IPS5" s="394" t="s">
        <v>89</v>
      </c>
      <c r="IPT5" s="394" t="s">
        <v>89</v>
      </c>
      <c r="IPU5" s="394" t="s">
        <v>89</v>
      </c>
      <c r="IPV5" s="394" t="s">
        <v>89</v>
      </c>
      <c r="IPW5" s="394" t="s">
        <v>89</v>
      </c>
      <c r="IPX5" s="394" t="s">
        <v>89</v>
      </c>
      <c r="IPY5" s="394" t="s">
        <v>89</v>
      </c>
      <c r="IPZ5" s="394" t="s">
        <v>89</v>
      </c>
      <c r="IQA5" s="394" t="s">
        <v>89</v>
      </c>
      <c r="IQB5" s="394" t="s">
        <v>89</v>
      </c>
      <c r="IQC5" s="394" t="s">
        <v>89</v>
      </c>
      <c r="IQD5" s="394" t="s">
        <v>89</v>
      </c>
      <c r="IQE5" s="394" t="s">
        <v>89</v>
      </c>
      <c r="IQF5" s="394" t="s">
        <v>89</v>
      </c>
      <c r="IQG5" s="394" t="s">
        <v>89</v>
      </c>
      <c r="IQH5" s="394" t="s">
        <v>89</v>
      </c>
      <c r="IQI5" s="394" t="s">
        <v>89</v>
      </c>
      <c r="IQJ5" s="394" t="s">
        <v>89</v>
      </c>
      <c r="IQK5" s="394" t="s">
        <v>89</v>
      </c>
      <c r="IQL5" s="394" t="s">
        <v>89</v>
      </c>
      <c r="IQM5" s="394" t="s">
        <v>89</v>
      </c>
      <c r="IQN5" s="394" t="s">
        <v>89</v>
      </c>
      <c r="IQO5" s="394" t="s">
        <v>89</v>
      </c>
      <c r="IQP5" s="394" t="s">
        <v>89</v>
      </c>
      <c r="IQQ5" s="394" t="s">
        <v>89</v>
      </c>
      <c r="IQR5" s="394" t="s">
        <v>89</v>
      </c>
      <c r="IQS5" s="394" t="s">
        <v>89</v>
      </c>
      <c r="IQT5" s="394" t="s">
        <v>89</v>
      </c>
      <c r="IQU5" s="394" t="s">
        <v>89</v>
      </c>
      <c r="IQV5" s="394" t="s">
        <v>89</v>
      </c>
      <c r="IQW5" s="394" t="s">
        <v>89</v>
      </c>
      <c r="IQX5" s="394" t="s">
        <v>89</v>
      </c>
      <c r="IQY5" s="394" t="s">
        <v>89</v>
      </c>
      <c r="IQZ5" s="394" t="s">
        <v>89</v>
      </c>
      <c r="IRA5" s="394" t="s">
        <v>89</v>
      </c>
      <c r="IRB5" s="394" t="s">
        <v>89</v>
      </c>
      <c r="IRC5" s="394" t="s">
        <v>89</v>
      </c>
      <c r="IRD5" s="394" t="s">
        <v>89</v>
      </c>
      <c r="IRE5" s="394" t="s">
        <v>89</v>
      </c>
      <c r="IRF5" s="394" t="s">
        <v>89</v>
      </c>
      <c r="IRG5" s="394" t="s">
        <v>89</v>
      </c>
      <c r="IRH5" s="394" t="s">
        <v>89</v>
      </c>
      <c r="IRI5" s="394" t="s">
        <v>89</v>
      </c>
      <c r="IRJ5" s="394" t="s">
        <v>89</v>
      </c>
      <c r="IRK5" s="394" t="s">
        <v>89</v>
      </c>
      <c r="IRL5" s="394" t="s">
        <v>89</v>
      </c>
      <c r="IRM5" s="394" t="s">
        <v>89</v>
      </c>
      <c r="IRN5" s="394" t="s">
        <v>89</v>
      </c>
      <c r="IRO5" s="394" t="s">
        <v>89</v>
      </c>
      <c r="IRP5" s="394" t="s">
        <v>89</v>
      </c>
      <c r="IRQ5" s="394" t="s">
        <v>89</v>
      </c>
      <c r="IRR5" s="394" t="s">
        <v>89</v>
      </c>
      <c r="IRS5" s="394" t="s">
        <v>89</v>
      </c>
      <c r="IRT5" s="394" t="s">
        <v>89</v>
      </c>
      <c r="IRU5" s="394" t="s">
        <v>89</v>
      </c>
      <c r="IRV5" s="394" t="s">
        <v>89</v>
      </c>
      <c r="IRW5" s="394" t="s">
        <v>89</v>
      </c>
      <c r="IRX5" s="394" t="s">
        <v>89</v>
      </c>
      <c r="IRY5" s="394" t="s">
        <v>89</v>
      </c>
      <c r="IRZ5" s="394" t="s">
        <v>89</v>
      </c>
      <c r="ISA5" s="394" t="s">
        <v>89</v>
      </c>
      <c r="ISB5" s="394" t="s">
        <v>89</v>
      </c>
      <c r="ISC5" s="394" t="s">
        <v>89</v>
      </c>
      <c r="ISD5" s="394" t="s">
        <v>89</v>
      </c>
      <c r="ISE5" s="394" t="s">
        <v>89</v>
      </c>
      <c r="ISF5" s="394" t="s">
        <v>89</v>
      </c>
      <c r="ISG5" s="394" t="s">
        <v>89</v>
      </c>
      <c r="ISH5" s="394" t="s">
        <v>89</v>
      </c>
      <c r="ISI5" s="394" t="s">
        <v>89</v>
      </c>
      <c r="ISJ5" s="394" t="s">
        <v>89</v>
      </c>
      <c r="ISK5" s="394" t="s">
        <v>89</v>
      </c>
      <c r="ISL5" s="394" t="s">
        <v>89</v>
      </c>
      <c r="ISM5" s="394" t="s">
        <v>89</v>
      </c>
      <c r="ISN5" s="394" t="s">
        <v>89</v>
      </c>
      <c r="ISO5" s="394" t="s">
        <v>89</v>
      </c>
      <c r="ISP5" s="394" t="s">
        <v>89</v>
      </c>
      <c r="ISQ5" s="394" t="s">
        <v>89</v>
      </c>
      <c r="ISR5" s="394" t="s">
        <v>89</v>
      </c>
      <c r="ISS5" s="394" t="s">
        <v>89</v>
      </c>
      <c r="IST5" s="394" t="s">
        <v>89</v>
      </c>
      <c r="ISU5" s="394" t="s">
        <v>89</v>
      </c>
      <c r="ISV5" s="394" t="s">
        <v>89</v>
      </c>
      <c r="ISW5" s="394" t="s">
        <v>89</v>
      </c>
      <c r="ISX5" s="394" t="s">
        <v>89</v>
      </c>
      <c r="ISY5" s="394" t="s">
        <v>89</v>
      </c>
      <c r="ISZ5" s="394" t="s">
        <v>89</v>
      </c>
      <c r="ITA5" s="394" t="s">
        <v>89</v>
      </c>
      <c r="ITB5" s="394" t="s">
        <v>89</v>
      </c>
      <c r="ITC5" s="394" t="s">
        <v>89</v>
      </c>
      <c r="ITD5" s="394" t="s">
        <v>89</v>
      </c>
      <c r="ITE5" s="394" t="s">
        <v>89</v>
      </c>
      <c r="ITF5" s="394" t="s">
        <v>89</v>
      </c>
      <c r="ITG5" s="394" t="s">
        <v>89</v>
      </c>
      <c r="ITH5" s="394" t="s">
        <v>89</v>
      </c>
      <c r="ITI5" s="394" t="s">
        <v>89</v>
      </c>
      <c r="ITJ5" s="394" t="s">
        <v>89</v>
      </c>
      <c r="ITK5" s="394" t="s">
        <v>89</v>
      </c>
      <c r="ITL5" s="394" t="s">
        <v>89</v>
      </c>
      <c r="ITM5" s="394" t="s">
        <v>89</v>
      </c>
      <c r="ITN5" s="394" t="s">
        <v>89</v>
      </c>
      <c r="ITO5" s="394" t="s">
        <v>89</v>
      </c>
      <c r="ITP5" s="394" t="s">
        <v>89</v>
      </c>
      <c r="ITQ5" s="394" t="s">
        <v>89</v>
      </c>
      <c r="ITR5" s="394" t="s">
        <v>89</v>
      </c>
      <c r="ITS5" s="394" t="s">
        <v>89</v>
      </c>
      <c r="ITT5" s="394" t="s">
        <v>89</v>
      </c>
      <c r="ITU5" s="394" t="s">
        <v>89</v>
      </c>
      <c r="ITV5" s="394" t="s">
        <v>89</v>
      </c>
      <c r="ITW5" s="394" t="s">
        <v>89</v>
      </c>
      <c r="ITX5" s="394" t="s">
        <v>89</v>
      </c>
      <c r="ITY5" s="394" t="s">
        <v>89</v>
      </c>
      <c r="ITZ5" s="394" t="s">
        <v>89</v>
      </c>
      <c r="IUA5" s="394" t="s">
        <v>89</v>
      </c>
      <c r="IUB5" s="394" t="s">
        <v>89</v>
      </c>
      <c r="IUC5" s="394" t="s">
        <v>89</v>
      </c>
      <c r="IUD5" s="394" t="s">
        <v>89</v>
      </c>
      <c r="IUE5" s="394" t="s">
        <v>89</v>
      </c>
      <c r="IUF5" s="394" t="s">
        <v>89</v>
      </c>
      <c r="IUG5" s="394" t="s">
        <v>89</v>
      </c>
      <c r="IUH5" s="394" t="s">
        <v>89</v>
      </c>
      <c r="IUI5" s="394" t="s">
        <v>89</v>
      </c>
      <c r="IUJ5" s="394" t="s">
        <v>89</v>
      </c>
      <c r="IUK5" s="394" t="s">
        <v>89</v>
      </c>
      <c r="IUL5" s="394" t="s">
        <v>89</v>
      </c>
      <c r="IUM5" s="394" t="s">
        <v>89</v>
      </c>
      <c r="IUN5" s="394" t="s">
        <v>89</v>
      </c>
      <c r="IUO5" s="394" t="s">
        <v>89</v>
      </c>
      <c r="IUP5" s="394" t="s">
        <v>89</v>
      </c>
      <c r="IUQ5" s="394" t="s">
        <v>89</v>
      </c>
      <c r="IUR5" s="394" t="s">
        <v>89</v>
      </c>
      <c r="IUS5" s="394" t="s">
        <v>89</v>
      </c>
      <c r="IUT5" s="394" t="s">
        <v>89</v>
      </c>
      <c r="IUU5" s="394" t="s">
        <v>89</v>
      </c>
      <c r="IUV5" s="394" t="s">
        <v>89</v>
      </c>
      <c r="IUW5" s="394" t="s">
        <v>89</v>
      </c>
      <c r="IUX5" s="394" t="s">
        <v>89</v>
      </c>
      <c r="IUY5" s="394" t="s">
        <v>89</v>
      </c>
      <c r="IUZ5" s="394" t="s">
        <v>89</v>
      </c>
      <c r="IVA5" s="394" t="s">
        <v>89</v>
      </c>
      <c r="IVB5" s="394" t="s">
        <v>89</v>
      </c>
      <c r="IVC5" s="394" t="s">
        <v>89</v>
      </c>
      <c r="IVD5" s="394" t="s">
        <v>89</v>
      </c>
      <c r="IVE5" s="394" t="s">
        <v>89</v>
      </c>
      <c r="IVF5" s="394" t="s">
        <v>89</v>
      </c>
      <c r="IVG5" s="394" t="s">
        <v>89</v>
      </c>
      <c r="IVH5" s="394" t="s">
        <v>89</v>
      </c>
      <c r="IVI5" s="394" t="s">
        <v>89</v>
      </c>
      <c r="IVJ5" s="394" t="s">
        <v>89</v>
      </c>
      <c r="IVK5" s="394" t="s">
        <v>89</v>
      </c>
      <c r="IVL5" s="394" t="s">
        <v>89</v>
      </c>
      <c r="IVM5" s="394" t="s">
        <v>89</v>
      </c>
      <c r="IVN5" s="394" t="s">
        <v>89</v>
      </c>
      <c r="IVO5" s="394" t="s">
        <v>89</v>
      </c>
      <c r="IVP5" s="394" t="s">
        <v>89</v>
      </c>
      <c r="IVQ5" s="394" t="s">
        <v>89</v>
      </c>
      <c r="IVR5" s="394" t="s">
        <v>89</v>
      </c>
      <c r="IVS5" s="394" t="s">
        <v>89</v>
      </c>
      <c r="IVT5" s="394" t="s">
        <v>89</v>
      </c>
      <c r="IVU5" s="394" t="s">
        <v>89</v>
      </c>
      <c r="IVV5" s="394" t="s">
        <v>89</v>
      </c>
      <c r="IVW5" s="394" t="s">
        <v>89</v>
      </c>
      <c r="IVX5" s="394" t="s">
        <v>89</v>
      </c>
      <c r="IVY5" s="394" t="s">
        <v>89</v>
      </c>
      <c r="IVZ5" s="394" t="s">
        <v>89</v>
      </c>
      <c r="IWA5" s="394" t="s">
        <v>89</v>
      </c>
      <c r="IWB5" s="394" t="s">
        <v>89</v>
      </c>
      <c r="IWC5" s="394" t="s">
        <v>89</v>
      </c>
      <c r="IWD5" s="394" t="s">
        <v>89</v>
      </c>
      <c r="IWE5" s="394" t="s">
        <v>89</v>
      </c>
      <c r="IWF5" s="394" t="s">
        <v>89</v>
      </c>
      <c r="IWG5" s="394" t="s">
        <v>89</v>
      </c>
      <c r="IWH5" s="394" t="s">
        <v>89</v>
      </c>
      <c r="IWI5" s="394" t="s">
        <v>89</v>
      </c>
      <c r="IWJ5" s="394" t="s">
        <v>89</v>
      </c>
      <c r="IWK5" s="394" t="s">
        <v>89</v>
      </c>
      <c r="IWL5" s="394" t="s">
        <v>89</v>
      </c>
      <c r="IWM5" s="394" t="s">
        <v>89</v>
      </c>
      <c r="IWN5" s="394" t="s">
        <v>89</v>
      </c>
      <c r="IWO5" s="394" t="s">
        <v>89</v>
      </c>
      <c r="IWP5" s="394" t="s">
        <v>89</v>
      </c>
      <c r="IWQ5" s="394" t="s">
        <v>89</v>
      </c>
      <c r="IWR5" s="394" t="s">
        <v>89</v>
      </c>
      <c r="IWS5" s="394" t="s">
        <v>89</v>
      </c>
      <c r="IWT5" s="394" t="s">
        <v>89</v>
      </c>
      <c r="IWU5" s="394" t="s">
        <v>89</v>
      </c>
      <c r="IWV5" s="394" t="s">
        <v>89</v>
      </c>
      <c r="IWW5" s="394" t="s">
        <v>89</v>
      </c>
      <c r="IWX5" s="394" t="s">
        <v>89</v>
      </c>
      <c r="IWY5" s="394" t="s">
        <v>89</v>
      </c>
      <c r="IWZ5" s="394" t="s">
        <v>89</v>
      </c>
      <c r="IXA5" s="394" t="s">
        <v>89</v>
      </c>
      <c r="IXB5" s="394" t="s">
        <v>89</v>
      </c>
      <c r="IXC5" s="394" t="s">
        <v>89</v>
      </c>
      <c r="IXD5" s="394" t="s">
        <v>89</v>
      </c>
      <c r="IXE5" s="394" t="s">
        <v>89</v>
      </c>
      <c r="IXF5" s="394" t="s">
        <v>89</v>
      </c>
      <c r="IXG5" s="394" t="s">
        <v>89</v>
      </c>
      <c r="IXH5" s="394" t="s">
        <v>89</v>
      </c>
      <c r="IXI5" s="394" t="s">
        <v>89</v>
      </c>
      <c r="IXJ5" s="394" t="s">
        <v>89</v>
      </c>
      <c r="IXK5" s="394" t="s">
        <v>89</v>
      </c>
      <c r="IXL5" s="394" t="s">
        <v>89</v>
      </c>
      <c r="IXM5" s="394" t="s">
        <v>89</v>
      </c>
      <c r="IXN5" s="394" t="s">
        <v>89</v>
      </c>
      <c r="IXO5" s="394" t="s">
        <v>89</v>
      </c>
      <c r="IXP5" s="394" t="s">
        <v>89</v>
      </c>
      <c r="IXQ5" s="394" t="s">
        <v>89</v>
      </c>
      <c r="IXR5" s="394" t="s">
        <v>89</v>
      </c>
      <c r="IXS5" s="394" t="s">
        <v>89</v>
      </c>
      <c r="IXT5" s="394" t="s">
        <v>89</v>
      </c>
      <c r="IXU5" s="394" t="s">
        <v>89</v>
      </c>
      <c r="IXV5" s="394" t="s">
        <v>89</v>
      </c>
      <c r="IXW5" s="394" t="s">
        <v>89</v>
      </c>
      <c r="IXX5" s="394" t="s">
        <v>89</v>
      </c>
      <c r="IXY5" s="394" t="s">
        <v>89</v>
      </c>
      <c r="IXZ5" s="394" t="s">
        <v>89</v>
      </c>
      <c r="IYA5" s="394" t="s">
        <v>89</v>
      </c>
      <c r="IYB5" s="394" t="s">
        <v>89</v>
      </c>
      <c r="IYC5" s="394" t="s">
        <v>89</v>
      </c>
      <c r="IYD5" s="394" t="s">
        <v>89</v>
      </c>
      <c r="IYE5" s="394" t="s">
        <v>89</v>
      </c>
      <c r="IYF5" s="394" t="s">
        <v>89</v>
      </c>
      <c r="IYG5" s="394" t="s">
        <v>89</v>
      </c>
      <c r="IYH5" s="394" t="s">
        <v>89</v>
      </c>
      <c r="IYI5" s="394" t="s">
        <v>89</v>
      </c>
      <c r="IYJ5" s="394" t="s">
        <v>89</v>
      </c>
      <c r="IYK5" s="394" t="s">
        <v>89</v>
      </c>
      <c r="IYL5" s="394" t="s">
        <v>89</v>
      </c>
      <c r="IYM5" s="394" t="s">
        <v>89</v>
      </c>
      <c r="IYN5" s="394" t="s">
        <v>89</v>
      </c>
      <c r="IYO5" s="394" t="s">
        <v>89</v>
      </c>
      <c r="IYP5" s="394" t="s">
        <v>89</v>
      </c>
      <c r="IYQ5" s="394" t="s">
        <v>89</v>
      </c>
      <c r="IYR5" s="394" t="s">
        <v>89</v>
      </c>
      <c r="IYS5" s="394" t="s">
        <v>89</v>
      </c>
      <c r="IYT5" s="394" t="s">
        <v>89</v>
      </c>
      <c r="IYU5" s="394" t="s">
        <v>89</v>
      </c>
      <c r="IYV5" s="394" t="s">
        <v>89</v>
      </c>
      <c r="IYW5" s="394" t="s">
        <v>89</v>
      </c>
      <c r="IYX5" s="394" t="s">
        <v>89</v>
      </c>
      <c r="IYY5" s="394" t="s">
        <v>89</v>
      </c>
      <c r="IYZ5" s="394" t="s">
        <v>89</v>
      </c>
      <c r="IZA5" s="394" t="s">
        <v>89</v>
      </c>
      <c r="IZB5" s="394" t="s">
        <v>89</v>
      </c>
      <c r="IZC5" s="394" t="s">
        <v>89</v>
      </c>
      <c r="IZD5" s="394" t="s">
        <v>89</v>
      </c>
      <c r="IZE5" s="394" t="s">
        <v>89</v>
      </c>
      <c r="IZF5" s="394" t="s">
        <v>89</v>
      </c>
      <c r="IZG5" s="394" t="s">
        <v>89</v>
      </c>
      <c r="IZH5" s="394" t="s">
        <v>89</v>
      </c>
      <c r="IZI5" s="394" t="s">
        <v>89</v>
      </c>
      <c r="IZJ5" s="394" t="s">
        <v>89</v>
      </c>
      <c r="IZK5" s="394" t="s">
        <v>89</v>
      </c>
      <c r="IZL5" s="394" t="s">
        <v>89</v>
      </c>
      <c r="IZM5" s="394" t="s">
        <v>89</v>
      </c>
      <c r="IZN5" s="394" t="s">
        <v>89</v>
      </c>
      <c r="IZO5" s="394" t="s">
        <v>89</v>
      </c>
      <c r="IZP5" s="394" t="s">
        <v>89</v>
      </c>
      <c r="IZQ5" s="394" t="s">
        <v>89</v>
      </c>
      <c r="IZR5" s="394" t="s">
        <v>89</v>
      </c>
      <c r="IZS5" s="394" t="s">
        <v>89</v>
      </c>
      <c r="IZT5" s="394" t="s">
        <v>89</v>
      </c>
      <c r="IZU5" s="394" t="s">
        <v>89</v>
      </c>
      <c r="IZV5" s="394" t="s">
        <v>89</v>
      </c>
      <c r="IZW5" s="394" t="s">
        <v>89</v>
      </c>
      <c r="IZX5" s="394" t="s">
        <v>89</v>
      </c>
      <c r="IZY5" s="394" t="s">
        <v>89</v>
      </c>
      <c r="IZZ5" s="394" t="s">
        <v>89</v>
      </c>
      <c r="JAA5" s="394" t="s">
        <v>89</v>
      </c>
      <c r="JAB5" s="394" t="s">
        <v>89</v>
      </c>
      <c r="JAC5" s="394" t="s">
        <v>89</v>
      </c>
      <c r="JAD5" s="394" t="s">
        <v>89</v>
      </c>
      <c r="JAE5" s="394" t="s">
        <v>89</v>
      </c>
      <c r="JAF5" s="394" t="s">
        <v>89</v>
      </c>
      <c r="JAG5" s="394" t="s">
        <v>89</v>
      </c>
      <c r="JAH5" s="394" t="s">
        <v>89</v>
      </c>
      <c r="JAI5" s="394" t="s">
        <v>89</v>
      </c>
      <c r="JAJ5" s="394" t="s">
        <v>89</v>
      </c>
      <c r="JAK5" s="394" t="s">
        <v>89</v>
      </c>
      <c r="JAL5" s="394" t="s">
        <v>89</v>
      </c>
      <c r="JAM5" s="394" t="s">
        <v>89</v>
      </c>
      <c r="JAN5" s="394" t="s">
        <v>89</v>
      </c>
      <c r="JAO5" s="394" t="s">
        <v>89</v>
      </c>
      <c r="JAP5" s="394" t="s">
        <v>89</v>
      </c>
      <c r="JAQ5" s="394" t="s">
        <v>89</v>
      </c>
      <c r="JAR5" s="394" t="s">
        <v>89</v>
      </c>
      <c r="JAS5" s="394" t="s">
        <v>89</v>
      </c>
      <c r="JAT5" s="394" t="s">
        <v>89</v>
      </c>
      <c r="JAU5" s="394" t="s">
        <v>89</v>
      </c>
      <c r="JAV5" s="394" t="s">
        <v>89</v>
      </c>
      <c r="JAW5" s="394" t="s">
        <v>89</v>
      </c>
      <c r="JAX5" s="394" t="s">
        <v>89</v>
      </c>
      <c r="JAY5" s="394" t="s">
        <v>89</v>
      </c>
      <c r="JAZ5" s="394" t="s">
        <v>89</v>
      </c>
      <c r="JBA5" s="394" t="s">
        <v>89</v>
      </c>
      <c r="JBB5" s="394" t="s">
        <v>89</v>
      </c>
      <c r="JBC5" s="394" t="s">
        <v>89</v>
      </c>
      <c r="JBD5" s="394" t="s">
        <v>89</v>
      </c>
      <c r="JBE5" s="394" t="s">
        <v>89</v>
      </c>
      <c r="JBF5" s="394" t="s">
        <v>89</v>
      </c>
      <c r="JBG5" s="394" t="s">
        <v>89</v>
      </c>
      <c r="JBH5" s="394" t="s">
        <v>89</v>
      </c>
      <c r="JBI5" s="394" t="s">
        <v>89</v>
      </c>
      <c r="JBJ5" s="394" t="s">
        <v>89</v>
      </c>
      <c r="JBK5" s="394" t="s">
        <v>89</v>
      </c>
      <c r="JBL5" s="394" t="s">
        <v>89</v>
      </c>
      <c r="JBM5" s="394" t="s">
        <v>89</v>
      </c>
      <c r="JBN5" s="394" t="s">
        <v>89</v>
      </c>
      <c r="JBO5" s="394" t="s">
        <v>89</v>
      </c>
      <c r="JBP5" s="394" t="s">
        <v>89</v>
      </c>
      <c r="JBQ5" s="394" t="s">
        <v>89</v>
      </c>
      <c r="JBR5" s="394" t="s">
        <v>89</v>
      </c>
      <c r="JBS5" s="394" t="s">
        <v>89</v>
      </c>
      <c r="JBT5" s="394" t="s">
        <v>89</v>
      </c>
      <c r="JBU5" s="394" t="s">
        <v>89</v>
      </c>
      <c r="JBV5" s="394" t="s">
        <v>89</v>
      </c>
      <c r="JBW5" s="394" t="s">
        <v>89</v>
      </c>
      <c r="JBX5" s="394" t="s">
        <v>89</v>
      </c>
      <c r="JBY5" s="394" t="s">
        <v>89</v>
      </c>
      <c r="JBZ5" s="394" t="s">
        <v>89</v>
      </c>
      <c r="JCA5" s="394" t="s">
        <v>89</v>
      </c>
      <c r="JCB5" s="394" t="s">
        <v>89</v>
      </c>
      <c r="JCC5" s="394" t="s">
        <v>89</v>
      </c>
      <c r="JCD5" s="394" t="s">
        <v>89</v>
      </c>
      <c r="JCE5" s="394" t="s">
        <v>89</v>
      </c>
      <c r="JCF5" s="394" t="s">
        <v>89</v>
      </c>
      <c r="JCG5" s="394" t="s">
        <v>89</v>
      </c>
      <c r="JCH5" s="394" t="s">
        <v>89</v>
      </c>
      <c r="JCI5" s="394" t="s">
        <v>89</v>
      </c>
      <c r="JCJ5" s="394" t="s">
        <v>89</v>
      </c>
      <c r="JCK5" s="394" t="s">
        <v>89</v>
      </c>
      <c r="JCL5" s="394" t="s">
        <v>89</v>
      </c>
      <c r="JCM5" s="394" t="s">
        <v>89</v>
      </c>
      <c r="JCN5" s="394" t="s">
        <v>89</v>
      </c>
      <c r="JCO5" s="394" t="s">
        <v>89</v>
      </c>
      <c r="JCP5" s="394" t="s">
        <v>89</v>
      </c>
      <c r="JCQ5" s="394" t="s">
        <v>89</v>
      </c>
      <c r="JCR5" s="394" t="s">
        <v>89</v>
      </c>
      <c r="JCS5" s="394" t="s">
        <v>89</v>
      </c>
      <c r="JCT5" s="394" t="s">
        <v>89</v>
      </c>
      <c r="JCU5" s="394" t="s">
        <v>89</v>
      </c>
      <c r="JCV5" s="394" t="s">
        <v>89</v>
      </c>
      <c r="JCW5" s="394" t="s">
        <v>89</v>
      </c>
      <c r="JCX5" s="394" t="s">
        <v>89</v>
      </c>
      <c r="JCY5" s="394" t="s">
        <v>89</v>
      </c>
      <c r="JCZ5" s="394" t="s">
        <v>89</v>
      </c>
      <c r="JDA5" s="394" t="s">
        <v>89</v>
      </c>
      <c r="JDB5" s="394" t="s">
        <v>89</v>
      </c>
      <c r="JDC5" s="394" t="s">
        <v>89</v>
      </c>
      <c r="JDD5" s="394" t="s">
        <v>89</v>
      </c>
      <c r="JDE5" s="394" t="s">
        <v>89</v>
      </c>
      <c r="JDF5" s="394" t="s">
        <v>89</v>
      </c>
      <c r="JDG5" s="394" t="s">
        <v>89</v>
      </c>
      <c r="JDH5" s="394" t="s">
        <v>89</v>
      </c>
      <c r="JDI5" s="394" t="s">
        <v>89</v>
      </c>
      <c r="JDJ5" s="394" t="s">
        <v>89</v>
      </c>
      <c r="JDK5" s="394" t="s">
        <v>89</v>
      </c>
      <c r="JDL5" s="394" t="s">
        <v>89</v>
      </c>
      <c r="JDM5" s="394" t="s">
        <v>89</v>
      </c>
      <c r="JDN5" s="394" t="s">
        <v>89</v>
      </c>
      <c r="JDO5" s="394" t="s">
        <v>89</v>
      </c>
      <c r="JDP5" s="394" t="s">
        <v>89</v>
      </c>
      <c r="JDQ5" s="394" t="s">
        <v>89</v>
      </c>
      <c r="JDR5" s="394" t="s">
        <v>89</v>
      </c>
      <c r="JDS5" s="394" t="s">
        <v>89</v>
      </c>
      <c r="JDT5" s="394" t="s">
        <v>89</v>
      </c>
      <c r="JDU5" s="394" t="s">
        <v>89</v>
      </c>
      <c r="JDV5" s="394" t="s">
        <v>89</v>
      </c>
      <c r="JDW5" s="394" t="s">
        <v>89</v>
      </c>
      <c r="JDX5" s="394" t="s">
        <v>89</v>
      </c>
      <c r="JDY5" s="394" t="s">
        <v>89</v>
      </c>
      <c r="JDZ5" s="394" t="s">
        <v>89</v>
      </c>
      <c r="JEA5" s="394" t="s">
        <v>89</v>
      </c>
      <c r="JEB5" s="394" t="s">
        <v>89</v>
      </c>
      <c r="JEC5" s="394" t="s">
        <v>89</v>
      </c>
      <c r="JED5" s="394" t="s">
        <v>89</v>
      </c>
      <c r="JEE5" s="394" t="s">
        <v>89</v>
      </c>
      <c r="JEF5" s="394" t="s">
        <v>89</v>
      </c>
      <c r="JEG5" s="394" t="s">
        <v>89</v>
      </c>
      <c r="JEH5" s="394" t="s">
        <v>89</v>
      </c>
      <c r="JEI5" s="394" t="s">
        <v>89</v>
      </c>
      <c r="JEJ5" s="394" t="s">
        <v>89</v>
      </c>
      <c r="JEK5" s="394" t="s">
        <v>89</v>
      </c>
      <c r="JEL5" s="394" t="s">
        <v>89</v>
      </c>
      <c r="JEM5" s="394" t="s">
        <v>89</v>
      </c>
      <c r="JEN5" s="394" t="s">
        <v>89</v>
      </c>
      <c r="JEO5" s="394" t="s">
        <v>89</v>
      </c>
      <c r="JEP5" s="394" t="s">
        <v>89</v>
      </c>
      <c r="JEQ5" s="394" t="s">
        <v>89</v>
      </c>
      <c r="JER5" s="394" t="s">
        <v>89</v>
      </c>
      <c r="JES5" s="394" t="s">
        <v>89</v>
      </c>
      <c r="JET5" s="394" t="s">
        <v>89</v>
      </c>
      <c r="JEU5" s="394" t="s">
        <v>89</v>
      </c>
      <c r="JEV5" s="394" t="s">
        <v>89</v>
      </c>
      <c r="JEW5" s="394" t="s">
        <v>89</v>
      </c>
      <c r="JEX5" s="394" t="s">
        <v>89</v>
      </c>
      <c r="JEY5" s="394" t="s">
        <v>89</v>
      </c>
      <c r="JEZ5" s="394" t="s">
        <v>89</v>
      </c>
      <c r="JFA5" s="394" t="s">
        <v>89</v>
      </c>
      <c r="JFB5" s="394" t="s">
        <v>89</v>
      </c>
      <c r="JFC5" s="394" t="s">
        <v>89</v>
      </c>
      <c r="JFD5" s="394" t="s">
        <v>89</v>
      </c>
      <c r="JFE5" s="394" t="s">
        <v>89</v>
      </c>
      <c r="JFF5" s="394" t="s">
        <v>89</v>
      </c>
      <c r="JFG5" s="394" t="s">
        <v>89</v>
      </c>
      <c r="JFH5" s="394" t="s">
        <v>89</v>
      </c>
      <c r="JFI5" s="394" t="s">
        <v>89</v>
      </c>
      <c r="JFJ5" s="394" t="s">
        <v>89</v>
      </c>
      <c r="JFK5" s="394" t="s">
        <v>89</v>
      </c>
      <c r="JFL5" s="394" t="s">
        <v>89</v>
      </c>
      <c r="JFM5" s="394" t="s">
        <v>89</v>
      </c>
      <c r="JFN5" s="394" t="s">
        <v>89</v>
      </c>
      <c r="JFO5" s="394" t="s">
        <v>89</v>
      </c>
      <c r="JFP5" s="394" t="s">
        <v>89</v>
      </c>
      <c r="JFQ5" s="394" t="s">
        <v>89</v>
      </c>
      <c r="JFR5" s="394" t="s">
        <v>89</v>
      </c>
      <c r="JFS5" s="394" t="s">
        <v>89</v>
      </c>
      <c r="JFT5" s="394" t="s">
        <v>89</v>
      </c>
      <c r="JFU5" s="394" t="s">
        <v>89</v>
      </c>
      <c r="JFV5" s="394" t="s">
        <v>89</v>
      </c>
      <c r="JFW5" s="394" t="s">
        <v>89</v>
      </c>
      <c r="JFX5" s="394" t="s">
        <v>89</v>
      </c>
      <c r="JFY5" s="394" t="s">
        <v>89</v>
      </c>
      <c r="JFZ5" s="394" t="s">
        <v>89</v>
      </c>
      <c r="JGA5" s="394" t="s">
        <v>89</v>
      </c>
      <c r="JGB5" s="394" t="s">
        <v>89</v>
      </c>
      <c r="JGC5" s="394" t="s">
        <v>89</v>
      </c>
      <c r="JGD5" s="394" t="s">
        <v>89</v>
      </c>
      <c r="JGE5" s="394" t="s">
        <v>89</v>
      </c>
      <c r="JGF5" s="394" t="s">
        <v>89</v>
      </c>
      <c r="JGG5" s="394" t="s">
        <v>89</v>
      </c>
      <c r="JGH5" s="394" t="s">
        <v>89</v>
      </c>
      <c r="JGI5" s="394" t="s">
        <v>89</v>
      </c>
      <c r="JGJ5" s="394" t="s">
        <v>89</v>
      </c>
      <c r="JGK5" s="394" t="s">
        <v>89</v>
      </c>
      <c r="JGL5" s="394" t="s">
        <v>89</v>
      </c>
      <c r="JGM5" s="394" t="s">
        <v>89</v>
      </c>
      <c r="JGN5" s="394" t="s">
        <v>89</v>
      </c>
      <c r="JGO5" s="394" t="s">
        <v>89</v>
      </c>
      <c r="JGP5" s="394" t="s">
        <v>89</v>
      </c>
      <c r="JGQ5" s="394" t="s">
        <v>89</v>
      </c>
      <c r="JGR5" s="394" t="s">
        <v>89</v>
      </c>
      <c r="JGS5" s="394" t="s">
        <v>89</v>
      </c>
      <c r="JGT5" s="394" t="s">
        <v>89</v>
      </c>
      <c r="JGU5" s="394" t="s">
        <v>89</v>
      </c>
      <c r="JGV5" s="394" t="s">
        <v>89</v>
      </c>
      <c r="JGW5" s="394" t="s">
        <v>89</v>
      </c>
      <c r="JGX5" s="394" t="s">
        <v>89</v>
      </c>
      <c r="JGY5" s="394" t="s">
        <v>89</v>
      </c>
      <c r="JGZ5" s="394" t="s">
        <v>89</v>
      </c>
      <c r="JHA5" s="394" t="s">
        <v>89</v>
      </c>
      <c r="JHB5" s="394" t="s">
        <v>89</v>
      </c>
      <c r="JHC5" s="394" t="s">
        <v>89</v>
      </c>
      <c r="JHD5" s="394" t="s">
        <v>89</v>
      </c>
      <c r="JHE5" s="394" t="s">
        <v>89</v>
      </c>
      <c r="JHF5" s="394" t="s">
        <v>89</v>
      </c>
      <c r="JHG5" s="394" t="s">
        <v>89</v>
      </c>
      <c r="JHH5" s="394" t="s">
        <v>89</v>
      </c>
      <c r="JHI5" s="394" t="s">
        <v>89</v>
      </c>
      <c r="JHJ5" s="394" t="s">
        <v>89</v>
      </c>
      <c r="JHK5" s="394" t="s">
        <v>89</v>
      </c>
      <c r="JHL5" s="394" t="s">
        <v>89</v>
      </c>
      <c r="JHM5" s="394" t="s">
        <v>89</v>
      </c>
      <c r="JHN5" s="394" t="s">
        <v>89</v>
      </c>
      <c r="JHO5" s="394" t="s">
        <v>89</v>
      </c>
      <c r="JHP5" s="394" t="s">
        <v>89</v>
      </c>
      <c r="JHQ5" s="394" t="s">
        <v>89</v>
      </c>
      <c r="JHR5" s="394" t="s">
        <v>89</v>
      </c>
      <c r="JHS5" s="394" t="s">
        <v>89</v>
      </c>
      <c r="JHT5" s="394" t="s">
        <v>89</v>
      </c>
      <c r="JHU5" s="394" t="s">
        <v>89</v>
      </c>
      <c r="JHV5" s="394" t="s">
        <v>89</v>
      </c>
      <c r="JHW5" s="394" t="s">
        <v>89</v>
      </c>
      <c r="JHX5" s="394" t="s">
        <v>89</v>
      </c>
      <c r="JHY5" s="394" t="s">
        <v>89</v>
      </c>
      <c r="JHZ5" s="394" t="s">
        <v>89</v>
      </c>
      <c r="JIA5" s="394" t="s">
        <v>89</v>
      </c>
      <c r="JIB5" s="394" t="s">
        <v>89</v>
      </c>
      <c r="JIC5" s="394" t="s">
        <v>89</v>
      </c>
      <c r="JID5" s="394" t="s">
        <v>89</v>
      </c>
      <c r="JIE5" s="394" t="s">
        <v>89</v>
      </c>
      <c r="JIF5" s="394" t="s">
        <v>89</v>
      </c>
      <c r="JIG5" s="394" t="s">
        <v>89</v>
      </c>
      <c r="JIH5" s="394" t="s">
        <v>89</v>
      </c>
      <c r="JII5" s="394" t="s">
        <v>89</v>
      </c>
      <c r="JIJ5" s="394" t="s">
        <v>89</v>
      </c>
      <c r="JIK5" s="394" t="s">
        <v>89</v>
      </c>
      <c r="JIL5" s="394" t="s">
        <v>89</v>
      </c>
      <c r="JIM5" s="394" t="s">
        <v>89</v>
      </c>
      <c r="JIN5" s="394" t="s">
        <v>89</v>
      </c>
      <c r="JIO5" s="394" t="s">
        <v>89</v>
      </c>
      <c r="JIP5" s="394" t="s">
        <v>89</v>
      </c>
      <c r="JIQ5" s="394" t="s">
        <v>89</v>
      </c>
      <c r="JIR5" s="394" t="s">
        <v>89</v>
      </c>
      <c r="JIS5" s="394" t="s">
        <v>89</v>
      </c>
      <c r="JIT5" s="394" t="s">
        <v>89</v>
      </c>
      <c r="JIU5" s="394" t="s">
        <v>89</v>
      </c>
      <c r="JIV5" s="394" t="s">
        <v>89</v>
      </c>
      <c r="JIW5" s="394" t="s">
        <v>89</v>
      </c>
      <c r="JIX5" s="394" t="s">
        <v>89</v>
      </c>
      <c r="JIY5" s="394" t="s">
        <v>89</v>
      </c>
      <c r="JIZ5" s="394" t="s">
        <v>89</v>
      </c>
      <c r="JJA5" s="394" t="s">
        <v>89</v>
      </c>
      <c r="JJB5" s="394" t="s">
        <v>89</v>
      </c>
      <c r="JJC5" s="394" t="s">
        <v>89</v>
      </c>
      <c r="JJD5" s="394" t="s">
        <v>89</v>
      </c>
      <c r="JJE5" s="394" t="s">
        <v>89</v>
      </c>
      <c r="JJF5" s="394" t="s">
        <v>89</v>
      </c>
      <c r="JJG5" s="394" t="s">
        <v>89</v>
      </c>
      <c r="JJH5" s="394" t="s">
        <v>89</v>
      </c>
      <c r="JJI5" s="394" t="s">
        <v>89</v>
      </c>
      <c r="JJJ5" s="394" t="s">
        <v>89</v>
      </c>
      <c r="JJK5" s="394" t="s">
        <v>89</v>
      </c>
      <c r="JJL5" s="394" t="s">
        <v>89</v>
      </c>
      <c r="JJM5" s="394" t="s">
        <v>89</v>
      </c>
      <c r="JJN5" s="394" t="s">
        <v>89</v>
      </c>
      <c r="JJO5" s="394" t="s">
        <v>89</v>
      </c>
      <c r="JJP5" s="394" t="s">
        <v>89</v>
      </c>
      <c r="JJQ5" s="394" t="s">
        <v>89</v>
      </c>
      <c r="JJR5" s="394" t="s">
        <v>89</v>
      </c>
      <c r="JJS5" s="394" t="s">
        <v>89</v>
      </c>
      <c r="JJT5" s="394" t="s">
        <v>89</v>
      </c>
      <c r="JJU5" s="394" t="s">
        <v>89</v>
      </c>
      <c r="JJV5" s="394" t="s">
        <v>89</v>
      </c>
      <c r="JJW5" s="394" t="s">
        <v>89</v>
      </c>
      <c r="JJX5" s="394" t="s">
        <v>89</v>
      </c>
      <c r="JJY5" s="394" t="s">
        <v>89</v>
      </c>
      <c r="JJZ5" s="394" t="s">
        <v>89</v>
      </c>
      <c r="JKA5" s="394" t="s">
        <v>89</v>
      </c>
      <c r="JKB5" s="394" t="s">
        <v>89</v>
      </c>
      <c r="JKC5" s="394" t="s">
        <v>89</v>
      </c>
      <c r="JKD5" s="394" t="s">
        <v>89</v>
      </c>
      <c r="JKE5" s="394" t="s">
        <v>89</v>
      </c>
      <c r="JKF5" s="394" t="s">
        <v>89</v>
      </c>
      <c r="JKG5" s="394" t="s">
        <v>89</v>
      </c>
      <c r="JKH5" s="394" t="s">
        <v>89</v>
      </c>
      <c r="JKI5" s="394" t="s">
        <v>89</v>
      </c>
      <c r="JKJ5" s="394" t="s">
        <v>89</v>
      </c>
      <c r="JKK5" s="394" t="s">
        <v>89</v>
      </c>
      <c r="JKL5" s="394" t="s">
        <v>89</v>
      </c>
      <c r="JKM5" s="394" t="s">
        <v>89</v>
      </c>
      <c r="JKN5" s="394" t="s">
        <v>89</v>
      </c>
      <c r="JKO5" s="394" t="s">
        <v>89</v>
      </c>
      <c r="JKP5" s="394" t="s">
        <v>89</v>
      </c>
      <c r="JKQ5" s="394" t="s">
        <v>89</v>
      </c>
      <c r="JKR5" s="394" t="s">
        <v>89</v>
      </c>
      <c r="JKS5" s="394" t="s">
        <v>89</v>
      </c>
      <c r="JKT5" s="394" t="s">
        <v>89</v>
      </c>
      <c r="JKU5" s="394" t="s">
        <v>89</v>
      </c>
      <c r="JKV5" s="394" t="s">
        <v>89</v>
      </c>
      <c r="JKW5" s="394" t="s">
        <v>89</v>
      </c>
      <c r="JKX5" s="394" t="s">
        <v>89</v>
      </c>
      <c r="JKY5" s="394" t="s">
        <v>89</v>
      </c>
      <c r="JKZ5" s="394" t="s">
        <v>89</v>
      </c>
      <c r="JLA5" s="394" t="s">
        <v>89</v>
      </c>
      <c r="JLB5" s="394" t="s">
        <v>89</v>
      </c>
      <c r="JLC5" s="394" t="s">
        <v>89</v>
      </c>
      <c r="JLD5" s="394" t="s">
        <v>89</v>
      </c>
      <c r="JLE5" s="394" t="s">
        <v>89</v>
      </c>
      <c r="JLF5" s="394" t="s">
        <v>89</v>
      </c>
      <c r="JLG5" s="394" t="s">
        <v>89</v>
      </c>
      <c r="JLH5" s="394" t="s">
        <v>89</v>
      </c>
      <c r="JLI5" s="394" t="s">
        <v>89</v>
      </c>
      <c r="JLJ5" s="394" t="s">
        <v>89</v>
      </c>
      <c r="JLK5" s="394" t="s">
        <v>89</v>
      </c>
      <c r="JLL5" s="394" t="s">
        <v>89</v>
      </c>
      <c r="JLM5" s="394" t="s">
        <v>89</v>
      </c>
      <c r="JLN5" s="394" t="s">
        <v>89</v>
      </c>
      <c r="JLO5" s="394" t="s">
        <v>89</v>
      </c>
      <c r="JLP5" s="394" t="s">
        <v>89</v>
      </c>
      <c r="JLQ5" s="394" t="s">
        <v>89</v>
      </c>
      <c r="JLR5" s="394" t="s">
        <v>89</v>
      </c>
      <c r="JLS5" s="394" t="s">
        <v>89</v>
      </c>
      <c r="JLT5" s="394" t="s">
        <v>89</v>
      </c>
      <c r="JLU5" s="394" t="s">
        <v>89</v>
      </c>
      <c r="JLV5" s="394" t="s">
        <v>89</v>
      </c>
      <c r="JLW5" s="394" t="s">
        <v>89</v>
      </c>
      <c r="JLX5" s="394" t="s">
        <v>89</v>
      </c>
      <c r="JLY5" s="394" t="s">
        <v>89</v>
      </c>
      <c r="JLZ5" s="394" t="s">
        <v>89</v>
      </c>
      <c r="JMA5" s="394" t="s">
        <v>89</v>
      </c>
      <c r="JMB5" s="394" t="s">
        <v>89</v>
      </c>
      <c r="JMC5" s="394" t="s">
        <v>89</v>
      </c>
      <c r="JMD5" s="394" t="s">
        <v>89</v>
      </c>
      <c r="JME5" s="394" t="s">
        <v>89</v>
      </c>
      <c r="JMF5" s="394" t="s">
        <v>89</v>
      </c>
      <c r="JMG5" s="394" t="s">
        <v>89</v>
      </c>
      <c r="JMH5" s="394" t="s">
        <v>89</v>
      </c>
      <c r="JMI5" s="394" t="s">
        <v>89</v>
      </c>
      <c r="JMJ5" s="394" t="s">
        <v>89</v>
      </c>
      <c r="JMK5" s="394" t="s">
        <v>89</v>
      </c>
      <c r="JML5" s="394" t="s">
        <v>89</v>
      </c>
      <c r="JMM5" s="394" t="s">
        <v>89</v>
      </c>
      <c r="JMN5" s="394" t="s">
        <v>89</v>
      </c>
      <c r="JMO5" s="394" t="s">
        <v>89</v>
      </c>
      <c r="JMP5" s="394" t="s">
        <v>89</v>
      </c>
      <c r="JMQ5" s="394" t="s">
        <v>89</v>
      </c>
      <c r="JMR5" s="394" t="s">
        <v>89</v>
      </c>
      <c r="JMS5" s="394" t="s">
        <v>89</v>
      </c>
      <c r="JMT5" s="394" t="s">
        <v>89</v>
      </c>
      <c r="JMU5" s="394" t="s">
        <v>89</v>
      </c>
      <c r="JMV5" s="394" t="s">
        <v>89</v>
      </c>
      <c r="JMW5" s="394" t="s">
        <v>89</v>
      </c>
      <c r="JMX5" s="394" t="s">
        <v>89</v>
      </c>
      <c r="JMY5" s="394" t="s">
        <v>89</v>
      </c>
      <c r="JMZ5" s="394" t="s">
        <v>89</v>
      </c>
      <c r="JNA5" s="394" t="s">
        <v>89</v>
      </c>
      <c r="JNB5" s="394" t="s">
        <v>89</v>
      </c>
      <c r="JNC5" s="394" t="s">
        <v>89</v>
      </c>
      <c r="JND5" s="394" t="s">
        <v>89</v>
      </c>
      <c r="JNE5" s="394" t="s">
        <v>89</v>
      </c>
      <c r="JNF5" s="394" t="s">
        <v>89</v>
      </c>
      <c r="JNG5" s="394" t="s">
        <v>89</v>
      </c>
      <c r="JNH5" s="394" t="s">
        <v>89</v>
      </c>
      <c r="JNI5" s="394" t="s">
        <v>89</v>
      </c>
      <c r="JNJ5" s="394" t="s">
        <v>89</v>
      </c>
      <c r="JNK5" s="394" t="s">
        <v>89</v>
      </c>
      <c r="JNL5" s="394" t="s">
        <v>89</v>
      </c>
      <c r="JNM5" s="394" t="s">
        <v>89</v>
      </c>
      <c r="JNN5" s="394" t="s">
        <v>89</v>
      </c>
      <c r="JNO5" s="394" t="s">
        <v>89</v>
      </c>
      <c r="JNP5" s="394" t="s">
        <v>89</v>
      </c>
      <c r="JNQ5" s="394" t="s">
        <v>89</v>
      </c>
      <c r="JNR5" s="394" t="s">
        <v>89</v>
      </c>
      <c r="JNS5" s="394" t="s">
        <v>89</v>
      </c>
      <c r="JNT5" s="394" t="s">
        <v>89</v>
      </c>
      <c r="JNU5" s="394" t="s">
        <v>89</v>
      </c>
      <c r="JNV5" s="394" t="s">
        <v>89</v>
      </c>
      <c r="JNW5" s="394" t="s">
        <v>89</v>
      </c>
      <c r="JNX5" s="394" t="s">
        <v>89</v>
      </c>
      <c r="JNY5" s="394" t="s">
        <v>89</v>
      </c>
      <c r="JNZ5" s="394" t="s">
        <v>89</v>
      </c>
      <c r="JOA5" s="394" t="s">
        <v>89</v>
      </c>
      <c r="JOB5" s="394" t="s">
        <v>89</v>
      </c>
      <c r="JOC5" s="394" t="s">
        <v>89</v>
      </c>
      <c r="JOD5" s="394" t="s">
        <v>89</v>
      </c>
      <c r="JOE5" s="394" t="s">
        <v>89</v>
      </c>
      <c r="JOF5" s="394" t="s">
        <v>89</v>
      </c>
      <c r="JOG5" s="394" t="s">
        <v>89</v>
      </c>
      <c r="JOH5" s="394" t="s">
        <v>89</v>
      </c>
      <c r="JOI5" s="394" t="s">
        <v>89</v>
      </c>
      <c r="JOJ5" s="394" t="s">
        <v>89</v>
      </c>
      <c r="JOK5" s="394" t="s">
        <v>89</v>
      </c>
      <c r="JOL5" s="394" t="s">
        <v>89</v>
      </c>
      <c r="JOM5" s="394" t="s">
        <v>89</v>
      </c>
      <c r="JON5" s="394" t="s">
        <v>89</v>
      </c>
      <c r="JOO5" s="394" t="s">
        <v>89</v>
      </c>
      <c r="JOP5" s="394" t="s">
        <v>89</v>
      </c>
      <c r="JOQ5" s="394" t="s">
        <v>89</v>
      </c>
      <c r="JOR5" s="394" t="s">
        <v>89</v>
      </c>
      <c r="JOS5" s="394" t="s">
        <v>89</v>
      </c>
      <c r="JOT5" s="394" t="s">
        <v>89</v>
      </c>
      <c r="JOU5" s="394" t="s">
        <v>89</v>
      </c>
      <c r="JOV5" s="394" t="s">
        <v>89</v>
      </c>
      <c r="JOW5" s="394" t="s">
        <v>89</v>
      </c>
      <c r="JOX5" s="394" t="s">
        <v>89</v>
      </c>
      <c r="JOY5" s="394" t="s">
        <v>89</v>
      </c>
      <c r="JOZ5" s="394" t="s">
        <v>89</v>
      </c>
      <c r="JPA5" s="394" t="s">
        <v>89</v>
      </c>
      <c r="JPB5" s="394" t="s">
        <v>89</v>
      </c>
      <c r="JPC5" s="394" t="s">
        <v>89</v>
      </c>
      <c r="JPD5" s="394" t="s">
        <v>89</v>
      </c>
      <c r="JPE5" s="394" t="s">
        <v>89</v>
      </c>
      <c r="JPF5" s="394" t="s">
        <v>89</v>
      </c>
      <c r="JPG5" s="394" t="s">
        <v>89</v>
      </c>
      <c r="JPH5" s="394" t="s">
        <v>89</v>
      </c>
      <c r="JPI5" s="394" t="s">
        <v>89</v>
      </c>
      <c r="JPJ5" s="394" t="s">
        <v>89</v>
      </c>
      <c r="JPK5" s="394" t="s">
        <v>89</v>
      </c>
      <c r="JPL5" s="394" t="s">
        <v>89</v>
      </c>
      <c r="JPM5" s="394" t="s">
        <v>89</v>
      </c>
      <c r="JPN5" s="394" t="s">
        <v>89</v>
      </c>
      <c r="JPO5" s="394" t="s">
        <v>89</v>
      </c>
      <c r="JPP5" s="394" t="s">
        <v>89</v>
      </c>
      <c r="JPQ5" s="394" t="s">
        <v>89</v>
      </c>
      <c r="JPR5" s="394" t="s">
        <v>89</v>
      </c>
      <c r="JPS5" s="394" t="s">
        <v>89</v>
      </c>
      <c r="JPT5" s="394" t="s">
        <v>89</v>
      </c>
      <c r="JPU5" s="394" t="s">
        <v>89</v>
      </c>
      <c r="JPV5" s="394" t="s">
        <v>89</v>
      </c>
      <c r="JPW5" s="394" t="s">
        <v>89</v>
      </c>
      <c r="JPX5" s="394" t="s">
        <v>89</v>
      </c>
      <c r="JPY5" s="394" t="s">
        <v>89</v>
      </c>
      <c r="JPZ5" s="394" t="s">
        <v>89</v>
      </c>
      <c r="JQA5" s="394" t="s">
        <v>89</v>
      </c>
      <c r="JQB5" s="394" t="s">
        <v>89</v>
      </c>
      <c r="JQC5" s="394" t="s">
        <v>89</v>
      </c>
      <c r="JQD5" s="394" t="s">
        <v>89</v>
      </c>
      <c r="JQE5" s="394" t="s">
        <v>89</v>
      </c>
      <c r="JQF5" s="394" t="s">
        <v>89</v>
      </c>
      <c r="JQG5" s="394" t="s">
        <v>89</v>
      </c>
      <c r="JQH5" s="394" t="s">
        <v>89</v>
      </c>
      <c r="JQI5" s="394" t="s">
        <v>89</v>
      </c>
      <c r="JQJ5" s="394" t="s">
        <v>89</v>
      </c>
      <c r="JQK5" s="394" t="s">
        <v>89</v>
      </c>
      <c r="JQL5" s="394" t="s">
        <v>89</v>
      </c>
      <c r="JQM5" s="394" t="s">
        <v>89</v>
      </c>
      <c r="JQN5" s="394" t="s">
        <v>89</v>
      </c>
      <c r="JQO5" s="394" t="s">
        <v>89</v>
      </c>
      <c r="JQP5" s="394" t="s">
        <v>89</v>
      </c>
      <c r="JQQ5" s="394" t="s">
        <v>89</v>
      </c>
      <c r="JQR5" s="394" t="s">
        <v>89</v>
      </c>
      <c r="JQS5" s="394" t="s">
        <v>89</v>
      </c>
      <c r="JQT5" s="394" t="s">
        <v>89</v>
      </c>
      <c r="JQU5" s="394" t="s">
        <v>89</v>
      </c>
      <c r="JQV5" s="394" t="s">
        <v>89</v>
      </c>
      <c r="JQW5" s="394" t="s">
        <v>89</v>
      </c>
      <c r="JQX5" s="394" t="s">
        <v>89</v>
      </c>
      <c r="JQY5" s="394" t="s">
        <v>89</v>
      </c>
      <c r="JQZ5" s="394" t="s">
        <v>89</v>
      </c>
      <c r="JRA5" s="394" t="s">
        <v>89</v>
      </c>
      <c r="JRB5" s="394" t="s">
        <v>89</v>
      </c>
      <c r="JRC5" s="394" t="s">
        <v>89</v>
      </c>
      <c r="JRD5" s="394" t="s">
        <v>89</v>
      </c>
      <c r="JRE5" s="394" t="s">
        <v>89</v>
      </c>
      <c r="JRF5" s="394" t="s">
        <v>89</v>
      </c>
      <c r="JRG5" s="394" t="s">
        <v>89</v>
      </c>
      <c r="JRH5" s="394" t="s">
        <v>89</v>
      </c>
      <c r="JRI5" s="394" t="s">
        <v>89</v>
      </c>
      <c r="JRJ5" s="394" t="s">
        <v>89</v>
      </c>
      <c r="JRK5" s="394" t="s">
        <v>89</v>
      </c>
      <c r="JRL5" s="394" t="s">
        <v>89</v>
      </c>
      <c r="JRM5" s="394" t="s">
        <v>89</v>
      </c>
      <c r="JRN5" s="394" t="s">
        <v>89</v>
      </c>
      <c r="JRO5" s="394" t="s">
        <v>89</v>
      </c>
      <c r="JRP5" s="394" t="s">
        <v>89</v>
      </c>
      <c r="JRQ5" s="394" t="s">
        <v>89</v>
      </c>
      <c r="JRR5" s="394" t="s">
        <v>89</v>
      </c>
      <c r="JRS5" s="394" t="s">
        <v>89</v>
      </c>
      <c r="JRT5" s="394" t="s">
        <v>89</v>
      </c>
      <c r="JRU5" s="394" t="s">
        <v>89</v>
      </c>
      <c r="JRV5" s="394" t="s">
        <v>89</v>
      </c>
      <c r="JRW5" s="394" t="s">
        <v>89</v>
      </c>
      <c r="JRX5" s="394" t="s">
        <v>89</v>
      </c>
      <c r="JRY5" s="394" t="s">
        <v>89</v>
      </c>
      <c r="JRZ5" s="394" t="s">
        <v>89</v>
      </c>
      <c r="JSA5" s="394" t="s">
        <v>89</v>
      </c>
      <c r="JSB5" s="394" t="s">
        <v>89</v>
      </c>
      <c r="JSC5" s="394" t="s">
        <v>89</v>
      </c>
      <c r="JSD5" s="394" t="s">
        <v>89</v>
      </c>
      <c r="JSE5" s="394" t="s">
        <v>89</v>
      </c>
      <c r="JSF5" s="394" t="s">
        <v>89</v>
      </c>
      <c r="JSG5" s="394" t="s">
        <v>89</v>
      </c>
      <c r="JSH5" s="394" t="s">
        <v>89</v>
      </c>
      <c r="JSI5" s="394" t="s">
        <v>89</v>
      </c>
      <c r="JSJ5" s="394" t="s">
        <v>89</v>
      </c>
      <c r="JSK5" s="394" t="s">
        <v>89</v>
      </c>
      <c r="JSL5" s="394" t="s">
        <v>89</v>
      </c>
      <c r="JSM5" s="394" t="s">
        <v>89</v>
      </c>
      <c r="JSN5" s="394" t="s">
        <v>89</v>
      </c>
      <c r="JSO5" s="394" t="s">
        <v>89</v>
      </c>
      <c r="JSP5" s="394" t="s">
        <v>89</v>
      </c>
      <c r="JSQ5" s="394" t="s">
        <v>89</v>
      </c>
      <c r="JSR5" s="394" t="s">
        <v>89</v>
      </c>
      <c r="JSS5" s="394" t="s">
        <v>89</v>
      </c>
      <c r="JST5" s="394" t="s">
        <v>89</v>
      </c>
      <c r="JSU5" s="394" t="s">
        <v>89</v>
      </c>
      <c r="JSV5" s="394" t="s">
        <v>89</v>
      </c>
      <c r="JSW5" s="394" t="s">
        <v>89</v>
      </c>
      <c r="JSX5" s="394" t="s">
        <v>89</v>
      </c>
      <c r="JSY5" s="394" t="s">
        <v>89</v>
      </c>
      <c r="JSZ5" s="394" t="s">
        <v>89</v>
      </c>
      <c r="JTA5" s="394" t="s">
        <v>89</v>
      </c>
      <c r="JTB5" s="394" t="s">
        <v>89</v>
      </c>
      <c r="JTC5" s="394" t="s">
        <v>89</v>
      </c>
      <c r="JTD5" s="394" t="s">
        <v>89</v>
      </c>
      <c r="JTE5" s="394" t="s">
        <v>89</v>
      </c>
      <c r="JTF5" s="394" t="s">
        <v>89</v>
      </c>
      <c r="JTG5" s="394" t="s">
        <v>89</v>
      </c>
      <c r="JTH5" s="394" t="s">
        <v>89</v>
      </c>
      <c r="JTI5" s="394" t="s">
        <v>89</v>
      </c>
      <c r="JTJ5" s="394" t="s">
        <v>89</v>
      </c>
      <c r="JTK5" s="394" t="s">
        <v>89</v>
      </c>
      <c r="JTL5" s="394" t="s">
        <v>89</v>
      </c>
      <c r="JTM5" s="394" t="s">
        <v>89</v>
      </c>
      <c r="JTN5" s="394" t="s">
        <v>89</v>
      </c>
      <c r="JTO5" s="394" t="s">
        <v>89</v>
      </c>
      <c r="JTP5" s="394" t="s">
        <v>89</v>
      </c>
      <c r="JTQ5" s="394" t="s">
        <v>89</v>
      </c>
      <c r="JTR5" s="394" t="s">
        <v>89</v>
      </c>
      <c r="JTS5" s="394" t="s">
        <v>89</v>
      </c>
      <c r="JTT5" s="394" t="s">
        <v>89</v>
      </c>
      <c r="JTU5" s="394" t="s">
        <v>89</v>
      </c>
      <c r="JTV5" s="394" t="s">
        <v>89</v>
      </c>
      <c r="JTW5" s="394" t="s">
        <v>89</v>
      </c>
      <c r="JTX5" s="394" t="s">
        <v>89</v>
      </c>
      <c r="JTY5" s="394" t="s">
        <v>89</v>
      </c>
      <c r="JTZ5" s="394" t="s">
        <v>89</v>
      </c>
      <c r="JUA5" s="394" t="s">
        <v>89</v>
      </c>
      <c r="JUB5" s="394" t="s">
        <v>89</v>
      </c>
      <c r="JUC5" s="394" t="s">
        <v>89</v>
      </c>
      <c r="JUD5" s="394" t="s">
        <v>89</v>
      </c>
      <c r="JUE5" s="394" t="s">
        <v>89</v>
      </c>
      <c r="JUF5" s="394" t="s">
        <v>89</v>
      </c>
      <c r="JUG5" s="394" t="s">
        <v>89</v>
      </c>
      <c r="JUH5" s="394" t="s">
        <v>89</v>
      </c>
      <c r="JUI5" s="394" t="s">
        <v>89</v>
      </c>
      <c r="JUJ5" s="394" t="s">
        <v>89</v>
      </c>
      <c r="JUK5" s="394" t="s">
        <v>89</v>
      </c>
      <c r="JUL5" s="394" t="s">
        <v>89</v>
      </c>
      <c r="JUM5" s="394" t="s">
        <v>89</v>
      </c>
      <c r="JUN5" s="394" t="s">
        <v>89</v>
      </c>
      <c r="JUO5" s="394" t="s">
        <v>89</v>
      </c>
      <c r="JUP5" s="394" t="s">
        <v>89</v>
      </c>
      <c r="JUQ5" s="394" t="s">
        <v>89</v>
      </c>
      <c r="JUR5" s="394" t="s">
        <v>89</v>
      </c>
      <c r="JUS5" s="394" t="s">
        <v>89</v>
      </c>
      <c r="JUT5" s="394" t="s">
        <v>89</v>
      </c>
      <c r="JUU5" s="394" t="s">
        <v>89</v>
      </c>
      <c r="JUV5" s="394" t="s">
        <v>89</v>
      </c>
      <c r="JUW5" s="394" t="s">
        <v>89</v>
      </c>
      <c r="JUX5" s="394" t="s">
        <v>89</v>
      </c>
      <c r="JUY5" s="394" t="s">
        <v>89</v>
      </c>
      <c r="JUZ5" s="394" t="s">
        <v>89</v>
      </c>
      <c r="JVA5" s="394" t="s">
        <v>89</v>
      </c>
      <c r="JVB5" s="394" t="s">
        <v>89</v>
      </c>
      <c r="JVC5" s="394" t="s">
        <v>89</v>
      </c>
      <c r="JVD5" s="394" t="s">
        <v>89</v>
      </c>
      <c r="JVE5" s="394" t="s">
        <v>89</v>
      </c>
      <c r="JVF5" s="394" t="s">
        <v>89</v>
      </c>
      <c r="JVG5" s="394" t="s">
        <v>89</v>
      </c>
      <c r="JVH5" s="394" t="s">
        <v>89</v>
      </c>
      <c r="JVI5" s="394" t="s">
        <v>89</v>
      </c>
      <c r="JVJ5" s="394" t="s">
        <v>89</v>
      </c>
      <c r="JVK5" s="394" t="s">
        <v>89</v>
      </c>
      <c r="JVL5" s="394" t="s">
        <v>89</v>
      </c>
      <c r="JVM5" s="394" t="s">
        <v>89</v>
      </c>
      <c r="JVN5" s="394" t="s">
        <v>89</v>
      </c>
      <c r="JVO5" s="394" t="s">
        <v>89</v>
      </c>
      <c r="JVP5" s="394" t="s">
        <v>89</v>
      </c>
      <c r="JVQ5" s="394" t="s">
        <v>89</v>
      </c>
      <c r="JVR5" s="394" t="s">
        <v>89</v>
      </c>
      <c r="JVS5" s="394" t="s">
        <v>89</v>
      </c>
      <c r="JVT5" s="394" t="s">
        <v>89</v>
      </c>
      <c r="JVU5" s="394" t="s">
        <v>89</v>
      </c>
      <c r="JVV5" s="394" t="s">
        <v>89</v>
      </c>
      <c r="JVW5" s="394" t="s">
        <v>89</v>
      </c>
      <c r="JVX5" s="394" t="s">
        <v>89</v>
      </c>
      <c r="JVY5" s="394" t="s">
        <v>89</v>
      </c>
      <c r="JVZ5" s="394" t="s">
        <v>89</v>
      </c>
      <c r="JWA5" s="394" t="s">
        <v>89</v>
      </c>
      <c r="JWB5" s="394" t="s">
        <v>89</v>
      </c>
      <c r="JWC5" s="394" t="s">
        <v>89</v>
      </c>
      <c r="JWD5" s="394" t="s">
        <v>89</v>
      </c>
      <c r="JWE5" s="394" t="s">
        <v>89</v>
      </c>
      <c r="JWF5" s="394" t="s">
        <v>89</v>
      </c>
      <c r="JWG5" s="394" t="s">
        <v>89</v>
      </c>
      <c r="JWH5" s="394" t="s">
        <v>89</v>
      </c>
      <c r="JWI5" s="394" t="s">
        <v>89</v>
      </c>
      <c r="JWJ5" s="394" t="s">
        <v>89</v>
      </c>
      <c r="JWK5" s="394" t="s">
        <v>89</v>
      </c>
      <c r="JWL5" s="394" t="s">
        <v>89</v>
      </c>
      <c r="JWM5" s="394" t="s">
        <v>89</v>
      </c>
      <c r="JWN5" s="394" t="s">
        <v>89</v>
      </c>
      <c r="JWO5" s="394" t="s">
        <v>89</v>
      </c>
      <c r="JWP5" s="394" t="s">
        <v>89</v>
      </c>
      <c r="JWQ5" s="394" t="s">
        <v>89</v>
      </c>
      <c r="JWR5" s="394" t="s">
        <v>89</v>
      </c>
      <c r="JWS5" s="394" t="s">
        <v>89</v>
      </c>
      <c r="JWT5" s="394" t="s">
        <v>89</v>
      </c>
      <c r="JWU5" s="394" t="s">
        <v>89</v>
      </c>
      <c r="JWV5" s="394" t="s">
        <v>89</v>
      </c>
      <c r="JWW5" s="394" t="s">
        <v>89</v>
      </c>
      <c r="JWX5" s="394" t="s">
        <v>89</v>
      </c>
      <c r="JWY5" s="394" t="s">
        <v>89</v>
      </c>
      <c r="JWZ5" s="394" t="s">
        <v>89</v>
      </c>
      <c r="JXA5" s="394" t="s">
        <v>89</v>
      </c>
      <c r="JXB5" s="394" t="s">
        <v>89</v>
      </c>
      <c r="JXC5" s="394" t="s">
        <v>89</v>
      </c>
      <c r="JXD5" s="394" t="s">
        <v>89</v>
      </c>
      <c r="JXE5" s="394" t="s">
        <v>89</v>
      </c>
      <c r="JXF5" s="394" t="s">
        <v>89</v>
      </c>
      <c r="JXG5" s="394" t="s">
        <v>89</v>
      </c>
      <c r="JXH5" s="394" t="s">
        <v>89</v>
      </c>
      <c r="JXI5" s="394" t="s">
        <v>89</v>
      </c>
      <c r="JXJ5" s="394" t="s">
        <v>89</v>
      </c>
      <c r="JXK5" s="394" t="s">
        <v>89</v>
      </c>
      <c r="JXL5" s="394" t="s">
        <v>89</v>
      </c>
      <c r="JXM5" s="394" t="s">
        <v>89</v>
      </c>
      <c r="JXN5" s="394" t="s">
        <v>89</v>
      </c>
      <c r="JXO5" s="394" t="s">
        <v>89</v>
      </c>
      <c r="JXP5" s="394" t="s">
        <v>89</v>
      </c>
      <c r="JXQ5" s="394" t="s">
        <v>89</v>
      </c>
      <c r="JXR5" s="394" t="s">
        <v>89</v>
      </c>
      <c r="JXS5" s="394" t="s">
        <v>89</v>
      </c>
      <c r="JXT5" s="394" t="s">
        <v>89</v>
      </c>
      <c r="JXU5" s="394" t="s">
        <v>89</v>
      </c>
      <c r="JXV5" s="394" t="s">
        <v>89</v>
      </c>
      <c r="JXW5" s="394" t="s">
        <v>89</v>
      </c>
      <c r="JXX5" s="394" t="s">
        <v>89</v>
      </c>
      <c r="JXY5" s="394" t="s">
        <v>89</v>
      </c>
      <c r="JXZ5" s="394" t="s">
        <v>89</v>
      </c>
      <c r="JYA5" s="394" t="s">
        <v>89</v>
      </c>
      <c r="JYB5" s="394" t="s">
        <v>89</v>
      </c>
      <c r="JYC5" s="394" t="s">
        <v>89</v>
      </c>
      <c r="JYD5" s="394" t="s">
        <v>89</v>
      </c>
      <c r="JYE5" s="394" t="s">
        <v>89</v>
      </c>
      <c r="JYF5" s="394" t="s">
        <v>89</v>
      </c>
      <c r="JYG5" s="394" t="s">
        <v>89</v>
      </c>
      <c r="JYH5" s="394" t="s">
        <v>89</v>
      </c>
      <c r="JYI5" s="394" t="s">
        <v>89</v>
      </c>
      <c r="JYJ5" s="394" t="s">
        <v>89</v>
      </c>
      <c r="JYK5" s="394" t="s">
        <v>89</v>
      </c>
      <c r="JYL5" s="394" t="s">
        <v>89</v>
      </c>
      <c r="JYM5" s="394" t="s">
        <v>89</v>
      </c>
      <c r="JYN5" s="394" t="s">
        <v>89</v>
      </c>
      <c r="JYO5" s="394" t="s">
        <v>89</v>
      </c>
      <c r="JYP5" s="394" t="s">
        <v>89</v>
      </c>
      <c r="JYQ5" s="394" t="s">
        <v>89</v>
      </c>
      <c r="JYR5" s="394" t="s">
        <v>89</v>
      </c>
      <c r="JYS5" s="394" t="s">
        <v>89</v>
      </c>
      <c r="JYT5" s="394" t="s">
        <v>89</v>
      </c>
      <c r="JYU5" s="394" t="s">
        <v>89</v>
      </c>
      <c r="JYV5" s="394" t="s">
        <v>89</v>
      </c>
      <c r="JYW5" s="394" t="s">
        <v>89</v>
      </c>
      <c r="JYX5" s="394" t="s">
        <v>89</v>
      </c>
      <c r="JYY5" s="394" t="s">
        <v>89</v>
      </c>
      <c r="JYZ5" s="394" t="s">
        <v>89</v>
      </c>
      <c r="JZA5" s="394" t="s">
        <v>89</v>
      </c>
      <c r="JZB5" s="394" t="s">
        <v>89</v>
      </c>
      <c r="JZC5" s="394" t="s">
        <v>89</v>
      </c>
      <c r="JZD5" s="394" t="s">
        <v>89</v>
      </c>
      <c r="JZE5" s="394" t="s">
        <v>89</v>
      </c>
      <c r="JZF5" s="394" t="s">
        <v>89</v>
      </c>
      <c r="JZG5" s="394" t="s">
        <v>89</v>
      </c>
      <c r="JZH5" s="394" t="s">
        <v>89</v>
      </c>
      <c r="JZI5" s="394" t="s">
        <v>89</v>
      </c>
      <c r="JZJ5" s="394" t="s">
        <v>89</v>
      </c>
      <c r="JZK5" s="394" t="s">
        <v>89</v>
      </c>
      <c r="JZL5" s="394" t="s">
        <v>89</v>
      </c>
      <c r="JZM5" s="394" t="s">
        <v>89</v>
      </c>
      <c r="JZN5" s="394" t="s">
        <v>89</v>
      </c>
      <c r="JZO5" s="394" t="s">
        <v>89</v>
      </c>
      <c r="JZP5" s="394" t="s">
        <v>89</v>
      </c>
      <c r="JZQ5" s="394" t="s">
        <v>89</v>
      </c>
      <c r="JZR5" s="394" t="s">
        <v>89</v>
      </c>
      <c r="JZS5" s="394" t="s">
        <v>89</v>
      </c>
      <c r="JZT5" s="394" t="s">
        <v>89</v>
      </c>
      <c r="JZU5" s="394" t="s">
        <v>89</v>
      </c>
      <c r="JZV5" s="394" t="s">
        <v>89</v>
      </c>
      <c r="JZW5" s="394" t="s">
        <v>89</v>
      </c>
      <c r="JZX5" s="394" t="s">
        <v>89</v>
      </c>
      <c r="JZY5" s="394" t="s">
        <v>89</v>
      </c>
      <c r="JZZ5" s="394" t="s">
        <v>89</v>
      </c>
      <c r="KAA5" s="394" t="s">
        <v>89</v>
      </c>
      <c r="KAB5" s="394" t="s">
        <v>89</v>
      </c>
      <c r="KAC5" s="394" t="s">
        <v>89</v>
      </c>
      <c r="KAD5" s="394" t="s">
        <v>89</v>
      </c>
      <c r="KAE5" s="394" t="s">
        <v>89</v>
      </c>
      <c r="KAF5" s="394" t="s">
        <v>89</v>
      </c>
      <c r="KAG5" s="394" t="s">
        <v>89</v>
      </c>
      <c r="KAH5" s="394" t="s">
        <v>89</v>
      </c>
      <c r="KAI5" s="394" t="s">
        <v>89</v>
      </c>
      <c r="KAJ5" s="394" t="s">
        <v>89</v>
      </c>
      <c r="KAK5" s="394" t="s">
        <v>89</v>
      </c>
      <c r="KAL5" s="394" t="s">
        <v>89</v>
      </c>
      <c r="KAM5" s="394" t="s">
        <v>89</v>
      </c>
      <c r="KAN5" s="394" t="s">
        <v>89</v>
      </c>
      <c r="KAO5" s="394" t="s">
        <v>89</v>
      </c>
      <c r="KAP5" s="394" t="s">
        <v>89</v>
      </c>
      <c r="KAQ5" s="394" t="s">
        <v>89</v>
      </c>
      <c r="KAR5" s="394" t="s">
        <v>89</v>
      </c>
      <c r="KAS5" s="394" t="s">
        <v>89</v>
      </c>
      <c r="KAT5" s="394" t="s">
        <v>89</v>
      </c>
      <c r="KAU5" s="394" t="s">
        <v>89</v>
      </c>
      <c r="KAV5" s="394" t="s">
        <v>89</v>
      </c>
      <c r="KAW5" s="394" t="s">
        <v>89</v>
      </c>
      <c r="KAX5" s="394" t="s">
        <v>89</v>
      </c>
      <c r="KAY5" s="394" t="s">
        <v>89</v>
      </c>
      <c r="KAZ5" s="394" t="s">
        <v>89</v>
      </c>
      <c r="KBA5" s="394" t="s">
        <v>89</v>
      </c>
      <c r="KBB5" s="394" t="s">
        <v>89</v>
      </c>
      <c r="KBC5" s="394" t="s">
        <v>89</v>
      </c>
      <c r="KBD5" s="394" t="s">
        <v>89</v>
      </c>
      <c r="KBE5" s="394" t="s">
        <v>89</v>
      </c>
      <c r="KBF5" s="394" t="s">
        <v>89</v>
      </c>
      <c r="KBG5" s="394" t="s">
        <v>89</v>
      </c>
      <c r="KBH5" s="394" t="s">
        <v>89</v>
      </c>
      <c r="KBI5" s="394" t="s">
        <v>89</v>
      </c>
      <c r="KBJ5" s="394" t="s">
        <v>89</v>
      </c>
      <c r="KBK5" s="394" t="s">
        <v>89</v>
      </c>
      <c r="KBL5" s="394" t="s">
        <v>89</v>
      </c>
      <c r="KBM5" s="394" t="s">
        <v>89</v>
      </c>
      <c r="KBN5" s="394" t="s">
        <v>89</v>
      </c>
      <c r="KBO5" s="394" t="s">
        <v>89</v>
      </c>
      <c r="KBP5" s="394" t="s">
        <v>89</v>
      </c>
      <c r="KBQ5" s="394" t="s">
        <v>89</v>
      </c>
      <c r="KBR5" s="394" t="s">
        <v>89</v>
      </c>
      <c r="KBS5" s="394" t="s">
        <v>89</v>
      </c>
      <c r="KBT5" s="394" t="s">
        <v>89</v>
      </c>
      <c r="KBU5" s="394" t="s">
        <v>89</v>
      </c>
      <c r="KBV5" s="394" t="s">
        <v>89</v>
      </c>
      <c r="KBW5" s="394" t="s">
        <v>89</v>
      </c>
      <c r="KBX5" s="394" t="s">
        <v>89</v>
      </c>
      <c r="KBY5" s="394" t="s">
        <v>89</v>
      </c>
      <c r="KBZ5" s="394" t="s">
        <v>89</v>
      </c>
      <c r="KCA5" s="394" t="s">
        <v>89</v>
      </c>
      <c r="KCB5" s="394" t="s">
        <v>89</v>
      </c>
      <c r="KCC5" s="394" t="s">
        <v>89</v>
      </c>
      <c r="KCD5" s="394" t="s">
        <v>89</v>
      </c>
      <c r="KCE5" s="394" t="s">
        <v>89</v>
      </c>
      <c r="KCF5" s="394" t="s">
        <v>89</v>
      </c>
      <c r="KCG5" s="394" t="s">
        <v>89</v>
      </c>
      <c r="KCH5" s="394" t="s">
        <v>89</v>
      </c>
      <c r="KCI5" s="394" t="s">
        <v>89</v>
      </c>
      <c r="KCJ5" s="394" t="s">
        <v>89</v>
      </c>
      <c r="KCK5" s="394" t="s">
        <v>89</v>
      </c>
      <c r="KCL5" s="394" t="s">
        <v>89</v>
      </c>
      <c r="KCM5" s="394" t="s">
        <v>89</v>
      </c>
      <c r="KCN5" s="394" t="s">
        <v>89</v>
      </c>
      <c r="KCO5" s="394" t="s">
        <v>89</v>
      </c>
      <c r="KCP5" s="394" t="s">
        <v>89</v>
      </c>
      <c r="KCQ5" s="394" t="s">
        <v>89</v>
      </c>
      <c r="KCR5" s="394" t="s">
        <v>89</v>
      </c>
      <c r="KCS5" s="394" t="s">
        <v>89</v>
      </c>
      <c r="KCT5" s="394" t="s">
        <v>89</v>
      </c>
      <c r="KCU5" s="394" t="s">
        <v>89</v>
      </c>
      <c r="KCV5" s="394" t="s">
        <v>89</v>
      </c>
      <c r="KCW5" s="394" t="s">
        <v>89</v>
      </c>
      <c r="KCX5" s="394" t="s">
        <v>89</v>
      </c>
      <c r="KCY5" s="394" t="s">
        <v>89</v>
      </c>
      <c r="KCZ5" s="394" t="s">
        <v>89</v>
      </c>
      <c r="KDA5" s="394" t="s">
        <v>89</v>
      </c>
      <c r="KDB5" s="394" t="s">
        <v>89</v>
      </c>
      <c r="KDC5" s="394" t="s">
        <v>89</v>
      </c>
      <c r="KDD5" s="394" t="s">
        <v>89</v>
      </c>
      <c r="KDE5" s="394" t="s">
        <v>89</v>
      </c>
      <c r="KDF5" s="394" t="s">
        <v>89</v>
      </c>
      <c r="KDG5" s="394" t="s">
        <v>89</v>
      </c>
      <c r="KDH5" s="394" t="s">
        <v>89</v>
      </c>
      <c r="KDI5" s="394" t="s">
        <v>89</v>
      </c>
      <c r="KDJ5" s="394" t="s">
        <v>89</v>
      </c>
      <c r="KDK5" s="394" t="s">
        <v>89</v>
      </c>
      <c r="KDL5" s="394" t="s">
        <v>89</v>
      </c>
      <c r="KDM5" s="394" t="s">
        <v>89</v>
      </c>
      <c r="KDN5" s="394" t="s">
        <v>89</v>
      </c>
      <c r="KDO5" s="394" t="s">
        <v>89</v>
      </c>
      <c r="KDP5" s="394" t="s">
        <v>89</v>
      </c>
      <c r="KDQ5" s="394" t="s">
        <v>89</v>
      </c>
      <c r="KDR5" s="394" t="s">
        <v>89</v>
      </c>
      <c r="KDS5" s="394" t="s">
        <v>89</v>
      </c>
      <c r="KDT5" s="394" t="s">
        <v>89</v>
      </c>
      <c r="KDU5" s="394" t="s">
        <v>89</v>
      </c>
      <c r="KDV5" s="394" t="s">
        <v>89</v>
      </c>
      <c r="KDW5" s="394" t="s">
        <v>89</v>
      </c>
      <c r="KDX5" s="394" t="s">
        <v>89</v>
      </c>
      <c r="KDY5" s="394" t="s">
        <v>89</v>
      </c>
      <c r="KDZ5" s="394" t="s">
        <v>89</v>
      </c>
      <c r="KEA5" s="394" t="s">
        <v>89</v>
      </c>
      <c r="KEB5" s="394" t="s">
        <v>89</v>
      </c>
      <c r="KEC5" s="394" t="s">
        <v>89</v>
      </c>
      <c r="KED5" s="394" t="s">
        <v>89</v>
      </c>
      <c r="KEE5" s="394" t="s">
        <v>89</v>
      </c>
      <c r="KEF5" s="394" t="s">
        <v>89</v>
      </c>
      <c r="KEG5" s="394" t="s">
        <v>89</v>
      </c>
      <c r="KEH5" s="394" t="s">
        <v>89</v>
      </c>
      <c r="KEI5" s="394" t="s">
        <v>89</v>
      </c>
      <c r="KEJ5" s="394" t="s">
        <v>89</v>
      </c>
      <c r="KEK5" s="394" t="s">
        <v>89</v>
      </c>
      <c r="KEL5" s="394" t="s">
        <v>89</v>
      </c>
      <c r="KEM5" s="394" t="s">
        <v>89</v>
      </c>
      <c r="KEN5" s="394" t="s">
        <v>89</v>
      </c>
      <c r="KEO5" s="394" t="s">
        <v>89</v>
      </c>
      <c r="KEP5" s="394" t="s">
        <v>89</v>
      </c>
      <c r="KEQ5" s="394" t="s">
        <v>89</v>
      </c>
      <c r="KER5" s="394" t="s">
        <v>89</v>
      </c>
      <c r="KES5" s="394" t="s">
        <v>89</v>
      </c>
      <c r="KET5" s="394" t="s">
        <v>89</v>
      </c>
      <c r="KEU5" s="394" t="s">
        <v>89</v>
      </c>
      <c r="KEV5" s="394" t="s">
        <v>89</v>
      </c>
      <c r="KEW5" s="394" t="s">
        <v>89</v>
      </c>
      <c r="KEX5" s="394" t="s">
        <v>89</v>
      </c>
      <c r="KEY5" s="394" t="s">
        <v>89</v>
      </c>
      <c r="KEZ5" s="394" t="s">
        <v>89</v>
      </c>
      <c r="KFA5" s="394" t="s">
        <v>89</v>
      </c>
      <c r="KFB5" s="394" t="s">
        <v>89</v>
      </c>
      <c r="KFC5" s="394" t="s">
        <v>89</v>
      </c>
      <c r="KFD5" s="394" t="s">
        <v>89</v>
      </c>
      <c r="KFE5" s="394" t="s">
        <v>89</v>
      </c>
      <c r="KFF5" s="394" t="s">
        <v>89</v>
      </c>
      <c r="KFG5" s="394" t="s">
        <v>89</v>
      </c>
      <c r="KFH5" s="394" t="s">
        <v>89</v>
      </c>
      <c r="KFI5" s="394" t="s">
        <v>89</v>
      </c>
      <c r="KFJ5" s="394" t="s">
        <v>89</v>
      </c>
      <c r="KFK5" s="394" t="s">
        <v>89</v>
      </c>
      <c r="KFL5" s="394" t="s">
        <v>89</v>
      </c>
      <c r="KFM5" s="394" t="s">
        <v>89</v>
      </c>
      <c r="KFN5" s="394" t="s">
        <v>89</v>
      </c>
      <c r="KFO5" s="394" t="s">
        <v>89</v>
      </c>
      <c r="KFP5" s="394" t="s">
        <v>89</v>
      </c>
      <c r="KFQ5" s="394" t="s">
        <v>89</v>
      </c>
      <c r="KFR5" s="394" t="s">
        <v>89</v>
      </c>
      <c r="KFS5" s="394" t="s">
        <v>89</v>
      </c>
      <c r="KFT5" s="394" t="s">
        <v>89</v>
      </c>
      <c r="KFU5" s="394" t="s">
        <v>89</v>
      </c>
      <c r="KFV5" s="394" t="s">
        <v>89</v>
      </c>
      <c r="KFW5" s="394" t="s">
        <v>89</v>
      </c>
      <c r="KFX5" s="394" t="s">
        <v>89</v>
      </c>
      <c r="KFY5" s="394" t="s">
        <v>89</v>
      </c>
      <c r="KFZ5" s="394" t="s">
        <v>89</v>
      </c>
      <c r="KGA5" s="394" t="s">
        <v>89</v>
      </c>
      <c r="KGB5" s="394" t="s">
        <v>89</v>
      </c>
      <c r="KGC5" s="394" t="s">
        <v>89</v>
      </c>
      <c r="KGD5" s="394" t="s">
        <v>89</v>
      </c>
      <c r="KGE5" s="394" t="s">
        <v>89</v>
      </c>
      <c r="KGF5" s="394" t="s">
        <v>89</v>
      </c>
      <c r="KGG5" s="394" t="s">
        <v>89</v>
      </c>
      <c r="KGH5" s="394" t="s">
        <v>89</v>
      </c>
      <c r="KGI5" s="394" t="s">
        <v>89</v>
      </c>
      <c r="KGJ5" s="394" t="s">
        <v>89</v>
      </c>
      <c r="KGK5" s="394" t="s">
        <v>89</v>
      </c>
      <c r="KGL5" s="394" t="s">
        <v>89</v>
      </c>
      <c r="KGM5" s="394" t="s">
        <v>89</v>
      </c>
      <c r="KGN5" s="394" t="s">
        <v>89</v>
      </c>
      <c r="KGO5" s="394" t="s">
        <v>89</v>
      </c>
      <c r="KGP5" s="394" t="s">
        <v>89</v>
      </c>
      <c r="KGQ5" s="394" t="s">
        <v>89</v>
      </c>
      <c r="KGR5" s="394" t="s">
        <v>89</v>
      </c>
      <c r="KGS5" s="394" t="s">
        <v>89</v>
      </c>
      <c r="KGT5" s="394" t="s">
        <v>89</v>
      </c>
      <c r="KGU5" s="394" t="s">
        <v>89</v>
      </c>
      <c r="KGV5" s="394" t="s">
        <v>89</v>
      </c>
      <c r="KGW5" s="394" t="s">
        <v>89</v>
      </c>
      <c r="KGX5" s="394" t="s">
        <v>89</v>
      </c>
      <c r="KGY5" s="394" t="s">
        <v>89</v>
      </c>
      <c r="KGZ5" s="394" t="s">
        <v>89</v>
      </c>
      <c r="KHA5" s="394" t="s">
        <v>89</v>
      </c>
      <c r="KHB5" s="394" t="s">
        <v>89</v>
      </c>
      <c r="KHC5" s="394" t="s">
        <v>89</v>
      </c>
      <c r="KHD5" s="394" t="s">
        <v>89</v>
      </c>
      <c r="KHE5" s="394" t="s">
        <v>89</v>
      </c>
      <c r="KHF5" s="394" t="s">
        <v>89</v>
      </c>
      <c r="KHG5" s="394" t="s">
        <v>89</v>
      </c>
      <c r="KHH5" s="394" t="s">
        <v>89</v>
      </c>
      <c r="KHI5" s="394" t="s">
        <v>89</v>
      </c>
      <c r="KHJ5" s="394" t="s">
        <v>89</v>
      </c>
      <c r="KHK5" s="394" t="s">
        <v>89</v>
      </c>
      <c r="KHL5" s="394" t="s">
        <v>89</v>
      </c>
      <c r="KHM5" s="394" t="s">
        <v>89</v>
      </c>
      <c r="KHN5" s="394" t="s">
        <v>89</v>
      </c>
      <c r="KHO5" s="394" t="s">
        <v>89</v>
      </c>
      <c r="KHP5" s="394" t="s">
        <v>89</v>
      </c>
      <c r="KHQ5" s="394" t="s">
        <v>89</v>
      </c>
      <c r="KHR5" s="394" t="s">
        <v>89</v>
      </c>
      <c r="KHS5" s="394" t="s">
        <v>89</v>
      </c>
      <c r="KHT5" s="394" t="s">
        <v>89</v>
      </c>
      <c r="KHU5" s="394" t="s">
        <v>89</v>
      </c>
      <c r="KHV5" s="394" t="s">
        <v>89</v>
      </c>
      <c r="KHW5" s="394" t="s">
        <v>89</v>
      </c>
      <c r="KHX5" s="394" t="s">
        <v>89</v>
      </c>
      <c r="KHY5" s="394" t="s">
        <v>89</v>
      </c>
      <c r="KHZ5" s="394" t="s">
        <v>89</v>
      </c>
      <c r="KIA5" s="394" t="s">
        <v>89</v>
      </c>
      <c r="KIB5" s="394" t="s">
        <v>89</v>
      </c>
      <c r="KIC5" s="394" t="s">
        <v>89</v>
      </c>
      <c r="KID5" s="394" t="s">
        <v>89</v>
      </c>
      <c r="KIE5" s="394" t="s">
        <v>89</v>
      </c>
      <c r="KIF5" s="394" t="s">
        <v>89</v>
      </c>
      <c r="KIG5" s="394" t="s">
        <v>89</v>
      </c>
      <c r="KIH5" s="394" t="s">
        <v>89</v>
      </c>
      <c r="KII5" s="394" t="s">
        <v>89</v>
      </c>
      <c r="KIJ5" s="394" t="s">
        <v>89</v>
      </c>
      <c r="KIK5" s="394" t="s">
        <v>89</v>
      </c>
      <c r="KIL5" s="394" t="s">
        <v>89</v>
      </c>
      <c r="KIM5" s="394" t="s">
        <v>89</v>
      </c>
      <c r="KIN5" s="394" t="s">
        <v>89</v>
      </c>
      <c r="KIO5" s="394" t="s">
        <v>89</v>
      </c>
      <c r="KIP5" s="394" t="s">
        <v>89</v>
      </c>
      <c r="KIQ5" s="394" t="s">
        <v>89</v>
      </c>
      <c r="KIR5" s="394" t="s">
        <v>89</v>
      </c>
      <c r="KIS5" s="394" t="s">
        <v>89</v>
      </c>
      <c r="KIT5" s="394" t="s">
        <v>89</v>
      </c>
      <c r="KIU5" s="394" t="s">
        <v>89</v>
      </c>
      <c r="KIV5" s="394" t="s">
        <v>89</v>
      </c>
      <c r="KIW5" s="394" t="s">
        <v>89</v>
      </c>
      <c r="KIX5" s="394" t="s">
        <v>89</v>
      </c>
      <c r="KIY5" s="394" t="s">
        <v>89</v>
      </c>
      <c r="KIZ5" s="394" t="s">
        <v>89</v>
      </c>
      <c r="KJA5" s="394" t="s">
        <v>89</v>
      </c>
      <c r="KJB5" s="394" t="s">
        <v>89</v>
      </c>
      <c r="KJC5" s="394" t="s">
        <v>89</v>
      </c>
      <c r="KJD5" s="394" t="s">
        <v>89</v>
      </c>
      <c r="KJE5" s="394" t="s">
        <v>89</v>
      </c>
      <c r="KJF5" s="394" t="s">
        <v>89</v>
      </c>
      <c r="KJG5" s="394" t="s">
        <v>89</v>
      </c>
      <c r="KJH5" s="394" t="s">
        <v>89</v>
      </c>
      <c r="KJI5" s="394" t="s">
        <v>89</v>
      </c>
      <c r="KJJ5" s="394" t="s">
        <v>89</v>
      </c>
      <c r="KJK5" s="394" t="s">
        <v>89</v>
      </c>
      <c r="KJL5" s="394" t="s">
        <v>89</v>
      </c>
      <c r="KJM5" s="394" t="s">
        <v>89</v>
      </c>
      <c r="KJN5" s="394" t="s">
        <v>89</v>
      </c>
      <c r="KJO5" s="394" t="s">
        <v>89</v>
      </c>
      <c r="KJP5" s="394" t="s">
        <v>89</v>
      </c>
      <c r="KJQ5" s="394" t="s">
        <v>89</v>
      </c>
      <c r="KJR5" s="394" t="s">
        <v>89</v>
      </c>
      <c r="KJS5" s="394" t="s">
        <v>89</v>
      </c>
      <c r="KJT5" s="394" t="s">
        <v>89</v>
      </c>
      <c r="KJU5" s="394" t="s">
        <v>89</v>
      </c>
      <c r="KJV5" s="394" t="s">
        <v>89</v>
      </c>
      <c r="KJW5" s="394" t="s">
        <v>89</v>
      </c>
      <c r="KJX5" s="394" t="s">
        <v>89</v>
      </c>
      <c r="KJY5" s="394" t="s">
        <v>89</v>
      </c>
      <c r="KJZ5" s="394" t="s">
        <v>89</v>
      </c>
      <c r="KKA5" s="394" t="s">
        <v>89</v>
      </c>
      <c r="KKB5" s="394" t="s">
        <v>89</v>
      </c>
      <c r="KKC5" s="394" t="s">
        <v>89</v>
      </c>
      <c r="KKD5" s="394" t="s">
        <v>89</v>
      </c>
      <c r="KKE5" s="394" t="s">
        <v>89</v>
      </c>
      <c r="KKF5" s="394" t="s">
        <v>89</v>
      </c>
      <c r="KKG5" s="394" t="s">
        <v>89</v>
      </c>
      <c r="KKH5" s="394" t="s">
        <v>89</v>
      </c>
      <c r="KKI5" s="394" t="s">
        <v>89</v>
      </c>
      <c r="KKJ5" s="394" t="s">
        <v>89</v>
      </c>
      <c r="KKK5" s="394" t="s">
        <v>89</v>
      </c>
      <c r="KKL5" s="394" t="s">
        <v>89</v>
      </c>
      <c r="KKM5" s="394" t="s">
        <v>89</v>
      </c>
      <c r="KKN5" s="394" t="s">
        <v>89</v>
      </c>
      <c r="KKO5" s="394" t="s">
        <v>89</v>
      </c>
      <c r="KKP5" s="394" t="s">
        <v>89</v>
      </c>
      <c r="KKQ5" s="394" t="s">
        <v>89</v>
      </c>
      <c r="KKR5" s="394" t="s">
        <v>89</v>
      </c>
      <c r="KKS5" s="394" t="s">
        <v>89</v>
      </c>
      <c r="KKT5" s="394" t="s">
        <v>89</v>
      </c>
      <c r="KKU5" s="394" t="s">
        <v>89</v>
      </c>
      <c r="KKV5" s="394" t="s">
        <v>89</v>
      </c>
      <c r="KKW5" s="394" t="s">
        <v>89</v>
      </c>
      <c r="KKX5" s="394" t="s">
        <v>89</v>
      </c>
      <c r="KKY5" s="394" t="s">
        <v>89</v>
      </c>
      <c r="KKZ5" s="394" t="s">
        <v>89</v>
      </c>
      <c r="KLA5" s="394" t="s">
        <v>89</v>
      </c>
      <c r="KLB5" s="394" t="s">
        <v>89</v>
      </c>
      <c r="KLC5" s="394" t="s">
        <v>89</v>
      </c>
      <c r="KLD5" s="394" t="s">
        <v>89</v>
      </c>
      <c r="KLE5" s="394" t="s">
        <v>89</v>
      </c>
      <c r="KLF5" s="394" t="s">
        <v>89</v>
      </c>
      <c r="KLG5" s="394" t="s">
        <v>89</v>
      </c>
      <c r="KLH5" s="394" t="s">
        <v>89</v>
      </c>
      <c r="KLI5" s="394" t="s">
        <v>89</v>
      </c>
      <c r="KLJ5" s="394" t="s">
        <v>89</v>
      </c>
      <c r="KLK5" s="394" t="s">
        <v>89</v>
      </c>
      <c r="KLL5" s="394" t="s">
        <v>89</v>
      </c>
      <c r="KLM5" s="394" t="s">
        <v>89</v>
      </c>
      <c r="KLN5" s="394" t="s">
        <v>89</v>
      </c>
      <c r="KLO5" s="394" t="s">
        <v>89</v>
      </c>
      <c r="KLP5" s="394" t="s">
        <v>89</v>
      </c>
      <c r="KLQ5" s="394" t="s">
        <v>89</v>
      </c>
      <c r="KLR5" s="394" t="s">
        <v>89</v>
      </c>
      <c r="KLS5" s="394" t="s">
        <v>89</v>
      </c>
      <c r="KLT5" s="394" t="s">
        <v>89</v>
      </c>
      <c r="KLU5" s="394" t="s">
        <v>89</v>
      </c>
      <c r="KLV5" s="394" t="s">
        <v>89</v>
      </c>
      <c r="KLW5" s="394" t="s">
        <v>89</v>
      </c>
      <c r="KLX5" s="394" t="s">
        <v>89</v>
      </c>
      <c r="KLY5" s="394" t="s">
        <v>89</v>
      </c>
      <c r="KLZ5" s="394" t="s">
        <v>89</v>
      </c>
      <c r="KMA5" s="394" t="s">
        <v>89</v>
      </c>
      <c r="KMB5" s="394" t="s">
        <v>89</v>
      </c>
      <c r="KMC5" s="394" t="s">
        <v>89</v>
      </c>
      <c r="KMD5" s="394" t="s">
        <v>89</v>
      </c>
      <c r="KME5" s="394" t="s">
        <v>89</v>
      </c>
      <c r="KMF5" s="394" t="s">
        <v>89</v>
      </c>
      <c r="KMG5" s="394" t="s">
        <v>89</v>
      </c>
      <c r="KMH5" s="394" t="s">
        <v>89</v>
      </c>
      <c r="KMI5" s="394" t="s">
        <v>89</v>
      </c>
      <c r="KMJ5" s="394" t="s">
        <v>89</v>
      </c>
      <c r="KMK5" s="394" t="s">
        <v>89</v>
      </c>
      <c r="KML5" s="394" t="s">
        <v>89</v>
      </c>
      <c r="KMM5" s="394" t="s">
        <v>89</v>
      </c>
      <c r="KMN5" s="394" t="s">
        <v>89</v>
      </c>
      <c r="KMO5" s="394" t="s">
        <v>89</v>
      </c>
      <c r="KMP5" s="394" t="s">
        <v>89</v>
      </c>
      <c r="KMQ5" s="394" t="s">
        <v>89</v>
      </c>
      <c r="KMR5" s="394" t="s">
        <v>89</v>
      </c>
      <c r="KMS5" s="394" t="s">
        <v>89</v>
      </c>
      <c r="KMT5" s="394" t="s">
        <v>89</v>
      </c>
      <c r="KMU5" s="394" t="s">
        <v>89</v>
      </c>
      <c r="KMV5" s="394" t="s">
        <v>89</v>
      </c>
      <c r="KMW5" s="394" t="s">
        <v>89</v>
      </c>
      <c r="KMX5" s="394" t="s">
        <v>89</v>
      </c>
      <c r="KMY5" s="394" t="s">
        <v>89</v>
      </c>
      <c r="KMZ5" s="394" t="s">
        <v>89</v>
      </c>
      <c r="KNA5" s="394" t="s">
        <v>89</v>
      </c>
      <c r="KNB5" s="394" t="s">
        <v>89</v>
      </c>
      <c r="KNC5" s="394" t="s">
        <v>89</v>
      </c>
      <c r="KND5" s="394" t="s">
        <v>89</v>
      </c>
      <c r="KNE5" s="394" t="s">
        <v>89</v>
      </c>
      <c r="KNF5" s="394" t="s">
        <v>89</v>
      </c>
      <c r="KNG5" s="394" t="s">
        <v>89</v>
      </c>
      <c r="KNH5" s="394" t="s">
        <v>89</v>
      </c>
      <c r="KNI5" s="394" t="s">
        <v>89</v>
      </c>
      <c r="KNJ5" s="394" t="s">
        <v>89</v>
      </c>
      <c r="KNK5" s="394" t="s">
        <v>89</v>
      </c>
      <c r="KNL5" s="394" t="s">
        <v>89</v>
      </c>
      <c r="KNM5" s="394" t="s">
        <v>89</v>
      </c>
      <c r="KNN5" s="394" t="s">
        <v>89</v>
      </c>
      <c r="KNO5" s="394" t="s">
        <v>89</v>
      </c>
      <c r="KNP5" s="394" t="s">
        <v>89</v>
      </c>
      <c r="KNQ5" s="394" t="s">
        <v>89</v>
      </c>
      <c r="KNR5" s="394" t="s">
        <v>89</v>
      </c>
      <c r="KNS5" s="394" t="s">
        <v>89</v>
      </c>
      <c r="KNT5" s="394" t="s">
        <v>89</v>
      </c>
      <c r="KNU5" s="394" t="s">
        <v>89</v>
      </c>
      <c r="KNV5" s="394" t="s">
        <v>89</v>
      </c>
      <c r="KNW5" s="394" t="s">
        <v>89</v>
      </c>
      <c r="KNX5" s="394" t="s">
        <v>89</v>
      </c>
      <c r="KNY5" s="394" t="s">
        <v>89</v>
      </c>
      <c r="KNZ5" s="394" t="s">
        <v>89</v>
      </c>
      <c r="KOA5" s="394" t="s">
        <v>89</v>
      </c>
      <c r="KOB5" s="394" t="s">
        <v>89</v>
      </c>
      <c r="KOC5" s="394" t="s">
        <v>89</v>
      </c>
      <c r="KOD5" s="394" t="s">
        <v>89</v>
      </c>
      <c r="KOE5" s="394" t="s">
        <v>89</v>
      </c>
      <c r="KOF5" s="394" t="s">
        <v>89</v>
      </c>
      <c r="KOG5" s="394" t="s">
        <v>89</v>
      </c>
      <c r="KOH5" s="394" t="s">
        <v>89</v>
      </c>
      <c r="KOI5" s="394" t="s">
        <v>89</v>
      </c>
      <c r="KOJ5" s="394" t="s">
        <v>89</v>
      </c>
      <c r="KOK5" s="394" t="s">
        <v>89</v>
      </c>
      <c r="KOL5" s="394" t="s">
        <v>89</v>
      </c>
      <c r="KOM5" s="394" t="s">
        <v>89</v>
      </c>
      <c r="KON5" s="394" t="s">
        <v>89</v>
      </c>
      <c r="KOO5" s="394" t="s">
        <v>89</v>
      </c>
      <c r="KOP5" s="394" t="s">
        <v>89</v>
      </c>
      <c r="KOQ5" s="394" t="s">
        <v>89</v>
      </c>
      <c r="KOR5" s="394" t="s">
        <v>89</v>
      </c>
      <c r="KOS5" s="394" t="s">
        <v>89</v>
      </c>
      <c r="KOT5" s="394" t="s">
        <v>89</v>
      </c>
      <c r="KOU5" s="394" t="s">
        <v>89</v>
      </c>
      <c r="KOV5" s="394" t="s">
        <v>89</v>
      </c>
      <c r="KOW5" s="394" t="s">
        <v>89</v>
      </c>
      <c r="KOX5" s="394" t="s">
        <v>89</v>
      </c>
      <c r="KOY5" s="394" t="s">
        <v>89</v>
      </c>
      <c r="KOZ5" s="394" t="s">
        <v>89</v>
      </c>
      <c r="KPA5" s="394" t="s">
        <v>89</v>
      </c>
      <c r="KPB5" s="394" t="s">
        <v>89</v>
      </c>
      <c r="KPC5" s="394" t="s">
        <v>89</v>
      </c>
      <c r="KPD5" s="394" t="s">
        <v>89</v>
      </c>
      <c r="KPE5" s="394" t="s">
        <v>89</v>
      </c>
      <c r="KPF5" s="394" t="s">
        <v>89</v>
      </c>
      <c r="KPG5" s="394" t="s">
        <v>89</v>
      </c>
      <c r="KPH5" s="394" t="s">
        <v>89</v>
      </c>
      <c r="KPI5" s="394" t="s">
        <v>89</v>
      </c>
      <c r="KPJ5" s="394" t="s">
        <v>89</v>
      </c>
      <c r="KPK5" s="394" t="s">
        <v>89</v>
      </c>
      <c r="KPL5" s="394" t="s">
        <v>89</v>
      </c>
      <c r="KPM5" s="394" t="s">
        <v>89</v>
      </c>
      <c r="KPN5" s="394" t="s">
        <v>89</v>
      </c>
      <c r="KPO5" s="394" t="s">
        <v>89</v>
      </c>
      <c r="KPP5" s="394" t="s">
        <v>89</v>
      </c>
      <c r="KPQ5" s="394" t="s">
        <v>89</v>
      </c>
      <c r="KPR5" s="394" t="s">
        <v>89</v>
      </c>
      <c r="KPS5" s="394" t="s">
        <v>89</v>
      </c>
      <c r="KPT5" s="394" t="s">
        <v>89</v>
      </c>
      <c r="KPU5" s="394" t="s">
        <v>89</v>
      </c>
      <c r="KPV5" s="394" t="s">
        <v>89</v>
      </c>
      <c r="KPW5" s="394" t="s">
        <v>89</v>
      </c>
      <c r="KPX5" s="394" t="s">
        <v>89</v>
      </c>
      <c r="KPY5" s="394" t="s">
        <v>89</v>
      </c>
      <c r="KPZ5" s="394" t="s">
        <v>89</v>
      </c>
      <c r="KQA5" s="394" t="s">
        <v>89</v>
      </c>
      <c r="KQB5" s="394" t="s">
        <v>89</v>
      </c>
      <c r="KQC5" s="394" t="s">
        <v>89</v>
      </c>
      <c r="KQD5" s="394" t="s">
        <v>89</v>
      </c>
      <c r="KQE5" s="394" t="s">
        <v>89</v>
      </c>
      <c r="KQF5" s="394" t="s">
        <v>89</v>
      </c>
      <c r="KQG5" s="394" t="s">
        <v>89</v>
      </c>
      <c r="KQH5" s="394" t="s">
        <v>89</v>
      </c>
      <c r="KQI5" s="394" t="s">
        <v>89</v>
      </c>
      <c r="KQJ5" s="394" t="s">
        <v>89</v>
      </c>
      <c r="KQK5" s="394" t="s">
        <v>89</v>
      </c>
      <c r="KQL5" s="394" t="s">
        <v>89</v>
      </c>
      <c r="KQM5" s="394" t="s">
        <v>89</v>
      </c>
      <c r="KQN5" s="394" t="s">
        <v>89</v>
      </c>
      <c r="KQO5" s="394" t="s">
        <v>89</v>
      </c>
      <c r="KQP5" s="394" t="s">
        <v>89</v>
      </c>
      <c r="KQQ5" s="394" t="s">
        <v>89</v>
      </c>
      <c r="KQR5" s="394" t="s">
        <v>89</v>
      </c>
      <c r="KQS5" s="394" t="s">
        <v>89</v>
      </c>
      <c r="KQT5" s="394" t="s">
        <v>89</v>
      </c>
      <c r="KQU5" s="394" t="s">
        <v>89</v>
      </c>
      <c r="KQV5" s="394" t="s">
        <v>89</v>
      </c>
      <c r="KQW5" s="394" t="s">
        <v>89</v>
      </c>
      <c r="KQX5" s="394" t="s">
        <v>89</v>
      </c>
      <c r="KQY5" s="394" t="s">
        <v>89</v>
      </c>
      <c r="KQZ5" s="394" t="s">
        <v>89</v>
      </c>
      <c r="KRA5" s="394" t="s">
        <v>89</v>
      </c>
      <c r="KRB5" s="394" t="s">
        <v>89</v>
      </c>
      <c r="KRC5" s="394" t="s">
        <v>89</v>
      </c>
      <c r="KRD5" s="394" t="s">
        <v>89</v>
      </c>
      <c r="KRE5" s="394" t="s">
        <v>89</v>
      </c>
      <c r="KRF5" s="394" t="s">
        <v>89</v>
      </c>
      <c r="KRG5" s="394" t="s">
        <v>89</v>
      </c>
      <c r="KRH5" s="394" t="s">
        <v>89</v>
      </c>
      <c r="KRI5" s="394" t="s">
        <v>89</v>
      </c>
      <c r="KRJ5" s="394" t="s">
        <v>89</v>
      </c>
      <c r="KRK5" s="394" t="s">
        <v>89</v>
      </c>
      <c r="KRL5" s="394" t="s">
        <v>89</v>
      </c>
      <c r="KRM5" s="394" t="s">
        <v>89</v>
      </c>
      <c r="KRN5" s="394" t="s">
        <v>89</v>
      </c>
      <c r="KRO5" s="394" t="s">
        <v>89</v>
      </c>
      <c r="KRP5" s="394" t="s">
        <v>89</v>
      </c>
      <c r="KRQ5" s="394" t="s">
        <v>89</v>
      </c>
      <c r="KRR5" s="394" t="s">
        <v>89</v>
      </c>
      <c r="KRS5" s="394" t="s">
        <v>89</v>
      </c>
      <c r="KRT5" s="394" t="s">
        <v>89</v>
      </c>
      <c r="KRU5" s="394" t="s">
        <v>89</v>
      </c>
      <c r="KRV5" s="394" t="s">
        <v>89</v>
      </c>
      <c r="KRW5" s="394" t="s">
        <v>89</v>
      </c>
      <c r="KRX5" s="394" t="s">
        <v>89</v>
      </c>
      <c r="KRY5" s="394" t="s">
        <v>89</v>
      </c>
      <c r="KRZ5" s="394" t="s">
        <v>89</v>
      </c>
      <c r="KSA5" s="394" t="s">
        <v>89</v>
      </c>
      <c r="KSB5" s="394" t="s">
        <v>89</v>
      </c>
      <c r="KSC5" s="394" t="s">
        <v>89</v>
      </c>
      <c r="KSD5" s="394" t="s">
        <v>89</v>
      </c>
      <c r="KSE5" s="394" t="s">
        <v>89</v>
      </c>
      <c r="KSF5" s="394" t="s">
        <v>89</v>
      </c>
      <c r="KSG5" s="394" t="s">
        <v>89</v>
      </c>
      <c r="KSH5" s="394" t="s">
        <v>89</v>
      </c>
      <c r="KSI5" s="394" t="s">
        <v>89</v>
      </c>
      <c r="KSJ5" s="394" t="s">
        <v>89</v>
      </c>
      <c r="KSK5" s="394" t="s">
        <v>89</v>
      </c>
      <c r="KSL5" s="394" t="s">
        <v>89</v>
      </c>
      <c r="KSM5" s="394" t="s">
        <v>89</v>
      </c>
      <c r="KSN5" s="394" t="s">
        <v>89</v>
      </c>
      <c r="KSO5" s="394" t="s">
        <v>89</v>
      </c>
      <c r="KSP5" s="394" t="s">
        <v>89</v>
      </c>
      <c r="KSQ5" s="394" t="s">
        <v>89</v>
      </c>
      <c r="KSR5" s="394" t="s">
        <v>89</v>
      </c>
      <c r="KSS5" s="394" t="s">
        <v>89</v>
      </c>
      <c r="KST5" s="394" t="s">
        <v>89</v>
      </c>
      <c r="KSU5" s="394" t="s">
        <v>89</v>
      </c>
      <c r="KSV5" s="394" t="s">
        <v>89</v>
      </c>
      <c r="KSW5" s="394" t="s">
        <v>89</v>
      </c>
      <c r="KSX5" s="394" t="s">
        <v>89</v>
      </c>
      <c r="KSY5" s="394" t="s">
        <v>89</v>
      </c>
      <c r="KSZ5" s="394" t="s">
        <v>89</v>
      </c>
      <c r="KTA5" s="394" t="s">
        <v>89</v>
      </c>
      <c r="KTB5" s="394" t="s">
        <v>89</v>
      </c>
      <c r="KTC5" s="394" t="s">
        <v>89</v>
      </c>
      <c r="KTD5" s="394" t="s">
        <v>89</v>
      </c>
      <c r="KTE5" s="394" t="s">
        <v>89</v>
      </c>
      <c r="KTF5" s="394" t="s">
        <v>89</v>
      </c>
      <c r="KTG5" s="394" t="s">
        <v>89</v>
      </c>
      <c r="KTH5" s="394" t="s">
        <v>89</v>
      </c>
      <c r="KTI5" s="394" t="s">
        <v>89</v>
      </c>
      <c r="KTJ5" s="394" t="s">
        <v>89</v>
      </c>
      <c r="KTK5" s="394" t="s">
        <v>89</v>
      </c>
      <c r="KTL5" s="394" t="s">
        <v>89</v>
      </c>
      <c r="KTM5" s="394" t="s">
        <v>89</v>
      </c>
      <c r="KTN5" s="394" t="s">
        <v>89</v>
      </c>
      <c r="KTO5" s="394" t="s">
        <v>89</v>
      </c>
      <c r="KTP5" s="394" t="s">
        <v>89</v>
      </c>
      <c r="KTQ5" s="394" t="s">
        <v>89</v>
      </c>
      <c r="KTR5" s="394" t="s">
        <v>89</v>
      </c>
      <c r="KTS5" s="394" t="s">
        <v>89</v>
      </c>
      <c r="KTT5" s="394" t="s">
        <v>89</v>
      </c>
      <c r="KTU5" s="394" t="s">
        <v>89</v>
      </c>
      <c r="KTV5" s="394" t="s">
        <v>89</v>
      </c>
      <c r="KTW5" s="394" t="s">
        <v>89</v>
      </c>
      <c r="KTX5" s="394" t="s">
        <v>89</v>
      </c>
      <c r="KTY5" s="394" t="s">
        <v>89</v>
      </c>
      <c r="KTZ5" s="394" t="s">
        <v>89</v>
      </c>
      <c r="KUA5" s="394" t="s">
        <v>89</v>
      </c>
      <c r="KUB5" s="394" t="s">
        <v>89</v>
      </c>
      <c r="KUC5" s="394" t="s">
        <v>89</v>
      </c>
      <c r="KUD5" s="394" t="s">
        <v>89</v>
      </c>
      <c r="KUE5" s="394" t="s">
        <v>89</v>
      </c>
      <c r="KUF5" s="394" t="s">
        <v>89</v>
      </c>
      <c r="KUG5" s="394" t="s">
        <v>89</v>
      </c>
      <c r="KUH5" s="394" t="s">
        <v>89</v>
      </c>
      <c r="KUI5" s="394" t="s">
        <v>89</v>
      </c>
      <c r="KUJ5" s="394" t="s">
        <v>89</v>
      </c>
      <c r="KUK5" s="394" t="s">
        <v>89</v>
      </c>
      <c r="KUL5" s="394" t="s">
        <v>89</v>
      </c>
      <c r="KUM5" s="394" t="s">
        <v>89</v>
      </c>
      <c r="KUN5" s="394" t="s">
        <v>89</v>
      </c>
      <c r="KUO5" s="394" t="s">
        <v>89</v>
      </c>
      <c r="KUP5" s="394" t="s">
        <v>89</v>
      </c>
      <c r="KUQ5" s="394" t="s">
        <v>89</v>
      </c>
      <c r="KUR5" s="394" t="s">
        <v>89</v>
      </c>
      <c r="KUS5" s="394" t="s">
        <v>89</v>
      </c>
      <c r="KUT5" s="394" t="s">
        <v>89</v>
      </c>
      <c r="KUU5" s="394" t="s">
        <v>89</v>
      </c>
      <c r="KUV5" s="394" t="s">
        <v>89</v>
      </c>
      <c r="KUW5" s="394" t="s">
        <v>89</v>
      </c>
      <c r="KUX5" s="394" t="s">
        <v>89</v>
      </c>
      <c r="KUY5" s="394" t="s">
        <v>89</v>
      </c>
      <c r="KUZ5" s="394" t="s">
        <v>89</v>
      </c>
      <c r="KVA5" s="394" t="s">
        <v>89</v>
      </c>
      <c r="KVB5" s="394" t="s">
        <v>89</v>
      </c>
      <c r="KVC5" s="394" t="s">
        <v>89</v>
      </c>
      <c r="KVD5" s="394" t="s">
        <v>89</v>
      </c>
      <c r="KVE5" s="394" t="s">
        <v>89</v>
      </c>
      <c r="KVF5" s="394" t="s">
        <v>89</v>
      </c>
      <c r="KVG5" s="394" t="s">
        <v>89</v>
      </c>
      <c r="KVH5" s="394" t="s">
        <v>89</v>
      </c>
      <c r="KVI5" s="394" t="s">
        <v>89</v>
      </c>
      <c r="KVJ5" s="394" t="s">
        <v>89</v>
      </c>
      <c r="KVK5" s="394" t="s">
        <v>89</v>
      </c>
      <c r="KVL5" s="394" t="s">
        <v>89</v>
      </c>
      <c r="KVM5" s="394" t="s">
        <v>89</v>
      </c>
      <c r="KVN5" s="394" t="s">
        <v>89</v>
      </c>
      <c r="KVO5" s="394" t="s">
        <v>89</v>
      </c>
      <c r="KVP5" s="394" t="s">
        <v>89</v>
      </c>
      <c r="KVQ5" s="394" t="s">
        <v>89</v>
      </c>
      <c r="KVR5" s="394" t="s">
        <v>89</v>
      </c>
      <c r="KVS5" s="394" t="s">
        <v>89</v>
      </c>
      <c r="KVT5" s="394" t="s">
        <v>89</v>
      </c>
      <c r="KVU5" s="394" t="s">
        <v>89</v>
      </c>
      <c r="KVV5" s="394" t="s">
        <v>89</v>
      </c>
      <c r="KVW5" s="394" t="s">
        <v>89</v>
      </c>
      <c r="KVX5" s="394" t="s">
        <v>89</v>
      </c>
      <c r="KVY5" s="394" t="s">
        <v>89</v>
      </c>
      <c r="KVZ5" s="394" t="s">
        <v>89</v>
      </c>
      <c r="KWA5" s="394" t="s">
        <v>89</v>
      </c>
      <c r="KWB5" s="394" t="s">
        <v>89</v>
      </c>
      <c r="KWC5" s="394" t="s">
        <v>89</v>
      </c>
      <c r="KWD5" s="394" t="s">
        <v>89</v>
      </c>
      <c r="KWE5" s="394" t="s">
        <v>89</v>
      </c>
      <c r="KWF5" s="394" t="s">
        <v>89</v>
      </c>
      <c r="KWG5" s="394" t="s">
        <v>89</v>
      </c>
      <c r="KWH5" s="394" t="s">
        <v>89</v>
      </c>
      <c r="KWI5" s="394" t="s">
        <v>89</v>
      </c>
      <c r="KWJ5" s="394" t="s">
        <v>89</v>
      </c>
      <c r="KWK5" s="394" t="s">
        <v>89</v>
      </c>
      <c r="KWL5" s="394" t="s">
        <v>89</v>
      </c>
      <c r="KWM5" s="394" t="s">
        <v>89</v>
      </c>
      <c r="KWN5" s="394" t="s">
        <v>89</v>
      </c>
      <c r="KWO5" s="394" t="s">
        <v>89</v>
      </c>
      <c r="KWP5" s="394" t="s">
        <v>89</v>
      </c>
      <c r="KWQ5" s="394" t="s">
        <v>89</v>
      </c>
      <c r="KWR5" s="394" t="s">
        <v>89</v>
      </c>
      <c r="KWS5" s="394" t="s">
        <v>89</v>
      </c>
      <c r="KWT5" s="394" t="s">
        <v>89</v>
      </c>
      <c r="KWU5" s="394" t="s">
        <v>89</v>
      </c>
      <c r="KWV5" s="394" t="s">
        <v>89</v>
      </c>
      <c r="KWW5" s="394" t="s">
        <v>89</v>
      </c>
      <c r="KWX5" s="394" t="s">
        <v>89</v>
      </c>
      <c r="KWY5" s="394" t="s">
        <v>89</v>
      </c>
      <c r="KWZ5" s="394" t="s">
        <v>89</v>
      </c>
      <c r="KXA5" s="394" t="s">
        <v>89</v>
      </c>
      <c r="KXB5" s="394" t="s">
        <v>89</v>
      </c>
      <c r="KXC5" s="394" t="s">
        <v>89</v>
      </c>
      <c r="KXD5" s="394" t="s">
        <v>89</v>
      </c>
      <c r="KXE5" s="394" t="s">
        <v>89</v>
      </c>
      <c r="KXF5" s="394" t="s">
        <v>89</v>
      </c>
      <c r="KXG5" s="394" t="s">
        <v>89</v>
      </c>
      <c r="KXH5" s="394" t="s">
        <v>89</v>
      </c>
      <c r="KXI5" s="394" t="s">
        <v>89</v>
      </c>
      <c r="KXJ5" s="394" t="s">
        <v>89</v>
      </c>
      <c r="KXK5" s="394" t="s">
        <v>89</v>
      </c>
      <c r="KXL5" s="394" t="s">
        <v>89</v>
      </c>
      <c r="KXM5" s="394" t="s">
        <v>89</v>
      </c>
      <c r="KXN5" s="394" t="s">
        <v>89</v>
      </c>
      <c r="KXO5" s="394" t="s">
        <v>89</v>
      </c>
      <c r="KXP5" s="394" t="s">
        <v>89</v>
      </c>
      <c r="KXQ5" s="394" t="s">
        <v>89</v>
      </c>
      <c r="KXR5" s="394" t="s">
        <v>89</v>
      </c>
      <c r="KXS5" s="394" t="s">
        <v>89</v>
      </c>
      <c r="KXT5" s="394" t="s">
        <v>89</v>
      </c>
      <c r="KXU5" s="394" t="s">
        <v>89</v>
      </c>
      <c r="KXV5" s="394" t="s">
        <v>89</v>
      </c>
      <c r="KXW5" s="394" t="s">
        <v>89</v>
      </c>
      <c r="KXX5" s="394" t="s">
        <v>89</v>
      </c>
      <c r="KXY5" s="394" t="s">
        <v>89</v>
      </c>
      <c r="KXZ5" s="394" t="s">
        <v>89</v>
      </c>
      <c r="KYA5" s="394" t="s">
        <v>89</v>
      </c>
      <c r="KYB5" s="394" t="s">
        <v>89</v>
      </c>
      <c r="KYC5" s="394" t="s">
        <v>89</v>
      </c>
      <c r="KYD5" s="394" t="s">
        <v>89</v>
      </c>
      <c r="KYE5" s="394" t="s">
        <v>89</v>
      </c>
      <c r="KYF5" s="394" t="s">
        <v>89</v>
      </c>
      <c r="KYG5" s="394" t="s">
        <v>89</v>
      </c>
      <c r="KYH5" s="394" t="s">
        <v>89</v>
      </c>
      <c r="KYI5" s="394" t="s">
        <v>89</v>
      </c>
      <c r="KYJ5" s="394" t="s">
        <v>89</v>
      </c>
      <c r="KYK5" s="394" t="s">
        <v>89</v>
      </c>
      <c r="KYL5" s="394" t="s">
        <v>89</v>
      </c>
      <c r="KYM5" s="394" t="s">
        <v>89</v>
      </c>
      <c r="KYN5" s="394" t="s">
        <v>89</v>
      </c>
      <c r="KYO5" s="394" t="s">
        <v>89</v>
      </c>
      <c r="KYP5" s="394" t="s">
        <v>89</v>
      </c>
      <c r="KYQ5" s="394" t="s">
        <v>89</v>
      </c>
      <c r="KYR5" s="394" t="s">
        <v>89</v>
      </c>
      <c r="KYS5" s="394" t="s">
        <v>89</v>
      </c>
      <c r="KYT5" s="394" t="s">
        <v>89</v>
      </c>
      <c r="KYU5" s="394" t="s">
        <v>89</v>
      </c>
      <c r="KYV5" s="394" t="s">
        <v>89</v>
      </c>
      <c r="KYW5" s="394" t="s">
        <v>89</v>
      </c>
      <c r="KYX5" s="394" t="s">
        <v>89</v>
      </c>
      <c r="KYY5" s="394" t="s">
        <v>89</v>
      </c>
      <c r="KYZ5" s="394" t="s">
        <v>89</v>
      </c>
      <c r="KZA5" s="394" t="s">
        <v>89</v>
      </c>
      <c r="KZB5" s="394" t="s">
        <v>89</v>
      </c>
      <c r="KZC5" s="394" t="s">
        <v>89</v>
      </c>
      <c r="KZD5" s="394" t="s">
        <v>89</v>
      </c>
      <c r="KZE5" s="394" t="s">
        <v>89</v>
      </c>
      <c r="KZF5" s="394" t="s">
        <v>89</v>
      </c>
      <c r="KZG5" s="394" t="s">
        <v>89</v>
      </c>
      <c r="KZH5" s="394" t="s">
        <v>89</v>
      </c>
      <c r="KZI5" s="394" t="s">
        <v>89</v>
      </c>
      <c r="KZJ5" s="394" t="s">
        <v>89</v>
      </c>
      <c r="KZK5" s="394" t="s">
        <v>89</v>
      </c>
      <c r="KZL5" s="394" t="s">
        <v>89</v>
      </c>
      <c r="KZM5" s="394" t="s">
        <v>89</v>
      </c>
      <c r="KZN5" s="394" t="s">
        <v>89</v>
      </c>
      <c r="KZO5" s="394" t="s">
        <v>89</v>
      </c>
      <c r="KZP5" s="394" t="s">
        <v>89</v>
      </c>
      <c r="KZQ5" s="394" t="s">
        <v>89</v>
      </c>
      <c r="KZR5" s="394" t="s">
        <v>89</v>
      </c>
      <c r="KZS5" s="394" t="s">
        <v>89</v>
      </c>
      <c r="KZT5" s="394" t="s">
        <v>89</v>
      </c>
      <c r="KZU5" s="394" t="s">
        <v>89</v>
      </c>
      <c r="KZV5" s="394" t="s">
        <v>89</v>
      </c>
      <c r="KZW5" s="394" t="s">
        <v>89</v>
      </c>
      <c r="KZX5" s="394" t="s">
        <v>89</v>
      </c>
      <c r="KZY5" s="394" t="s">
        <v>89</v>
      </c>
      <c r="KZZ5" s="394" t="s">
        <v>89</v>
      </c>
      <c r="LAA5" s="394" t="s">
        <v>89</v>
      </c>
      <c r="LAB5" s="394" t="s">
        <v>89</v>
      </c>
      <c r="LAC5" s="394" t="s">
        <v>89</v>
      </c>
      <c r="LAD5" s="394" t="s">
        <v>89</v>
      </c>
      <c r="LAE5" s="394" t="s">
        <v>89</v>
      </c>
      <c r="LAF5" s="394" t="s">
        <v>89</v>
      </c>
      <c r="LAG5" s="394" t="s">
        <v>89</v>
      </c>
      <c r="LAH5" s="394" t="s">
        <v>89</v>
      </c>
      <c r="LAI5" s="394" t="s">
        <v>89</v>
      </c>
      <c r="LAJ5" s="394" t="s">
        <v>89</v>
      </c>
      <c r="LAK5" s="394" t="s">
        <v>89</v>
      </c>
      <c r="LAL5" s="394" t="s">
        <v>89</v>
      </c>
      <c r="LAM5" s="394" t="s">
        <v>89</v>
      </c>
      <c r="LAN5" s="394" t="s">
        <v>89</v>
      </c>
      <c r="LAO5" s="394" t="s">
        <v>89</v>
      </c>
      <c r="LAP5" s="394" t="s">
        <v>89</v>
      </c>
      <c r="LAQ5" s="394" t="s">
        <v>89</v>
      </c>
      <c r="LAR5" s="394" t="s">
        <v>89</v>
      </c>
      <c r="LAS5" s="394" t="s">
        <v>89</v>
      </c>
      <c r="LAT5" s="394" t="s">
        <v>89</v>
      </c>
      <c r="LAU5" s="394" t="s">
        <v>89</v>
      </c>
      <c r="LAV5" s="394" t="s">
        <v>89</v>
      </c>
      <c r="LAW5" s="394" t="s">
        <v>89</v>
      </c>
      <c r="LAX5" s="394" t="s">
        <v>89</v>
      </c>
      <c r="LAY5" s="394" t="s">
        <v>89</v>
      </c>
      <c r="LAZ5" s="394" t="s">
        <v>89</v>
      </c>
      <c r="LBA5" s="394" t="s">
        <v>89</v>
      </c>
      <c r="LBB5" s="394" t="s">
        <v>89</v>
      </c>
      <c r="LBC5" s="394" t="s">
        <v>89</v>
      </c>
      <c r="LBD5" s="394" t="s">
        <v>89</v>
      </c>
      <c r="LBE5" s="394" t="s">
        <v>89</v>
      </c>
      <c r="LBF5" s="394" t="s">
        <v>89</v>
      </c>
      <c r="LBG5" s="394" t="s">
        <v>89</v>
      </c>
      <c r="LBH5" s="394" t="s">
        <v>89</v>
      </c>
      <c r="LBI5" s="394" t="s">
        <v>89</v>
      </c>
      <c r="LBJ5" s="394" t="s">
        <v>89</v>
      </c>
      <c r="LBK5" s="394" t="s">
        <v>89</v>
      </c>
      <c r="LBL5" s="394" t="s">
        <v>89</v>
      </c>
      <c r="LBM5" s="394" t="s">
        <v>89</v>
      </c>
      <c r="LBN5" s="394" t="s">
        <v>89</v>
      </c>
      <c r="LBO5" s="394" t="s">
        <v>89</v>
      </c>
      <c r="LBP5" s="394" t="s">
        <v>89</v>
      </c>
      <c r="LBQ5" s="394" t="s">
        <v>89</v>
      </c>
      <c r="LBR5" s="394" t="s">
        <v>89</v>
      </c>
      <c r="LBS5" s="394" t="s">
        <v>89</v>
      </c>
      <c r="LBT5" s="394" t="s">
        <v>89</v>
      </c>
      <c r="LBU5" s="394" t="s">
        <v>89</v>
      </c>
      <c r="LBV5" s="394" t="s">
        <v>89</v>
      </c>
      <c r="LBW5" s="394" t="s">
        <v>89</v>
      </c>
      <c r="LBX5" s="394" t="s">
        <v>89</v>
      </c>
      <c r="LBY5" s="394" t="s">
        <v>89</v>
      </c>
      <c r="LBZ5" s="394" t="s">
        <v>89</v>
      </c>
      <c r="LCA5" s="394" t="s">
        <v>89</v>
      </c>
      <c r="LCB5" s="394" t="s">
        <v>89</v>
      </c>
      <c r="LCC5" s="394" t="s">
        <v>89</v>
      </c>
      <c r="LCD5" s="394" t="s">
        <v>89</v>
      </c>
      <c r="LCE5" s="394" t="s">
        <v>89</v>
      </c>
      <c r="LCF5" s="394" t="s">
        <v>89</v>
      </c>
      <c r="LCG5" s="394" t="s">
        <v>89</v>
      </c>
      <c r="LCH5" s="394" t="s">
        <v>89</v>
      </c>
      <c r="LCI5" s="394" t="s">
        <v>89</v>
      </c>
      <c r="LCJ5" s="394" t="s">
        <v>89</v>
      </c>
      <c r="LCK5" s="394" t="s">
        <v>89</v>
      </c>
      <c r="LCL5" s="394" t="s">
        <v>89</v>
      </c>
      <c r="LCM5" s="394" t="s">
        <v>89</v>
      </c>
      <c r="LCN5" s="394" t="s">
        <v>89</v>
      </c>
      <c r="LCO5" s="394" t="s">
        <v>89</v>
      </c>
      <c r="LCP5" s="394" t="s">
        <v>89</v>
      </c>
      <c r="LCQ5" s="394" t="s">
        <v>89</v>
      </c>
      <c r="LCR5" s="394" t="s">
        <v>89</v>
      </c>
      <c r="LCS5" s="394" t="s">
        <v>89</v>
      </c>
      <c r="LCT5" s="394" t="s">
        <v>89</v>
      </c>
      <c r="LCU5" s="394" t="s">
        <v>89</v>
      </c>
      <c r="LCV5" s="394" t="s">
        <v>89</v>
      </c>
      <c r="LCW5" s="394" t="s">
        <v>89</v>
      </c>
      <c r="LCX5" s="394" t="s">
        <v>89</v>
      </c>
      <c r="LCY5" s="394" t="s">
        <v>89</v>
      </c>
      <c r="LCZ5" s="394" t="s">
        <v>89</v>
      </c>
      <c r="LDA5" s="394" t="s">
        <v>89</v>
      </c>
      <c r="LDB5" s="394" t="s">
        <v>89</v>
      </c>
      <c r="LDC5" s="394" t="s">
        <v>89</v>
      </c>
      <c r="LDD5" s="394" t="s">
        <v>89</v>
      </c>
      <c r="LDE5" s="394" t="s">
        <v>89</v>
      </c>
      <c r="LDF5" s="394" t="s">
        <v>89</v>
      </c>
      <c r="LDG5" s="394" t="s">
        <v>89</v>
      </c>
      <c r="LDH5" s="394" t="s">
        <v>89</v>
      </c>
      <c r="LDI5" s="394" t="s">
        <v>89</v>
      </c>
      <c r="LDJ5" s="394" t="s">
        <v>89</v>
      </c>
      <c r="LDK5" s="394" t="s">
        <v>89</v>
      </c>
      <c r="LDL5" s="394" t="s">
        <v>89</v>
      </c>
      <c r="LDM5" s="394" t="s">
        <v>89</v>
      </c>
      <c r="LDN5" s="394" t="s">
        <v>89</v>
      </c>
      <c r="LDO5" s="394" t="s">
        <v>89</v>
      </c>
      <c r="LDP5" s="394" t="s">
        <v>89</v>
      </c>
      <c r="LDQ5" s="394" t="s">
        <v>89</v>
      </c>
      <c r="LDR5" s="394" t="s">
        <v>89</v>
      </c>
      <c r="LDS5" s="394" t="s">
        <v>89</v>
      </c>
      <c r="LDT5" s="394" t="s">
        <v>89</v>
      </c>
      <c r="LDU5" s="394" t="s">
        <v>89</v>
      </c>
      <c r="LDV5" s="394" t="s">
        <v>89</v>
      </c>
      <c r="LDW5" s="394" t="s">
        <v>89</v>
      </c>
      <c r="LDX5" s="394" t="s">
        <v>89</v>
      </c>
      <c r="LDY5" s="394" t="s">
        <v>89</v>
      </c>
      <c r="LDZ5" s="394" t="s">
        <v>89</v>
      </c>
      <c r="LEA5" s="394" t="s">
        <v>89</v>
      </c>
      <c r="LEB5" s="394" t="s">
        <v>89</v>
      </c>
      <c r="LEC5" s="394" t="s">
        <v>89</v>
      </c>
      <c r="LED5" s="394" t="s">
        <v>89</v>
      </c>
      <c r="LEE5" s="394" t="s">
        <v>89</v>
      </c>
      <c r="LEF5" s="394" t="s">
        <v>89</v>
      </c>
      <c r="LEG5" s="394" t="s">
        <v>89</v>
      </c>
      <c r="LEH5" s="394" t="s">
        <v>89</v>
      </c>
      <c r="LEI5" s="394" t="s">
        <v>89</v>
      </c>
      <c r="LEJ5" s="394" t="s">
        <v>89</v>
      </c>
      <c r="LEK5" s="394" t="s">
        <v>89</v>
      </c>
      <c r="LEL5" s="394" t="s">
        <v>89</v>
      </c>
      <c r="LEM5" s="394" t="s">
        <v>89</v>
      </c>
      <c r="LEN5" s="394" t="s">
        <v>89</v>
      </c>
      <c r="LEO5" s="394" t="s">
        <v>89</v>
      </c>
      <c r="LEP5" s="394" t="s">
        <v>89</v>
      </c>
      <c r="LEQ5" s="394" t="s">
        <v>89</v>
      </c>
      <c r="LER5" s="394" t="s">
        <v>89</v>
      </c>
      <c r="LES5" s="394" t="s">
        <v>89</v>
      </c>
      <c r="LET5" s="394" t="s">
        <v>89</v>
      </c>
      <c r="LEU5" s="394" t="s">
        <v>89</v>
      </c>
      <c r="LEV5" s="394" t="s">
        <v>89</v>
      </c>
      <c r="LEW5" s="394" t="s">
        <v>89</v>
      </c>
      <c r="LEX5" s="394" t="s">
        <v>89</v>
      </c>
      <c r="LEY5" s="394" t="s">
        <v>89</v>
      </c>
      <c r="LEZ5" s="394" t="s">
        <v>89</v>
      </c>
      <c r="LFA5" s="394" t="s">
        <v>89</v>
      </c>
      <c r="LFB5" s="394" t="s">
        <v>89</v>
      </c>
      <c r="LFC5" s="394" t="s">
        <v>89</v>
      </c>
      <c r="LFD5" s="394" t="s">
        <v>89</v>
      </c>
      <c r="LFE5" s="394" t="s">
        <v>89</v>
      </c>
      <c r="LFF5" s="394" t="s">
        <v>89</v>
      </c>
      <c r="LFG5" s="394" t="s">
        <v>89</v>
      </c>
      <c r="LFH5" s="394" t="s">
        <v>89</v>
      </c>
      <c r="LFI5" s="394" t="s">
        <v>89</v>
      </c>
      <c r="LFJ5" s="394" t="s">
        <v>89</v>
      </c>
      <c r="LFK5" s="394" t="s">
        <v>89</v>
      </c>
      <c r="LFL5" s="394" t="s">
        <v>89</v>
      </c>
      <c r="LFM5" s="394" t="s">
        <v>89</v>
      </c>
      <c r="LFN5" s="394" t="s">
        <v>89</v>
      </c>
      <c r="LFO5" s="394" t="s">
        <v>89</v>
      </c>
      <c r="LFP5" s="394" t="s">
        <v>89</v>
      </c>
      <c r="LFQ5" s="394" t="s">
        <v>89</v>
      </c>
      <c r="LFR5" s="394" t="s">
        <v>89</v>
      </c>
      <c r="LFS5" s="394" t="s">
        <v>89</v>
      </c>
      <c r="LFT5" s="394" t="s">
        <v>89</v>
      </c>
      <c r="LFU5" s="394" t="s">
        <v>89</v>
      </c>
      <c r="LFV5" s="394" t="s">
        <v>89</v>
      </c>
      <c r="LFW5" s="394" t="s">
        <v>89</v>
      </c>
      <c r="LFX5" s="394" t="s">
        <v>89</v>
      </c>
      <c r="LFY5" s="394" t="s">
        <v>89</v>
      </c>
      <c r="LFZ5" s="394" t="s">
        <v>89</v>
      </c>
      <c r="LGA5" s="394" t="s">
        <v>89</v>
      </c>
      <c r="LGB5" s="394" t="s">
        <v>89</v>
      </c>
      <c r="LGC5" s="394" t="s">
        <v>89</v>
      </c>
      <c r="LGD5" s="394" t="s">
        <v>89</v>
      </c>
      <c r="LGE5" s="394" t="s">
        <v>89</v>
      </c>
      <c r="LGF5" s="394" t="s">
        <v>89</v>
      </c>
      <c r="LGG5" s="394" t="s">
        <v>89</v>
      </c>
      <c r="LGH5" s="394" t="s">
        <v>89</v>
      </c>
      <c r="LGI5" s="394" t="s">
        <v>89</v>
      </c>
      <c r="LGJ5" s="394" t="s">
        <v>89</v>
      </c>
      <c r="LGK5" s="394" t="s">
        <v>89</v>
      </c>
      <c r="LGL5" s="394" t="s">
        <v>89</v>
      </c>
      <c r="LGM5" s="394" t="s">
        <v>89</v>
      </c>
      <c r="LGN5" s="394" t="s">
        <v>89</v>
      </c>
      <c r="LGO5" s="394" t="s">
        <v>89</v>
      </c>
      <c r="LGP5" s="394" t="s">
        <v>89</v>
      </c>
      <c r="LGQ5" s="394" t="s">
        <v>89</v>
      </c>
      <c r="LGR5" s="394" t="s">
        <v>89</v>
      </c>
      <c r="LGS5" s="394" t="s">
        <v>89</v>
      </c>
      <c r="LGT5" s="394" t="s">
        <v>89</v>
      </c>
      <c r="LGU5" s="394" t="s">
        <v>89</v>
      </c>
      <c r="LGV5" s="394" t="s">
        <v>89</v>
      </c>
      <c r="LGW5" s="394" t="s">
        <v>89</v>
      </c>
      <c r="LGX5" s="394" t="s">
        <v>89</v>
      </c>
      <c r="LGY5" s="394" t="s">
        <v>89</v>
      </c>
      <c r="LGZ5" s="394" t="s">
        <v>89</v>
      </c>
      <c r="LHA5" s="394" t="s">
        <v>89</v>
      </c>
      <c r="LHB5" s="394" t="s">
        <v>89</v>
      </c>
      <c r="LHC5" s="394" t="s">
        <v>89</v>
      </c>
      <c r="LHD5" s="394" t="s">
        <v>89</v>
      </c>
      <c r="LHE5" s="394" t="s">
        <v>89</v>
      </c>
      <c r="LHF5" s="394" t="s">
        <v>89</v>
      </c>
      <c r="LHG5" s="394" t="s">
        <v>89</v>
      </c>
      <c r="LHH5" s="394" t="s">
        <v>89</v>
      </c>
      <c r="LHI5" s="394" t="s">
        <v>89</v>
      </c>
      <c r="LHJ5" s="394" t="s">
        <v>89</v>
      </c>
      <c r="LHK5" s="394" t="s">
        <v>89</v>
      </c>
      <c r="LHL5" s="394" t="s">
        <v>89</v>
      </c>
      <c r="LHM5" s="394" t="s">
        <v>89</v>
      </c>
      <c r="LHN5" s="394" t="s">
        <v>89</v>
      </c>
      <c r="LHO5" s="394" t="s">
        <v>89</v>
      </c>
      <c r="LHP5" s="394" t="s">
        <v>89</v>
      </c>
      <c r="LHQ5" s="394" t="s">
        <v>89</v>
      </c>
      <c r="LHR5" s="394" t="s">
        <v>89</v>
      </c>
      <c r="LHS5" s="394" t="s">
        <v>89</v>
      </c>
      <c r="LHT5" s="394" t="s">
        <v>89</v>
      </c>
      <c r="LHU5" s="394" t="s">
        <v>89</v>
      </c>
      <c r="LHV5" s="394" t="s">
        <v>89</v>
      </c>
      <c r="LHW5" s="394" t="s">
        <v>89</v>
      </c>
      <c r="LHX5" s="394" t="s">
        <v>89</v>
      </c>
      <c r="LHY5" s="394" t="s">
        <v>89</v>
      </c>
      <c r="LHZ5" s="394" t="s">
        <v>89</v>
      </c>
      <c r="LIA5" s="394" t="s">
        <v>89</v>
      </c>
      <c r="LIB5" s="394" t="s">
        <v>89</v>
      </c>
      <c r="LIC5" s="394" t="s">
        <v>89</v>
      </c>
      <c r="LID5" s="394" t="s">
        <v>89</v>
      </c>
      <c r="LIE5" s="394" t="s">
        <v>89</v>
      </c>
      <c r="LIF5" s="394" t="s">
        <v>89</v>
      </c>
      <c r="LIG5" s="394" t="s">
        <v>89</v>
      </c>
      <c r="LIH5" s="394" t="s">
        <v>89</v>
      </c>
      <c r="LII5" s="394" t="s">
        <v>89</v>
      </c>
      <c r="LIJ5" s="394" t="s">
        <v>89</v>
      </c>
      <c r="LIK5" s="394" t="s">
        <v>89</v>
      </c>
      <c r="LIL5" s="394" t="s">
        <v>89</v>
      </c>
      <c r="LIM5" s="394" t="s">
        <v>89</v>
      </c>
      <c r="LIN5" s="394" t="s">
        <v>89</v>
      </c>
      <c r="LIO5" s="394" t="s">
        <v>89</v>
      </c>
      <c r="LIP5" s="394" t="s">
        <v>89</v>
      </c>
      <c r="LIQ5" s="394" t="s">
        <v>89</v>
      </c>
      <c r="LIR5" s="394" t="s">
        <v>89</v>
      </c>
      <c r="LIS5" s="394" t="s">
        <v>89</v>
      </c>
      <c r="LIT5" s="394" t="s">
        <v>89</v>
      </c>
      <c r="LIU5" s="394" t="s">
        <v>89</v>
      </c>
      <c r="LIV5" s="394" t="s">
        <v>89</v>
      </c>
      <c r="LIW5" s="394" t="s">
        <v>89</v>
      </c>
      <c r="LIX5" s="394" t="s">
        <v>89</v>
      </c>
      <c r="LIY5" s="394" t="s">
        <v>89</v>
      </c>
      <c r="LIZ5" s="394" t="s">
        <v>89</v>
      </c>
      <c r="LJA5" s="394" t="s">
        <v>89</v>
      </c>
      <c r="LJB5" s="394" t="s">
        <v>89</v>
      </c>
      <c r="LJC5" s="394" t="s">
        <v>89</v>
      </c>
      <c r="LJD5" s="394" t="s">
        <v>89</v>
      </c>
      <c r="LJE5" s="394" t="s">
        <v>89</v>
      </c>
      <c r="LJF5" s="394" t="s">
        <v>89</v>
      </c>
      <c r="LJG5" s="394" t="s">
        <v>89</v>
      </c>
      <c r="LJH5" s="394" t="s">
        <v>89</v>
      </c>
      <c r="LJI5" s="394" t="s">
        <v>89</v>
      </c>
      <c r="LJJ5" s="394" t="s">
        <v>89</v>
      </c>
      <c r="LJK5" s="394" t="s">
        <v>89</v>
      </c>
      <c r="LJL5" s="394" t="s">
        <v>89</v>
      </c>
      <c r="LJM5" s="394" t="s">
        <v>89</v>
      </c>
      <c r="LJN5" s="394" t="s">
        <v>89</v>
      </c>
      <c r="LJO5" s="394" t="s">
        <v>89</v>
      </c>
      <c r="LJP5" s="394" t="s">
        <v>89</v>
      </c>
      <c r="LJQ5" s="394" t="s">
        <v>89</v>
      </c>
      <c r="LJR5" s="394" t="s">
        <v>89</v>
      </c>
      <c r="LJS5" s="394" t="s">
        <v>89</v>
      </c>
      <c r="LJT5" s="394" t="s">
        <v>89</v>
      </c>
      <c r="LJU5" s="394" t="s">
        <v>89</v>
      </c>
      <c r="LJV5" s="394" t="s">
        <v>89</v>
      </c>
      <c r="LJW5" s="394" t="s">
        <v>89</v>
      </c>
      <c r="LJX5" s="394" t="s">
        <v>89</v>
      </c>
      <c r="LJY5" s="394" t="s">
        <v>89</v>
      </c>
      <c r="LJZ5" s="394" t="s">
        <v>89</v>
      </c>
      <c r="LKA5" s="394" t="s">
        <v>89</v>
      </c>
      <c r="LKB5" s="394" t="s">
        <v>89</v>
      </c>
      <c r="LKC5" s="394" t="s">
        <v>89</v>
      </c>
      <c r="LKD5" s="394" t="s">
        <v>89</v>
      </c>
      <c r="LKE5" s="394" t="s">
        <v>89</v>
      </c>
      <c r="LKF5" s="394" t="s">
        <v>89</v>
      </c>
      <c r="LKG5" s="394" t="s">
        <v>89</v>
      </c>
      <c r="LKH5" s="394" t="s">
        <v>89</v>
      </c>
      <c r="LKI5" s="394" t="s">
        <v>89</v>
      </c>
      <c r="LKJ5" s="394" t="s">
        <v>89</v>
      </c>
      <c r="LKK5" s="394" t="s">
        <v>89</v>
      </c>
      <c r="LKL5" s="394" t="s">
        <v>89</v>
      </c>
      <c r="LKM5" s="394" t="s">
        <v>89</v>
      </c>
      <c r="LKN5" s="394" t="s">
        <v>89</v>
      </c>
      <c r="LKO5" s="394" t="s">
        <v>89</v>
      </c>
      <c r="LKP5" s="394" t="s">
        <v>89</v>
      </c>
      <c r="LKQ5" s="394" t="s">
        <v>89</v>
      </c>
      <c r="LKR5" s="394" t="s">
        <v>89</v>
      </c>
      <c r="LKS5" s="394" t="s">
        <v>89</v>
      </c>
      <c r="LKT5" s="394" t="s">
        <v>89</v>
      </c>
      <c r="LKU5" s="394" t="s">
        <v>89</v>
      </c>
      <c r="LKV5" s="394" t="s">
        <v>89</v>
      </c>
      <c r="LKW5" s="394" t="s">
        <v>89</v>
      </c>
      <c r="LKX5" s="394" t="s">
        <v>89</v>
      </c>
      <c r="LKY5" s="394" t="s">
        <v>89</v>
      </c>
      <c r="LKZ5" s="394" t="s">
        <v>89</v>
      </c>
      <c r="LLA5" s="394" t="s">
        <v>89</v>
      </c>
      <c r="LLB5" s="394" t="s">
        <v>89</v>
      </c>
      <c r="LLC5" s="394" t="s">
        <v>89</v>
      </c>
      <c r="LLD5" s="394" t="s">
        <v>89</v>
      </c>
      <c r="LLE5" s="394" t="s">
        <v>89</v>
      </c>
      <c r="LLF5" s="394" t="s">
        <v>89</v>
      </c>
      <c r="LLG5" s="394" t="s">
        <v>89</v>
      </c>
      <c r="LLH5" s="394" t="s">
        <v>89</v>
      </c>
      <c r="LLI5" s="394" t="s">
        <v>89</v>
      </c>
      <c r="LLJ5" s="394" t="s">
        <v>89</v>
      </c>
      <c r="LLK5" s="394" t="s">
        <v>89</v>
      </c>
      <c r="LLL5" s="394" t="s">
        <v>89</v>
      </c>
      <c r="LLM5" s="394" t="s">
        <v>89</v>
      </c>
      <c r="LLN5" s="394" t="s">
        <v>89</v>
      </c>
      <c r="LLO5" s="394" t="s">
        <v>89</v>
      </c>
      <c r="LLP5" s="394" t="s">
        <v>89</v>
      </c>
      <c r="LLQ5" s="394" t="s">
        <v>89</v>
      </c>
      <c r="LLR5" s="394" t="s">
        <v>89</v>
      </c>
      <c r="LLS5" s="394" t="s">
        <v>89</v>
      </c>
      <c r="LLT5" s="394" t="s">
        <v>89</v>
      </c>
      <c r="LLU5" s="394" t="s">
        <v>89</v>
      </c>
      <c r="LLV5" s="394" t="s">
        <v>89</v>
      </c>
      <c r="LLW5" s="394" t="s">
        <v>89</v>
      </c>
      <c r="LLX5" s="394" t="s">
        <v>89</v>
      </c>
      <c r="LLY5" s="394" t="s">
        <v>89</v>
      </c>
      <c r="LLZ5" s="394" t="s">
        <v>89</v>
      </c>
      <c r="LMA5" s="394" t="s">
        <v>89</v>
      </c>
      <c r="LMB5" s="394" t="s">
        <v>89</v>
      </c>
      <c r="LMC5" s="394" t="s">
        <v>89</v>
      </c>
      <c r="LMD5" s="394" t="s">
        <v>89</v>
      </c>
      <c r="LME5" s="394" t="s">
        <v>89</v>
      </c>
      <c r="LMF5" s="394" t="s">
        <v>89</v>
      </c>
      <c r="LMG5" s="394" t="s">
        <v>89</v>
      </c>
      <c r="LMH5" s="394" t="s">
        <v>89</v>
      </c>
      <c r="LMI5" s="394" t="s">
        <v>89</v>
      </c>
      <c r="LMJ5" s="394" t="s">
        <v>89</v>
      </c>
      <c r="LMK5" s="394" t="s">
        <v>89</v>
      </c>
      <c r="LML5" s="394" t="s">
        <v>89</v>
      </c>
      <c r="LMM5" s="394" t="s">
        <v>89</v>
      </c>
      <c r="LMN5" s="394" t="s">
        <v>89</v>
      </c>
      <c r="LMO5" s="394" t="s">
        <v>89</v>
      </c>
      <c r="LMP5" s="394" t="s">
        <v>89</v>
      </c>
      <c r="LMQ5" s="394" t="s">
        <v>89</v>
      </c>
      <c r="LMR5" s="394" t="s">
        <v>89</v>
      </c>
      <c r="LMS5" s="394" t="s">
        <v>89</v>
      </c>
      <c r="LMT5" s="394" t="s">
        <v>89</v>
      </c>
      <c r="LMU5" s="394" t="s">
        <v>89</v>
      </c>
      <c r="LMV5" s="394" t="s">
        <v>89</v>
      </c>
      <c r="LMW5" s="394" t="s">
        <v>89</v>
      </c>
      <c r="LMX5" s="394" t="s">
        <v>89</v>
      </c>
      <c r="LMY5" s="394" t="s">
        <v>89</v>
      </c>
      <c r="LMZ5" s="394" t="s">
        <v>89</v>
      </c>
      <c r="LNA5" s="394" t="s">
        <v>89</v>
      </c>
      <c r="LNB5" s="394" t="s">
        <v>89</v>
      </c>
      <c r="LNC5" s="394" t="s">
        <v>89</v>
      </c>
      <c r="LND5" s="394" t="s">
        <v>89</v>
      </c>
      <c r="LNE5" s="394" t="s">
        <v>89</v>
      </c>
      <c r="LNF5" s="394" t="s">
        <v>89</v>
      </c>
      <c r="LNG5" s="394" t="s">
        <v>89</v>
      </c>
      <c r="LNH5" s="394" t="s">
        <v>89</v>
      </c>
      <c r="LNI5" s="394" t="s">
        <v>89</v>
      </c>
      <c r="LNJ5" s="394" t="s">
        <v>89</v>
      </c>
      <c r="LNK5" s="394" t="s">
        <v>89</v>
      </c>
      <c r="LNL5" s="394" t="s">
        <v>89</v>
      </c>
      <c r="LNM5" s="394" t="s">
        <v>89</v>
      </c>
      <c r="LNN5" s="394" t="s">
        <v>89</v>
      </c>
      <c r="LNO5" s="394" t="s">
        <v>89</v>
      </c>
      <c r="LNP5" s="394" t="s">
        <v>89</v>
      </c>
      <c r="LNQ5" s="394" t="s">
        <v>89</v>
      </c>
      <c r="LNR5" s="394" t="s">
        <v>89</v>
      </c>
      <c r="LNS5" s="394" t="s">
        <v>89</v>
      </c>
      <c r="LNT5" s="394" t="s">
        <v>89</v>
      </c>
      <c r="LNU5" s="394" t="s">
        <v>89</v>
      </c>
      <c r="LNV5" s="394" t="s">
        <v>89</v>
      </c>
      <c r="LNW5" s="394" t="s">
        <v>89</v>
      </c>
      <c r="LNX5" s="394" t="s">
        <v>89</v>
      </c>
      <c r="LNY5" s="394" t="s">
        <v>89</v>
      </c>
      <c r="LNZ5" s="394" t="s">
        <v>89</v>
      </c>
      <c r="LOA5" s="394" t="s">
        <v>89</v>
      </c>
      <c r="LOB5" s="394" t="s">
        <v>89</v>
      </c>
      <c r="LOC5" s="394" t="s">
        <v>89</v>
      </c>
      <c r="LOD5" s="394" t="s">
        <v>89</v>
      </c>
      <c r="LOE5" s="394" t="s">
        <v>89</v>
      </c>
      <c r="LOF5" s="394" t="s">
        <v>89</v>
      </c>
      <c r="LOG5" s="394" t="s">
        <v>89</v>
      </c>
      <c r="LOH5" s="394" t="s">
        <v>89</v>
      </c>
      <c r="LOI5" s="394" t="s">
        <v>89</v>
      </c>
      <c r="LOJ5" s="394" t="s">
        <v>89</v>
      </c>
      <c r="LOK5" s="394" t="s">
        <v>89</v>
      </c>
      <c r="LOL5" s="394" t="s">
        <v>89</v>
      </c>
      <c r="LOM5" s="394" t="s">
        <v>89</v>
      </c>
      <c r="LON5" s="394" t="s">
        <v>89</v>
      </c>
      <c r="LOO5" s="394" t="s">
        <v>89</v>
      </c>
      <c r="LOP5" s="394" t="s">
        <v>89</v>
      </c>
      <c r="LOQ5" s="394" t="s">
        <v>89</v>
      </c>
      <c r="LOR5" s="394" t="s">
        <v>89</v>
      </c>
      <c r="LOS5" s="394" t="s">
        <v>89</v>
      </c>
      <c r="LOT5" s="394" t="s">
        <v>89</v>
      </c>
      <c r="LOU5" s="394" t="s">
        <v>89</v>
      </c>
      <c r="LOV5" s="394" t="s">
        <v>89</v>
      </c>
      <c r="LOW5" s="394" t="s">
        <v>89</v>
      </c>
      <c r="LOX5" s="394" t="s">
        <v>89</v>
      </c>
      <c r="LOY5" s="394" t="s">
        <v>89</v>
      </c>
      <c r="LOZ5" s="394" t="s">
        <v>89</v>
      </c>
      <c r="LPA5" s="394" t="s">
        <v>89</v>
      </c>
      <c r="LPB5" s="394" t="s">
        <v>89</v>
      </c>
      <c r="LPC5" s="394" t="s">
        <v>89</v>
      </c>
      <c r="LPD5" s="394" t="s">
        <v>89</v>
      </c>
      <c r="LPE5" s="394" t="s">
        <v>89</v>
      </c>
      <c r="LPF5" s="394" t="s">
        <v>89</v>
      </c>
      <c r="LPG5" s="394" t="s">
        <v>89</v>
      </c>
      <c r="LPH5" s="394" t="s">
        <v>89</v>
      </c>
      <c r="LPI5" s="394" t="s">
        <v>89</v>
      </c>
      <c r="LPJ5" s="394" t="s">
        <v>89</v>
      </c>
      <c r="LPK5" s="394" t="s">
        <v>89</v>
      </c>
      <c r="LPL5" s="394" t="s">
        <v>89</v>
      </c>
      <c r="LPM5" s="394" t="s">
        <v>89</v>
      </c>
      <c r="LPN5" s="394" t="s">
        <v>89</v>
      </c>
      <c r="LPO5" s="394" t="s">
        <v>89</v>
      </c>
      <c r="LPP5" s="394" t="s">
        <v>89</v>
      </c>
      <c r="LPQ5" s="394" t="s">
        <v>89</v>
      </c>
      <c r="LPR5" s="394" t="s">
        <v>89</v>
      </c>
      <c r="LPS5" s="394" t="s">
        <v>89</v>
      </c>
      <c r="LPT5" s="394" t="s">
        <v>89</v>
      </c>
      <c r="LPU5" s="394" t="s">
        <v>89</v>
      </c>
      <c r="LPV5" s="394" t="s">
        <v>89</v>
      </c>
      <c r="LPW5" s="394" t="s">
        <v>89</v>
      </c>
      <c r="LPX5" s="394" t="s">
        <v>89</v>
      </c>
      <c r="LPY5" s="394" t="s">
        <v>89</v>
      </c>
      <c r="LPZ5" s="394" t="s">
        <v>89</v>
      </c>
      <c r="LQA5" s="394" t="s">
        <v>89</v>
      </c>
      <c r="LQB5" s="394" t="s">
        <v>89</v>
      </c>
      <c r="LQC5" s="394" t="s">
        <v>89</v>
      </c>
      <c r="LQD5" s="394" t="s">
        <v>89</v>
      </c>
      <c r="LQE5" s="394" t="s">
        <v>89</v>
      </c>
      <c r="LQF5" s="394" t="s">
        <v>89</v>
      </c>
      <c r="LQG5" s="394" t="s">
        <v>89</v>
      </c>
      <c r="LQH5" s="394" t="s">
        <v>89</v>
      </c>
      <c r="LQI5" s="394" t="s">
        <v>89</v>
      </c>
      <c r="LQJ5" s="394" t="s">
        <v>89</v>
      </c>
      <c r="LQK5" s="394" t="s">
        <v>89</v>
      </c>
      <c r="LQL5" s="394" t="s">
        <v>89</v>
      </c>
      <c r="LQM5" s="394" t="s">
        <v>89</v>
      </c>
      <c r="LQN5" s="394" t="s">
        <v>89</v>
      </c>
      <c r="LQO5" s="394" t="s">
        <v>89</v>
      </c>
      <c r="LQP5" s="394" t="s">
        <v>89</v>
      </c>
      <c r="LQQ5" s="394" t="s">
        <v>89</v>
      </c>
      <c r="LQR5" s="394" t="s">
        <v>89</v>
      </c>
      <c r="LQS5" s="394" t="s">
        <v>89</v>
      </c>
      <c r="LQT5" s="394" t="s">
        <v>89</v>
      </c>
      <c r="LQU5" s="394" t="s">
        <v>89</v>
      </c>
      <c r="LQV5" s="394" t="s">
        <v>89</v>
      </c>
      <c r="LQW5" s="394" t="s">
        <v>89</v>
      </c>
      <c r="LQX5" s="394" t="s">
        <v>89</v>
      </c>
      <c r="LQY5" s="394" t="s">
        <v>89</v>
      </c>
      <c r="LQZ5" s="394" t="s">
        <v>89</v>
      </c>
      <c r="LRA5" s="394" t="s">
        <v>89</v>
      </c>
      <c r="LRB5" s="394" t="s">
        <v>89</v>
      </c>
      <c r="LRC5" s="394" t="s">
        <v>89</v>
      </c>
      <c r="LRD5" s="394" t="s">
        <v>89</v>
      </c>
      <c r="LRE5" s="394" t="s">
        <v>89</v>
      </c>
      <c r="LRF5" s="394" t="s">
        <v>89</v>
      </c>
      <c r="LRG5" s="394" t="s">
        <v>89</v>
      </c>
      <c r="LRH5" s="394" t="s">
        <v>89</v>
      </c>
      <c r="LRI5" s="394" t="s">
        <v>89</v>
      </c>
      <c r="LRJ5" s="394" t="s">
        <v>89</v>
      </c>
      <c r="LRK5" s="394" t="s">
        <v>89</v>
      </c>
      <c r="LRL5" s="394" t="s">
        <v>89</v>
      </c>
      <c r="LRM5" s="394" t="s">
        <v>89</v>
      </c>
      <c r="LRN5" s="394" t="s">
        <v>89</v>
      </c>
      <c r="LRO5" s="394" t="s">
        <v>89</v>
      </c>
      <c r="LRP5" s="394" t="s">
        <v>89</v>
      </c>
      <c r="LRQ5" s="394" t="s">
        <v>89</v>
      </c>
      <c r="LRR5" s="394" t="s">
        <v>89</v>
      </c>
      <c r="LRS5" s="394" t="s">
        <v>89</v>
      </c>
      <c r="LRT5" s="394" t="s">
        <v>89</v>
      </c>
      <c r="LRU5" s="394" t="s">
        <v>89</v>
      </c>
      <c r="LRV5" s="394" t="s">
        <v>89</v>
      </c>
      <c r="LRW5" s="394" t="s">
        <v>89</v>
      </c>
      <c r="LRX5" s="394" t="s">
        <v>89</v>
      </c>
      <c r="LRY5" s="394" t="s">
        <v>89</v>
      </c>
      <c r="LRZ5" s="394" t="s">
        <v>89</v>
      </c>
      <c r="LSA5" s="394" t="s">
        <v>89</v>
      </c>
      <c r="LSB5" s="394" t="s">
        <v>89</v>
      </c>
      <c r="LSC5" s="394" t="s">
        <v>89</v>
      </c>
      <c r="LSD5" s="394" t="s">
        <v>89</v>
      </c>
      <c r="LSE5" s="394" t="s">
        <v>89</v>
      </c>
      <c r="LSF5" s="394" t="s">
        <v>89</v>
      </c>
      <c r="LSG5" s="394" t="s">
        <v>89</v>
      </c>
      <c r="LSH5" s="394" t="s">
        <v>89</v>
      </c>
      <c r="LSI5" s="394" t="s">
        <v>89</v>
      </c>
      <c r="LSJ5" s="394" t="s">
        <v>89</v>
      </c>
      <c r="LSK5" s="394" t="s">
        <v>89</v>
      </c>
      <c r="LSL5" s="394" t="s">
        <v>89</v>
      </c>
      <c r="LSM5" s="394" t="s">
        <v>89</v>
      </c>
      <c r="LSN5" s="394" t="s">
        <v>89</v>
      </c>
      <c r="LSO5" s="394" t="s">
        <v>89</v>
      </c>
      <c r="LSP5" s="394" t="s">
        <v>89</v>
      </c>
      <c r="LSQ5" s="394" t="s">
        <v>89</v>
      </c>
      <c r="LSR5" s="394" t="s">
        <v>89</v>
      </c>
      <c r="LSS5" s="394" t="s">
        <v>89</v>
      </c>
      <c r="LST5" s="394" t="s">
        <v>89</v>
      </c>
      <c r="LSU5" s="394" t="s">
        <v>89</v>
      </c>
      <c r="LSV5" s="394" t="s">
        <v>89</v>
      </c>
      <c r="LSW5" s="394" t="s">
        <v>89</v>
      </c>
      <c r="LSX5" s="394" t="s">
        <v>89</v>
      </c>
      <c r="LSY5" s="394" t="s">
        <v>89</v>
      </c>
      <c r="LSZ5" s="394" t="s">
        <v>89</v>
      </c>
      <c r="LTA5" s="394" t="s">
        <v>89</v>
      </c>
      <c r="LTB5" s="394" t="s">
        <v>89</v>
      </c>
      <c r="LTC5" s="394" t="s">
        <v>89</v>
      </c>
      <c r="LTD5" s="394" t="s">
        <v>89</v>
      </c>
      <c r="LTE5" s="394" t="s">
        <v>89</v>
      </c>
      <c r="LTF5" s="394" t="s">
        <v>89</v>
      </c>
      <c r="LTG5" s="394" t="s">
        <v>89</v>
      </c>
      <c r="LTH5" s="394" t="s">
        <v>89</v>
      </c>
      <c r="LTI5" s="394" t="s">
        <v>89</v>
      </c>
      <c r="LTJ5" s="394" t="s">
        <v>89</v>
      </c>
      <c r="LTK5" s="394" t="s">
        <v>89</v>
      </c>
      <c r="LTL5" s="394" t="s">
        <v>89</v>
      </c>
      <c r="LTM5" s="394" t="s">
        <v>89</v>
      </c>
      <c r="LTN5" s="394" t="s">
        <v>89</v>
      </c>
      <c r="LTO5" s="394" t="s">
        <v>89</v>
      </c>
      <c r="LTP5" s="394" t="s">
        <v>89</v>
      </c>
      <c r="LTQ5" s="394" t="s">
        <v>89</v>
      </c>
      <c r="LTR5" s="394" t="s">
        <v>89</v>
      </c>
      <c r="LTS5" s="394" t="s">
        <v>89</v>
      </c>
      <c r="LTT5" s="394" t="s">
        <v>89</v>
      </c>
      <c r="LTU5" s="394" t="s">
        <v>89</v>
      </c>
      <c r="LTV5" s="394" t="s">
        <v>89</v>
      </c>
      <c r="LTW5" s="394" t="s">
        <v>89</v>
      </c>
      <c r="LTX5" s="394" t="s">
        <v>89</v>
      </c>
      <c r="LTY5" s="394" t="s">
        <v>89</v>
      </c>
      <c r="LTZ5" s="394" t="s">
        <v>89</v>
      </c>
      <c r="LUA5" s="394" t="s">
        <v>89</v>
      </c>
      <c r="LUB5" s="394" t="s">
        <v>89</v>
      </c>
      <c r="LUC5" s="394" t="s">
        <v>89</v>
      </c>
      <c r="LUD5" s="394" t="s">
        <v>89</v>
      </c>
      <c r="LUE5" s="394" t="s">
        <v>89</v>
      </c>
      <c r="LUF5" s="394" t="s">
        <v>89</v>
      </c>
      <c r="LUG5" s="394" t="s">
        <v>89</v>
      </c>
      <c r="LUH5" s="394" t="s">
        <v>89</v>
      </c>
      <c r="LUI5" s="394" t="s">
        <v>89</v>
      </c>
      <c r="LUJ5" s="394" t="s">
        <v>89</v>
      </c>
      <c r="LUK5" s="394" t="s">
        <v>89</v>
      </c>
      <c r="LUL5" s="394" t="s">
        <v>89</v>
      </c>
      <c r="LUM5" s="394" t="s">
        <v>89</v>
      </c>
      <c r="LUN5" s="394" t="s">
        <v>89</v>
      </c>
      <c r="LUO5" s="394" t="s">
        <v>89</v>
      </c>
      <c r="LUP5" s="394" t="s">
        <v>89</v>
      </c>
      <c r="LUQ5" s="394" t="s">
        <v>89</v>
      </c>
      <c r="LUR5" s="394" t="s">
        <v>89</v>
      </c>
      <c r="LUS5" s="394" t="s">
        <v>89</v>
      </c>
      <c r="LUT5" s="394" t="s">
        <v>89</v>
      </c>
      <c r="LUU5" s="394" t="s">
        <v>89</v>
      </c>
      <c r="LUV5" s="394" t="s">
        <v>89</v>
      </c>
      <c r="LUW5" s="394" t="s">
        <v>89</v>
      </c>
      <c r="LUX5" s="394" t="s">
        <v>89</v>
      </c>
      <c r="LUY5" s="394" t="s">
        <v>89</v>
      </c>
      <c r="LUZ5" s="394" t="s">
        <v>89</v>
      </c>
      <c r="LVA5" s="394" t="s">
        <v>89</v>
      </c>
      <c r="LVB5" s="394" t="s">
        <v>89</v>
      </c>
      <c r="LVC5" s="394" t="s">
        <v>89</v>
      </c>
      <c r="LVD5" s="394" t="s">
        <v>89</v>
      </c>
      <c r="LVE5" s="394" t="s">
        <v>89</v>
      </c>
      <c r="LVF5" s="394" t="s">
        <v>89</v>
      </c>
      <c r="LVG5" s="394" t="s">
        <v>89</v>
      </c>
      <c r="LVH5" s="394" t="s">
        <v>89</v>
      </c>
      <c r="LVI5" s="394" t="s">
        <v>89</v>
      </c>
      <c r="LVJ5" s="394" t="s">
        <v>89</v>
      </c>
      <c r="LVK5" s="394" t="s">
        <v>89</v>
      </c>
      <c r="LVL5" s="394" t="s">
        <v>89</v>
      </c>
      <c r="LVM5" s="394" t="s">
        <v>89</v>
      </c>
      <c r="LVN5" s="394" t="s">
        <v>89</v>
      </c>
      <c r="LVO5" s="394" t="s">
        <v>89</v>
      </c>
      <c r="LVP5" s="394" t="s">
        <v>89</v>
      </c>
      <c r="LVQ5" s="394" t="s">
        <v>89</v>
      </c>
      <c r="LVR5" s="394" t="s">
        <v>89</v>
      </c>
      <c r="LVS5" s="394" t="s">
        <v>89</v>
      </c>
      <c r="LVT5" s="394" t="s">
        <v>89</v>
      </c>
      <c r="LVU5" s="394" t="s">
        <v>89</v>
      </c>
      <c r="LVV5" s="394" t="s">
        <v>89</v>
      </c>
      <c r="LVW5" s="394" t="s">
        <v>89</v>
      </c>
      <c r="LVX5" s="394" t="s">
        <v>89</v>
      </c>
      <c r="LVY5" s="394" t="s">
        <v>89</v>
      </c>
      <c r="LVZ5" s="394" t="s">
        <v>89</v>
      </c>
      <c r="LWA5" s="394" t="s">
        <v>89</v>
      </c>
      <c r="LWB5" s="394" t="s">
        <v>89</v>
      </c>
      <c r="LWC5" s="394" t="s">
        <v>89</v>
      </c>
      <c r="LWD5" s="394" t="s">
        <v>89</v>
      </c>
      <c r="LWE5" s="394" t="s">
        <v>89</v>
      </c>
      <c r="LWF5" s="394" t="s">
        <v>89</v>
      </c>
      <c r="LWG5" s="394" t="s">
        <v>89</v>
      </c>
      <c r="LWH5" s="394" t="s">
        <v>89</v>
      </c>
      <c r="LWI5" s="394" t="s">
        <v>89</v>
      </c>
      <c r="LWJ5" s="394" t="s">
        <v>89</v>
      </c>
      <c r="LWK5" s="394" t="s">
        <v>89</v>
      </c>
      <c r="LWL5" s="394" t="s">
        <v>89</v>
      </c>
      <c r="LWM5" s="394" t="s">
        <v>89</v>
      </c>
      <c r="LWN5" s="394" t="s">
        <v>89</v>
      </c>
      <c r="LWO5" s="394" t="s">
        <v>89</v>
      </c>
      <c r="LWP5" s="394" t="s">
        <v>89</v>
      </c>
      <c r="LWQ5" s="394" t="s">
        <v>89</v>
      </c>
      <c r="LWR5" s="394" t="s">
        <v>89</v>
      </c>
      <c r="LWS5" s="394" t="s">
        <v>89</v>
      </c>
      <c r="LWT5" s="394" t="s">
        <v>89</v>
      </c>
      <c r="LWU5" s="394" t="s">
        <v>89</v>
      </c>
      <c r="LWV5" s="394" t="s">
        <v>89</v>
      </c>
      <c r="LWW5" s="394" t="s">
        <v>89</v>
      </c>
      <c r="LWX5" s="394" t="s">
        <v>89</v>
      </c>
      <c r="LWY5" s="394" t="s">
        <v>89</v>
      </c>
      <c r="LWZ5" s="394" t="s">
        <v>89</v>
      </c>
      <c r="LXA5" s="394" t="s">
        <v>89</v>
      </c>
      <c r="LXB5" s="394" t="s">
        <v>89</v>
      </c>
      <c r="LXC5" s="394" t="s">
        <v>89</v>
      </c>
      <c r="LXD5" s="394" t="s">
        <v>89</v>
      </c>
      <c r="LXE5" s="394" t="s">
        <v>89</v>
      </c>
      <c r="LXF5" s="394" t="s">
        <v>89</v>
      </c>
      <c r="LXG5" s="394" t="s">
        <v>89</v>
      </c>
      <c r="LXH5" s="394" t="s">
        <v>89</v>
      </c>
      <c r="LXI5" s="394" t="s">
        <v>89</v>
      </c>
      <c r="LXJ5" s="394" t="s">
        <v>89</v>
      </c>
      <c r="LXK5" s="394" t="s">
        <v>89</v>
      </c>
      <c r="LXL5" s="394" t="s">
        <v>89</v>
      </c>
      <c r="LXM5" s="394" t="s">
        <v>89</v>
      </c>
      <c r="LXN5" s="394" t="s">
        <v>89</v>
      </c>
      <c r="LXO5" s="394" t="s">
        <v>89</v>
      </c>
      <c r="LXP5" s="394" t="s">
        <v>89</v>
      </c>
      <c r="LXQ5" s="394" t="s">
        <v>89</v>
      </c>
      <c r="LXR5" s="394" t="s">
        <v>89</v>
      </c>
      <c r="LXS5" s="394" t="s">
        <v>89</v>
      </c>
      <c r="LXT5" s="394" t="s">
        <v>89</v>
      </c>
      <c r="LXU5" s="394" t="s">
        <v>89</v>
      </c>
      <c r="LXV5" s="394" t="s">
        <v>89</v>
      </c>
      <c r="LXW5" s="394" t="s">
        <v>89</v>
      </c>
      <c r="LXX5" s="394" t="s">
        <v>89</v>
      </c>
      <c r="LXY5" s="394" t="s">
        <v>89</v>
      </c>
      <c r="LXZ5" s="394" t="s">
        <v>89</v>
      </c>
      <c r="LYA5" s="394" t="s">
        <v>89</v>
      </c>
      <c r="LYB5" s="394" t="s">
        <v>89</v>
      </c>
      <c r="LYC5" s="394" t="s">
        <v>89</v>
      </c>
      <c r="LYD5" s="394" t="s">
        <v>89</v>
      </c>
      <c r="LYE5" s="394" t="s">
        <v>89</v>
      </c>
      <c r="LYF5" s="394" t="s">
        <v>89</v>
      </c>
      <c r="LYG5" s="394" t="s">
        <v>89</v>
      </c>
      <c r="LYH5" s="394" t="s">
        <v>89</v>
      </c>
      <c r="LYI5" s="394" t="s">
        <v>89</v>
      </c>
      <c r="LYJ5" s="394" t="s">
        <v>89</v>
      </c>
      <c r="LYK5" s="394" t="s">
        <v>89</v>
      </c>
      <c r="LYL5" s="394" t="s">
        <v>89</v>
      </c>
      <c r="LYM5" s="394" t="s">
        <v>89</v>
      </c>
      <c r="LYN5" s="394" t="s">
        <v>89</v>
      </c>
      <c r="LYO5" s="394" t="s">
        <v>89</v>
      </c>
      <c r="LYP5" s="394" t="s">
        <v>89</v>
      </c>
      <c r="LYQ5" s="394" t="s">
        <v>89</v>
      </c>
      <c r="LYR5" s="394" t="s">
        <v>89</v>
      </c>
      <c r="LYS5" s="394" t="s">
        <v>89</v>
      </c>
      <c r="LYT5" s="394" t="s">
        <v>89</v>
      </c>
      <c r="LYU5" s="394" t="s">
        <v>89</v>
      </c>
      <c r="LYV5" s="394" t="s">
        <v>89</v>
      </c>
      <c r="LYW5" s="394" t="s">
        <v>89</v>
      </c>
      <c r="LYX5" s="394" t="s">
        <v>89</v>
      </c>
      <c r="LYY5" s="394" t="s">
        <v>89</v>
      </c>
      <c r="LYZ5" s="394" t="s">
        <v>89</v>
      </c>
      <c r="LZA5" s="394" t="s">
        <v>89</v>
      </c>
      <c r="LZB5" s="394" t="s">
        <v>89</v>
      </c>
      <c r="LZC5" s="394" t="s">
        <v>89</v>
      </c>
      <c r="LZD5" s="394" t="s">
        <v>89</v>
      </c>
      <c r="LZE5" s="394" t="s">
        <v>89</v>
      </c>
      <c r="LZF5" s="394" t="s">
        <v>89</v>
      </c>
      <c r="LZG5" s="394" t="s">
        <v>89</v>
      </c>
      <c r="LZH5" s="394" t="s">
        <v>89</v>
      </c>
      <c r="LZI5" s="394" t="s">
        <v>89</v>
      </c>
      <c r="LZJ5" s="394" t="s">
        <v>89</v>
      </c>
      <c r="LZK5" s="394" t="s">
        <v>89</v>
      </c>
      <c r="LZL5" s="394" t="s">
        <v>89</v>
      </c>
      <c r="LZM5" s="394" t="s">
        <v>89</v>
      </c>
      <c r="LZN5" s="394" t="s">
        <v>89</v>
      </c>
      <c r="LZO5" s="394" t="s">
        <v>89</v>
      </c>
      <c r="LZP5" s="394" t="s">
        <v>89</v>
      </c>
      <c r="LZQ5" s="394" t="s">
        <v>89</v>
      </c>
      <c r="LZR5" s="394" t="s">
        <v>89</v>
      </c>
      <c r="LZS5" s="394" t="s">
        <v>89</v>
      </c>
      <c r="LZT5" s="394" t="s">
        <v>89</v>
      </c>
      <c r="LZU5" s="394" t="s">
        <v>89</v>
      </c>
      <c r="LZV5" s="394" t="s">
        <v>89</v>
      </c>
      <c r="LZW5" s="394" t="s">
        <v>89</v>
      </c>
      <c r="LZX5" s="394" t="s">
        <v>89</v>
      </c>
      <c r="LZY5" s="394" t="s">
        <v>89</v>
      </c>
      <c r="LZZ5" s="394" t="s">
        <v>89</v>
      </c>
      <c r="MAA5" s="394" t="s">
        <v>89</v>
      </c>
      <c r="MAB5" s="394" t="s">
        <v>89</v>
      </c>
      <c r="MAC5" s="394" t="s">
        <v>89</v>
      </c>
      <c r="MAD5" s="394" t="s">
        <v>89</v>
      </c>
      <c r="MAE5" s="394" t="s">
        <v>89</v>
      </c>
      <c r="MAF5" s="394" t="s">
        <v>89</v>
      </c>
      <c r="MAG5" s="394" t="s">
        <v>89</v>
      </c>
      <c r="MAH5" s="394" t="s">
        <v>89</v>
      </c>
      <c r="MAI5" s="394" t="s">
        <v>89</v>
      </c>
      <c r="MAJ5" s="394" t="s">
        <v>89</v>
      </c>
      <c r="MAK5" s="394" t="s">
        <v>89</v>
      </c>
      <c r="MAL5" s="394" t="s">
        <v>89</v>
      </c>
      <c r="MAM5" s="394" t="s">
        <v>89</v>
      </c>
      <c r="MAN5" s="394" t="s">
        <v>89</v>
      </c>
      <c r="MAO5" s="394" t="s">
        <v>89</v>
      </c>
      <c r="MAP5" s="394" t="s">
        <v>89</v>
      </c>
      <c r="MAQ5" s="394" t="s">
        <v>89</v>
      </c>
      <c r="MAR5" s="394" t="s">
        <v>89</v>
      </c>
      <c r="MAS5" s="394" t="s">
        <v>89</v>
      </c>
      <c r="MAT5" s="394" t="s">
        <v>89</v>
      </c>
      <c r="MAU5" s="394" t="s">
        <v>89</v>
      </c>
      <c r="MAV5" s="394" t="s">
        <v>89</v>
      </c>
      <c r="MAW5" s="394" t="s">
        <v>89</v>
      </c>
      <c r="MAX5" s="394" t="s">
        <v>89</v>
      </c>
      <c r="MAY5" s="394" t="s">
        <v>89</v>
      </c>
      <c r="MAZ5" s="394" t="s">
        <v>89</v>
      </c>
      <c r="MBA5" s="394" t="s">
        <v>89</v>
      </c>
      <c r="MBB5" s="394" t="s">
        <v>89</v>
      </c>
      <c r="MBC5" s="394" t="s">
        <v>89</v>
      </c>
      <c r="MBD5" s="394" t="s">
        <v>89</v>
      </c>
      <c r="MBE5" s="394" t="s">
        <v>89</v>
      </c>
      <c r="MBF5" s="394" t="s">
        <v>89</v>
      </c>
      <c r="MBG5" s="394" t="s">
        <v>89</v>
      </c>
      <c r="MBH5" s="394" t="s">
        <v>89</v>
      </c>
      <c r="MBI5" s="394" t="s">
        <v>89</v>
      </c>
      <c r="MBJ5" s="394" t="s">
        <v>89</v>
      </c>
      <c r="MBK5" s="394" t="s">
        <v>89</v>
      </c>
      <c r="MBL5" s="394" t="s">
        <v>89</v>
      </c>
      <c r="MBM5" s="394" t="s">
        <v>89</v>
      </c>
      <c r="MBN5" s="394" t="s">
        <v>89</v>
      </c>
      <c r="MBO5" s="394" t="s">
        <v>89</v>
      </c>
      <c r="MBP5" s="394" t="s">
        <v>89</v>
      </c>
      <c r="MBQ5" s="394" t="s">
        <v>89</v>
      </c>
      <c r="MBR5" s="394" t="s">
        <v>89</v>
      </c>
      <c r="MBS5" s="394" t="s">
        <v>89</v>
      </c>
      <c r="MBT5" s="394" t="s">
        <v>89</v>
      </c>
      <c r="MBU5" s="394" t="s">
        <v>89</v>
      </c>
      <c r="MBV5" s="394" t="s">
        <v>89</v>
      </c>
      <c r="MBW5" s="394" t="s">
        <v>89</v>
      </c>
      <c r="MBX5" s="394" t="s">
        <v>89</v>
      </c>
      <c r="MBY5" s="394" t="s">
        <v>89</v>
      </c>
      <c r="MBZ5" s="394" t="s">
        <v>89</v>
      </c>
      <c r="MCA5" s="394" t="s">
        <v>89</v>
      </c>
      <c r="MCB5" s="394" t="s">
        <v>89</v>
      </c>
      <c r="MCC5" s="394" t="s">
        <v>89</v>
      </c>
      <c r="MCD5" s="394" t="s">
        <v>89</v>
      </c>
      <c r="MCE5" s="394" t="s">
        <v>89</v>
      </c>
      <c r="MCF5" s="394" t="s">
        <v>89</v>
      </c>
      <c r="MCG5" s="394" t="s">
        <v>89</v>
      </c>
      <c r="MCH5" s="394" t="s">
        <v>89</v>
      </c>
      <c r="MCI5" s="394" t="s">
        <v>89</v>
      </c>
      <c r="MCJ5" s="394" t="s">
        <v>89</v>
      </c>
      <c r="MCK5" s="394" t="s">
        <v>89</v>
      </c>
      <c r="MCL5" s="394" t="s">
        <v>89</v>
      </c>
      <c r="MCM5" s="394" t="s">
        <v>89</v>
      </c>
      <c r="MCN5" s="394" t="s">
        <v>89</v>
      </c>
      <c r="MCO5" s="394" t="s">
        <v>89</v>
      </c>
      <c r="MCP5" s="394" t="s">
        <v>89</v>
      </c>
      <c r="MCQ5" s="394" t="s">
        <v>89</v>
      </c>
      <c r="MCR5" s="394" t="s">
        <v>89</v>
      </c>
      <c r="MCS5" s="394" t="s">
        <v>89</v>
      </c>
      <c r="MCT5" s="394" t="s">
        <v>89</v>
      </c>
      <c r="MCU5" s="394" t="s">
        <v>89</v>
      </c>
      <c r="MCV5" s="394" t="s">
        <v>89</v>
      </c>
      <c r="MCW5" s="394" t="s">
        <v>89</v>
      </c>
      <c r="MCX5" s="394" t="s">
        <v>89</v>
      </c>
      <c r="MCY5" s="394" t="s">
        <v>89</v>
      </c>
      <c r="MCZ5" s="394" t="s">
        <v>89</v>
      </c>
      <c r="MDA5" s="394" t="s">
        <v>89</v>
      </c>
      <c r="MDB5" s="394" t="s">
        <v>89</v>
      </c>
      <c r="MDC5" s="394" t="s">
        <v>89</v>
      </c>
      <c r="MDD5" s="394" t="s">
        <v>89</v>
      </c>
      <c r="MDE5" s="394" t="s">
        <v>89</v>
      </c>
      <c r="MDF5" s="394" t="s">
        <v>89</v>
      </c>
      <c r="MDG5" s="394" t="s">
        <v>89</v>
      </c>
      <c r="MDH5" s="394" t="s">
        <v>89</v>
      </c>
      <c r="MDI5" s="394" t="s">
        <v>89</v>
      </c>
      <c r="MDJ5" s="394" t="s">
        <v>89</v>
      </c>
      <c r="MDK5" s="394" t="s">
        <v>89</v>
      </c>
      <c r="MDL5" s="394" t="s">
        <v>89</v>
      </c>
      <c r="MDM5" s="394" t="s">
        <v>89</v>
      </c>
      <c r="MDN5" s="394" t="s">
        <v>89</v>
      </c>
      <c r="MDO5" s="394" t="s">
        <v>89</v>
      </c>
      <c r="MDP5" s="394" t="s">
        <v>89</v>
      </c>
      <c r="MDQ5" s="394" t="s">
        <v>89</v>
      </c>
      <c r="MDR5" s="394" t="s">
        <v>89</v>
      </c>
      <c r="MDS5" s="394" t="s">
        <v>89</v>
      </c>
      <c r="MDT5" s="394" t="s">
        <v>89</v>
      </c>
      <c r="MDU5" s="394" t="s">
        <v>89</v>
      </c>
      <c r="MDV5" s="394" t="s">
        <v>89</v>
      </c>
      <c r="MDW5" s="394" t="s">
        <v>89</v>
      </c>
      <c r="MDX5" s="394" t="s">
        <v>89</v>
      </c>
      <c r="MDY5" s="394" t="s">
        <v>89</v>
      </c>
      <c r="MDZ5" s="394" t="s">
        <v>89</v>
      </c>
      <c r="MEA5" s="394" t="s">
        <v>89</v>
      </c>
      <c r="MEB5" s="394" t="s">
        <v>89</v>
      </c>
      <c r="MEC5" s="394" t="s">
        <v>89</v>
      </c>
      <c r="MED5" s="394" t="s">
        <v>89</v>
      </c>
      <c r="MEE5" s="394" t="s">
        <v>89</v>
      </c>
      <c r="MEF5" s="394" t="s">
        <v>89</v>
      </c>
      <c r="MEG5" s="394" t="s">
        <v>89</v>
      </c>
      <c r="MEH5" s="394" t="s">
        <v>89</v>
      </c>
      <c r="MEI5" s="394" t="s">
        <v>89</v>
      </c>
      <c r="MEJ5" s="394" t="s">
        <v>89</v>
      </c>
      <c r="MEK5" s="394" t="s">
        <v>89</v>
      </c>
      <c r="MEL5" s="394" t="s">
        <v>89</v>
      </c>
      <c r="MEM5" s="394" t="s">
        <v>89</v>
      </c>
      <c r="MEN5" s="394" t="s">
        <v>89</v>
      </c>
      <c r="MEO5" s="394" t="s">
        <v>89</v>
      </c>
      <c r="MEP5" s="394" t="s">
        <v>89</v>
      </c>
      <c r="MEQ5" s="394" t="s">
        <v>89</v>
      </c>
      <c r="MER5" s="394" t="s">
        <v>89</v>
      </c>
      <c r="MES5" s="394" t="s">
        <v>89</v>
      </c>
      <c r="MET5" s="394" t="s">
        <v>89</v>
      </c>
      <c r="MEU5" s="394" t="s">
        <v>89</v>
      </c>
      <c r="MEV5" s="394" t="s">
        <v>89</v>
      </c>
      <c r="MEW5" s="394" t="s">
        <v>89</v>
      </c>
      <c r="MEX5" s="394" t="s">
        <v>89</v>
      </c>
      <c r="MEY5" s="394" t="s">
        <v>89</v>
      </c>
      <c r="MEZ5" s="394" t="s">
        <v>89</v>
      </c>
      <c r="MFA5" s="394" t="s">
        <v>89</v>
      </c>
      <c r="MFB5" s="394" t="s">
        <v>89</v>
      </c>
      <c r="MFC5" s="394" t="s">
        <v>89</v>
      </c>
      <c r="MFD5" s="394" t="s">
        <v>89</v>
      </c>
      <c r="MFE5" s="394" t="s">
        <v>89</v>
      </c>
      <c r="MFF5" s="394" t="s">
        <v>89</v>
      </c>
      <c r="MFG5" s="394" t="s">
        <v>89</v>
      </c>
      <c r="MFH5" s="394" t="s">
        <v>89</v>
      </c>
      <c r="MFI5" s="394" t="s">
        <v>89</v>
      </c>
      <c r="MFJ5" s="394" t="s">
        <v>89</v>
      </c>
      <c r="MFK5" s="394" t="s">
        <v>89</v>
      </c>
      <c r="MFL5" s="394" t="s">
        <v>89</v>
      </c>
      <c r="MFM5" s="394" t="s">
        <v>89</v>
      </c>
      <c r="MFN5" s="394" t="s">
        <v>89</v>
      </c>
      <c r="MFO5" s="394" t="s">
        <v>89</v>
      </c>
      <c r="MFP5" s="394" t="s">
        <v>89</v>
      </c>
      <c r="MFQ5" s="394" t="s">
        <v>89</v>
      </c>
      <c r="MFR5" s="394" t="s">
        <v>89</v>
      </c>
      <c r="MFS5" s="394" t="s">
        <v>89</v>
      </c>
      <c r="MFT5" s="394" t="s">
        <v>89</v>
      </c>
      <c r="MFU5" s="394" t="s">
        <v>89</v>
      </c>
      <c r="MFV5" s="394" t="s">
        <v>89</v>
      </c>
      <c r="MFW5" s="394" t="s">
        <v>89</v>
      </c>
      <c r="MFX5" s="394" t="s">
        <v>89</v>
      </c>
      <c r="MFY5" s="394" t="s">
        <v>89</v>
      </c>
      <c r="MFZ5" s="394" t="s">
        <v>89</v>
      </c>
      <c r="MGA5" s="394" t="s">
        <v>89</v>
      </c>
      <c r="MGB5" s="394" t="s">
        <v>89</v>
      </c>
      <c r="MGC5" s="394" t="s">
        <v>89</v>
      </c>
      <c r="MGD5" s="394" t="s">
        <v>89</v>
      </c>
      <c r="MGE5" s="394" t="s">
        <v>89</v>
      </c>
      <c r="MGF5" s="394" t="s">
        <v>89</v>
      </c>
      <c r="MGG5" s="394" t="s">
        <v>89</v>
      </c>
      <c r="MGH5" s="394" t="s">
        <v>89</v>
      </c>
      <c r="MGI5" s="394" t="s">
        <v>89</v>
      </c>
      <c r="MGJ5" s="394" t="s">
        <v>89</v>
      </c>
      <c r="MGK5" s="394" t="s">
        <v>89</v>
      </c>
      <c r="MGL5" s="394" t="s">
        <v>89</v>
      </c>
      <c r="MGM5" s="394" t="s">
        <v>89</v>
      </c>
      <c r="MGN5" s="394" t="s">
        <v>89</v>
      </c>
      <c r="MGO5" s="394" t="s">
        <v>89</v>
      </c>
      <c r="MGP5" s="394" t="s">
        <v>89</v>
      </c>
      <c r="MGQ5" s="394" t="s">
        <v>89</v>
      </c>
      <c r="MGR5" s="394" t="s">
        <v>89</v>
      </c>
      <c r="MGS5" s="394" t="s">
        <v>89</v>
      </c>
      <c r="MGT5" s="394" t="s">
        <v>89</v>
      </c>
      <c r="MGU5" s="394" t="s">
        <v>89</v>
      </c>
      <c r="MGV5" s="394" t="s">
        <v>89</v>
      </c>
      <c r="MGW5" s="394" t="s">
        <v>89</v>
      </c>
      <c r="MGX5" s="394" t="s">
        <v>89</v>
      </c>
      <c r="MGY5" s="394" t="s">
        <v>89</v>
      </c>
      <c r="MGZ5" s="394" t="s">
        <v>89</v>
      </c>
      <c r="MHA5" s="394" t="s">
        <v>89</v>
      </c>
      <c r="MHB5" s="394" t="s">
        <v>89</v>
      </c>
      <c r="MHC5" s="394" t="s">
        <v>89</v>
      </c>
      <c r="MHD5" s="394" t="s">
        <v>89</v>
      </c>
      <c r="MHE5" s="394" t="s">
        <v>89</v>
      </c>
      <c r="MHF5" s="394" t="s">
        <v>89</v>
      </c>
      <c r="MHG5" s="394" t="s">
        <v>89</v>
      </c>
      <c r="MHH5" s="394" t="s">
        <v>89</v>
      </c>
      <c r="MHI5" s="394" t="s">
        <v>89</v>
      </c>
      <c r="MHJ5" s="394" t="s">
        <v>89</v>
      </c>
      <c r="MHK5" s="394" t="s">
        <v>89</v>
      </c>
      <c r="MHL5" s="394" t="s">
        <v>89</v>
      </c>
      <c r="MHM5" s="394" t="s">
        <v>89</v>
      </c>
      <c r="MHN5" s="394" t="s">
        <v>89</v>
      </c>
      <c r="MHO5" s="394" t="s">
        <v>89</v>
      </c>
      <c r="MHP5" s="394" t="s">
        <v>89</v>
      </c>
      <c r="MHQ5" s="394" t="s">
        <v>89</v>
      </c>
      <c r="MHR5" s="394" t="s">
        <v>89</v>
      </c>
      <c r="MHS5" s="394" t="s">
        <v>89</v>
      </c>
      <c r="MHT5" s="394" t="s">
        <v>89</v>
      </c>
      <c r="MHU5" s="394" t="s">
        <v>89</v>
      </c>
      <c r="MHV5" s="394" t="s">
        <v>89</v>
      </c>
      <c r="MHW5" s="394" t="s">
        <v>89</v>
      </c>
      <c r="MHX5" s="394" t="s">
        <v>89</v>
      </c>
      <c r="MHY5" s="394" t="s">
        <v>89</v>
      </c>
      <c r="MHZ5" s="394" t="s">
        <v>89</v>
      </c>
      <c r="MIA5" s="394" t="s">
        <v>89</v>
      </c>
      <c r="MIB5" s="394" t="s">
        <v>89</v>
      </c>
      <c r="MIC5" s="394" t="s">
        <v>89</v>
      </c>
      <c r="MID5" s="394" t="s">
        <v>89</v>
      </c>
      <c r="MIE5" s="394" t="s">
        <v>89</v>
      </c>
      <c r="MIF5" s="394" t="s">
        <v>89</v>
      </c>
      <c r="MIG5" s="394" t="s">
        <v>89</v>
      </c>
      <c r="MIH5" s="394" t="s">
        <v>89</v>
      </c>
      <c r="MII5" s="394" t="s">
        <v>89</v>
      </c>
      <c r="MIJ5" s="394" t="s">
        <v>89</v>
      </c>
      <c r="MIK5" s="394" t="s">
        <v>89</v>
      </c>
      <c r="MIL5" s="394" t="s">
        <v>89</v>
      </c>
      <c r="MIM5" s="394" t="s">
        <v>89</v>
      </c>
      <c r="MIN5" s="394" t="s">
        <v>89</v>
      </c>
      <c r="MIO5" s="394" t="s">
        <v>89</v>
      </c>
      <c r="MIP5" s="394" t="s">
        <v>89</v>
      </c>
      <c r="MIQ5" s="394" t="s">
        <v>89</v>
      </c>
      <c r="MIR5" s="394" t="s">
        <v>89</v>
      </c>
      <c r="MIS5" s="394" t="s">
        <v>89</v>
      </c>
      <c r="MIT5" s="394" t="s">
        <v>89</v>
      </c>
      <c r="MIU5" s="394" t="s">
        <v>89</v>
      </c>
      <c r="MIV5" s="394" t="s">
        <v>89</v>
      </c>
      <c r="MIW5" s="394" t="s">
        <v>89</v>
      </c>
      <c r="MIX5" s="394" t="s">
        <v>89</v>
      </c>
      <c r="MIY5" s="394" t="s">
        <v>89</v>
      </c>
      <c r="MIZ5" s="394" t="s">
        <v>89</v>
      </c>
      <c r="MJA5" s="394" t="s">
        <v>89</v>
      </c>
      <c r="MJB5" s="394" t="s">
        <v>89</v>
      </c>
      <c r="MJC5" s="394" t="s">
        <v>89</v>
      </c>
      <c r="MJD5" s="394" t="s">
        <v>89</v>
      </c>
      <c r="MJE5" s="394" t="s">
        <v>89</v>
      </c>
      <c r="MJF5" s="394" t="s">
        <v>89</v>
      </c>
      <c r="MJG5" s="394" t="s">
        <v>89</v>
      </c>
      <c r="MJH5" s="394" t="s">
        <v>89</v>
      </c>
      <c r="MJI5" s="394" t="s">
        <v>89</v>
      </c>
      <c r="MJJ5" s="394" t="s">
        <v>89</v>
      </c>
      <c r="MJK5" s="394" t="s">
        <v>89</v>
      </c>
      <c r="MJL5" s="394" t="s">
        <v>89</v>
      </c>
      <c r="MJM5" s="394" t="s">
        <v>89</v>
      </c>
      <c r="MJN5" s="394" t="s">
        <v>89</v>
      </c>
      <c r="MJO5" s="394" t="s">
        <v>89</v>
      </c>
      <c r="MJP5" s="394" t="s">
        <v>89</v>
      </c>
      <c r="MJQ5" s="394" t="s">
        <v>89</v>
      </c>
      <c r="MJR5" s="394" t="s">
        <v>89</v>
      </c>
      <c r="MJS5" s="394" t="s">
        <v>89</v>
      </c>
      <c r="MJT5" s="394" t="s">
        <v>89</v>
      </c>
      <c r="MJU5" s="394" t="s">
        <v>89</v>
      </c>
      <c r="MJV5" s="394" t="s">
        <v>89</v>
      </c>
      <c r="MJW5" s="394" t="s">
        <v>89</v>
      </c>
      <c r="MJX5" s="394" t="s">
        <v>89</v>
      </c>
      <c r="MJY5" s="394" t="s">
        <v>89</v>
      </c>
      <c r="MJZ5" s="394" t="s">
        <v>89</v>
      </c>
      <c r="MKA5" s="394" t="s">
        <v>89</v>
      </c>
      <c r="MKB5" s="394" t="s">
        <v>89</v>
      </c>
      <c r="MKC5" s="394" t="s">
        <v>89</v>
      </c>
      <c r="MKD5" s="394" t="s">
        <v>89</v>
      </c>
      <c r="MKE5" s="394" t="s">
        <v>89</v>
      </c>
      <c r="MKF5" s="394" t="s">
        <v>89</v>
      </c>
      <c r="MKG5" s="394" t="s">
        <v>89</v>
      </c>
      <c r="MKH5" s="394" t="s">
        <v>89</v>
      </c>
      <c r="MKI5" s="394" t="s">
        <v>89</v>
      </c>
      <c r="MKJ5" s="394" t="s">
        <v>89</v>
      </c>
      <c r="MKK5" s="394" t="s">
        <v>89</v>
      </c>
      <c r="MKL5" s="394" t="s">
        <v>89</v>
      </c>
      <c r="MKM5" s="394" t="s">
        <v>89</v>
      </c>
      <c r="MKN5" s="394" t="s">
        <v>89</v>
      </c>
      <c r="MKO5" s="394" t="s">
        <v>89</v>
      </c>
      <c r="MKP5" s="394" t="s">
        <v>89</v>
      </c>
      <c r="MKQ5" s="394" t="s">
        <v>89</v>
      </c>
      <c r="MKR5" s="394" t="s">
        <v>89</v>
      </c>
      <c r="MKS5" s="394" t="s">
        <v>89</v>
      </c>
      <c r="MKT5" s="394" t="s">
        <v>89</v>
      </c>
      <c r="MKU5" s="394" t="s">
        <v>89</v>
      </c>
      <c r="MKV5" s="394" t="s">
        <v>89</v>
      </c>
      <c r="MKW5" s="394" t="s">
        <v>89</v>
      </c>
      <c r="MKX5" s="394" t="s">
        <v>89</v>
      </c>
      <c r="MKY5" s="394" t="s">
        <v>89</v>
      </c>
      <c r="MKZ5" s="394" t="s">
        <v>89</v>
      </c>
      <c r="MLA5" s="394" t="s">
        <v>89</v>
      </c>
      <c r="MLB5" s="394" t="s">
        <v>89</v>
      </c>
      <c r="MLC5" s="394" t="s">
        <v>89</v>
      </c>
      <c r="MLD5" s="394" t="s">
        <v>89</v>
      </c>
      <c r="MLE5" s="394" t="s">
        <v>89</v>
      </c>
      <c r="MLF5" s="394" t="s">
        <v>89</v>
      </c>
      <c r="MLG5" s="394" t="s">
        <v>89</v>
      </c>
      <c r="MLH5" s="394" t="s">
        <v>89</v>
      </c>
      <c r="MLI5" s="394" t="s">
        <v>89</v>
      </c>
      <c r="MLJ5" s="394" t="s">
        <v>89</v>
      </c>
      <c r="MLK5" s="394" t="s">
        <v>89</v>
      </c>
      <c r="MLL5" s="394" t="s">
        <v>89</v>
      </c>
      <c r="MLM5" s="394" t="s">
        <v>89</v>
      </c>
      <c r="MLN5" s="394" t="s">
        <v>89</v>
      </c>
      <c r="MLO5" s="394" t="s">
        <v>89</v>
      </c>
      <c r="MLP5" s="394" t="s">
        <v>89</v>
      </c>
      <c r="MLQ5" s="394" t="s">
        <v>89</v>
      </c>
      <c r="MLR5" s="394" t="s">
        <v>89</v>
      </c>
      <c r="MLS5" s="394" t="s">
        <v>89</v>
      </c>
      <c r="MLT5" s="394" t="s">
        <v>89</v>
      </c>
      <c r="MLU5" s="394" t="s">
        <v>89</v>
      </c>
      <c r="MLV5" s="394" t="s">
        <v>89</v>
      </c>
      <c r="MLW5" s="394" t="s">
        <v>89</v>
      </c>
      <c r="MLX5" s="394" t="s">
        <v>89</v>
      </c>
      <c r="MLY5" s="394" t="s">
        <v>89</v>
      </c>
      <c r="MLZ5" s="394" t="s">
        <v>89</v>
      </c>
      <c r="MMA5" s="394" t="s">
        <v>89</v>
      </c>
      <c r="MMB5" s="394" t="s">
        <v>89</v>
      </c>
      <c r="MMC5" s="394" t="s">
        <v>89</v>
      </c>
      <c r="MMD5" s="394" t="s">
        <v>89</v>
      </c>
      <c r="MME5" s="394" t="s">
        <v>89</v>
      </c>
      <c r="MMF5" s="394" t="s">
        <v>89</v>
      </c>
      <c r="MMG5" s="394" t="s">
        <v>89</v>
      </c>
      <c r="MMH5" s="394" t="s">
        <v>89</v>
      </c>
      <c r="MMI5" s="394" t="s">
        <v>89</v>
      </c>
      <c r="MMJ5" s="394" t="s">
        <v>89</v>
      </c>
      <c r="MMK5" s="394" t="s">
        <v>89</v>
      </c>
      <c r="MML5" s="394" t="s">
        <v>89</v>
      </c>
      <c r="MMM5" s="394" t="s">
        <v>89</v>
      </c>
      <c r="MMN5" s="394" t="s">
        <v>89</v>
      </c>
      <c r="MMO5" s="394" t="s">
        <v>89</v>
      </c>
      <c r="MMP5" s="394" t="s">
        <v>89</v>
      </c>
      <c r="MMQ5" s="394" t="s">
        <v>89</v>
      </c>
      <c r="MMR5" s="394" t="s">
        <v>89</v>
      </c>
      <c r="MMS5" s="394" t="s">
        <v>89</v>
      </c>
      <c r="MMT5" s="394" t="s">
        <v>89</v>
      </c>
      <c r="MMU5" s="394" t="s">
        <v>89</v>
      </c>
      <c r="MMV5" s="394" t="s">
        <v>89</v>
      </c>
      <c r="MMW5" s="394" t="s">
        <v>89</v>
      </c>
      <c r="MMX5" s="394" t="s">
        <v>89</v>
      </c>
      <c r="MMY5" s="394" t="s">
        <v>89</v>
      </c>
      <c r="MMZ5" s="394" t="s">
        <v>89</v>
      </c>
      <c r="MNA5" s="394" t="s">
        <v>89</v>
      </c>
      <c r="MNB5" s="394" t="s">
        <v>89</v>
      </c>
      <c r="MNC5" s="394" t="s">
        <v>89</v>
      </c>
      <c r="MND5" s="394" t="s">
        <v>89</v>
      </c>
      <c r="MNE5" s="394" t="s">
        <v>89</v>
      </c>
      <c r="MNF5" s="394" t="s">
        <v>89</v>
      </c>
      <c r="MNG5" s="394" t="s">
        <v>89</v>
      </c>
      <c r="MNH5" s="394" t="s">
        <v>89</v>
      </c>
      <c r="MNI5" s="394" t="s">
        <v>89</v>
      </c>
      <c r="MNJ5" s="394" t="s">
        <v>89</v>
      </c>
      <c r="MNK5" s="394" t="s">
        <v>89</v>
      </c>
      <c r="MNL5" s="394" t="s">
        <v>89</v>
      </c>
      <c r="MNM5" s="394" t="s">
        <v>89</v>
      </c>
      <c r="MNN5" s="394" t="s">
        <v>89</v>
      </c>
      <c r="MNO5" s="394" t="s">
        <v>89</v>
      </c>
      <c r="MNP5" s="394" t="s">
        <v>89</v>
      </c>
      <c r="MNQ5" s="394" t="s">
        <v>89</v>
      </c>
      <c r="MNR5" s="394" t="s">
        <v>89</v>
      </c>
      <c r="MNS5" s="394" t="s">
        <v>89</v>
      </c>
      <c r="MNT5" s="394" t="s">
        <v>89</v>
      </c>
      <c r="MNU5" s="394" t="s">
        <v>89</v>
      </c>
      <c r="MNV5" s="394" t="s">
        <v>89</v>
      </c>
      <c r="MNW5" s="394" t="s">
        <v>89</v>
      </c>
      <c r="MNX5" s="394" t="s">
        <v>89</v>
      </c>
      <c r="MNY5" s="394" t="s">
        <v>89</v>
      </c>
      <c r="MNZ5" s="394" t="s">
        <v>89</v>
      </c>
      <c r="MOA5" s="394" t="s">
        <v>89</v>
      </c>
      <c r="MOB5" s="394" t="s">
        <v>89</v>
      </c>
      <c r="MOC5" s="394" t="s">
        <v>89</v>
      </c>
      <c r="MOD5" s="394" t="s">
        <v>89</v>
      </c>
      <c r="MOE5" s="394" t="s">
        <v>89</v>
      </c>
      <c r="MOF5" s="394" t="s">
        <v>89</v>
      </c>
      <c r="MOG5" s="394" t="s">
        <v>89</v>
      </c>
      <c r="MOH5" s="394" t="s">
        <v>89</v>
      </c>
      <c r="MOI5" s="394" t="s">
        <v>89</v>
      </c>
      <c r="MOJ5" s="394" t="s">
        <v>89</v>
      </c>
      <c r="MOK5" s="394" t="s">
        <v>89</v>
      </c>
      <c r="MOL5" s="394" t="s">
        <v>89</v>
      </c>
      <c r="MOM5" s="394" t="s">
        <v>89</v>
      </c>
      <c r="MON5" s="394" t="s">
        <v>89</v>
      </c>
      <c r="MOO5" s="394" t="s">
        <v>89</v>
      </c>
      <c r="MOP5" s="394" t="s">
        <v>89</v>
      </c>
      <c r="MOQ5" s="394" t="s">
        <v>89</v>
      </c>
      <c r="MOR5" s="394" t="s">
        <v>89</v>
      </c>
      <c r="MOS5" s="394" t="s">
        <v>89</v>
      </c>
      <c r="MOT5" s="394" t="s">
        <v>89</v>
      </c>
      <c r="MOU5" s="394" t="s">
        <v>89</v>
      </c>
      <c r="MOV5" s="394" t="s">
        <v>89</v>
      </c>
      <c r="MOW5" s="394" t="s">
        <v>89</v>
      </c>
      <c r="MOX5" s="394" t="s">
        <v>89</v>
      </c>
      <c r="MOY5" s="394" t="s">
        <v>89</v>
      </c>
      <c r="MOZ5" s="394" t="s">
        <v>89</v>
      </c>
      <c r="MPA5" s="394" t="s">
        <v>89</v>
      </c>
      <c r="MPB5" s="394" t="s">
        <v>89</v>
      </c>
      <c r="MPC5" s="394" t="s">
        <v>89</v>
      </c>
      <c r="MPD5" s="394" t="s">
        <v>89</v>
      </c>
      <c r="MPE5" s="394" t="s">
        <v>89</v>
      </c>
      <c r="MPF5" s="394" t="s">
        <v>89</v>
      </c>
      <c r="MPG5" s="394" t="s">
        <v>89</v>
      </c>
      <c r="MPH5" s="394" t="s">
        <v>89</v>
      </c>
      <c r="MPI5" s="394" t="s">
        <v>89</v>
      </c>
      <c r="MPJ5" s="394" t="s">
        <v>89</v>
      </c>
      <c r="MPK5" s="394" t="s">
        <v>89</v>
      </c>
      <c r="MPL5" s="394" t="s">
        <v>89</v>
      </c>
      <c r="MPM5" s="394" t="s">
        <v>89</v>
      </c>
      <c r="MPN5" s="394" t="s">
        <v>89</v>
      </c>
      <c r="MPO5" s="394" t="s">
        <v>89</v>
      </c>
      <c r="MPP5" s="394" t="s">
        <v>89</v>
      </c>
      <c r="MPQ5" s="394" t="s">
        <v>89</v>
      </c>
      <c r="MPR5" s="394" t="s">
        <v>89</v>
      </c>
      <c r="MPS5" s="394" t="s">
        <v>89</v>
      </c>
      <c r="MPT5" s="394" t="s">
        <v>89</v>
      </c>
      <c r="MPU5" s="394" t="s">
        <v>89</v>
      </c>
      <c r="MPV5" s="394" t="s">
        <v>89</v>
      </c>
      <c r="MPW5" s="394" t="s">
        <v>89</v>
      </c>
      <c r="MPX5" s="394" t="s">
        <v>89</v>
      </c>
      <c r="MPY5" s="394" t="s">
        <v>89</v>
      </c>
      <c r="MPZ5" s="394" t="s">
        <v>89</v>
      </c>
      <c r="MQA5" s="394" t="s">
        <v>89</v>
      </c>
      <c r="MQB5" s="394" t="s">
        <v>89</v>
      </c>
      <c r="MQC5" s="394" t="s">
        <v>89</v>
      </c>
      <c r="MQD5" s="394" t="s">
        <v>89</v>
      </c>
      <c r="MQE5" s="394" t="s">
        <v>89</v>
      </c>
      <c r="MQF5" s="394" t="s">
        <v>89</v>
      </c>
      <c r="MQG5" s="394" t="s">
        <v>89</v>
      </c>
      <c r="MQH5" s="394" t="s">
        <v>89</v>
      </c>
      <c r="MQI5" s="394" t="s">
        <v>89</v>
      </c>
      <c r="MQJ5" s="394" t="s">
        <v>89</v>
      </c>
      <c r="MQK5" s="394" t="s">
        <v>89</v>
      </c>
      <c r="MQL5" s="394" t="s">
        <v>89</v>
      </c>
      <c r="MQM5" s="394" t="s">
        <v>89</v>
      </c>
      <c r="MQN5" s="394" t="s">
        <v>89</v>
      </c>
      <c r="MQO5" s="394" t="s">
        <v>89</v>
      </c>
      <c r="MQP5" s="394" t="s">
        <v>89</v>
      </c>
      <c r="MQQ5" s="394" t="s">
        <v>89</v>
      </c>
      <c r="MQR5" s="394" t="s">
        <v>89</v>
      </c>
      <c r="MQS5" s="394" t="s">
        <v>89</v>
      </c>
      <c r="MQT5" s="394" t="s">
        <v>89</v>
      </c>
      <c r="MQU5" s="394" t="s">
        <v>89</v>
      </c>
      <c r="MQV5" s="394" t="s">
        <v>89</v>
      </c>
      <c r="MQW5" s="394" t="s">
        <v>89</v>
      </c>
      <c r="MQX5" s="394" t="s">
        <v>89</v>
      </c>
      <c r="MQY5" s="394" t="s">
        <v>89</v>
      </c>
      <c r="MQZ5" s="394" t="s">
        <v>89</v>
      </c>
      <c r="MRA5" s="394" t="s">
        <v>89</v>
      </c>
      <c r="MRB5" s="394" t="s">
        <v>89</v>
      </c>
      <c r="MRC5" s="394" t="s">
        <v>89</v>
      </c>
      <c r="MRD5" s="394" t="s">
        <v>89</v>
      </c>
      <c r="MRE5" s="394" t="s">
        <v>89</v>
      </c>
      <c r="MRF5" s="394" t="s">
        <v>89</v>
      </c>
      <c r="MRG5" s="394" t="s">
        <v>89</v>
      </c>
      <c r="MRH5" s="394" t="s">
        <v>89</v>
      </c>
      <c r="MRI5" s="394" t="s">
        <v>89</v>
      </c>
      <c r="MRJ5" s="394" t="s">
        <v>89</v>
      </c>
      <c r="MRK5" s="394" t="s">
        <v>89</v>
      </c>
      <c r="MRL5" s="394" t="s">
        <v>89</v>
      </c>
      <c r="MRM5" s="394" t="s">
        <v>89</v>
      </c>
      <c r="MRN5" s="394" t="s">
        <v>89</v>
      </c>
      <c r="MRO5" s="394" t="s">
        <v>89</v>
      </c>
      <c r="MRP5" s="394" t="s">
        <v>89</v>
      </c>
      <c r="MRQ5" s="394" t="s">
        <v>89</v>
      </c>
      <c r="MRR5" s="394" t="s">
        <v>89</v>
      </c>
      <c r="MRS5" s="394" t="s">
        <v>89</v>
      </c>
      <c r="MRT5" s="394" t="s">
        <v>89</v>
      </c>
      <c r="MRU5" s="394" t="s">
        <v>89</v>
      </c>
      <c r="MRV5" s="394" t="s">
        <v>89</v>
      </c>
      <c r="MRW5" s="394" t="s">
        <v>89</v>
      </c>
      <c r="MRX5" s="394" t="s">
        <v>89</v>
      </c>
      <c r="MRY5" s="394" t="s">
        <v>89</v>
      </c>
      <c r="MRZ5" s="394" t="s">
        <v>89</v>
      </c>
      <c r="MSA5" s="394" t="s">
        <v>89</v>
      </c>
      <c r="MSB5" s="394" t="s">
        <v>89</v>
      </c>
      <c r="MSC5" s="394" t="s">
        <v>89</v>
      </c>
      <c r="MSD5" s="394" t="s">
        <v>89</v>
      </c>
      <c r="MSE5" s="394" t="s">
        <v>89</v>
      </c>
      <c r="MSF5" s="394" t="s">
        <v>89</v>
      </c>
      <c r="MSG5" s="394" t="s">
        <v>89</v>
      </c>
      <c r="MSH5" s="394" t="s">
        <v>89</v>
      </c>
      <c r="MSI5" s="394" t="s">
        <v>89</v>
      </c>
      <c r="MSJ5" s="394" t="s">
        <v>89</v>
      </c>
      <c r="MSK5" s="394" t="s">
        <v>89</v>
      </c>
      <c r="MSL5" s="394" t="s">
        <v>89</v>
      </c>
      <c r="MSM5" s="394" t="s">
        <v>89</v>
      </c>
      <c r="MSN5" s="394" t="s">
        <v>89</v>
      </c>
      <c r="MSO5" s="394" t="s">
        <v>89</v>
      </c>
      <c r="MSP5" s="394" t="s">
        <v>89</v>
      </c>
      <c r="MSQ5" s="394" t="s">
        <v>89</v>
      </c>
      <c r="MSR5" s="394" t="s">
        <v>89</v>
      </c>
      <c r="MSS5" s="394" t="s">
        <v>89</v>
      </c>
      <c r="MST5" s="394" t="s">
        <v>89</v>
      </c>
      <c r="MSU5" s="394" t="s">
        <v>89</v>
      </c>
      <c r="MSV5" s="394" t="s">
        <v>89</v>
      </c>
      <c r="MSW5" s="394" t="s">
        <v>89</v>
      </c>
      <c r="MSX5" s="394" t="s">
        <v>89</v>
      </c>
      <c r="MSY5" s="394" t="s">
        <v>89</v>
      </c>
      <c r="MSZ5" s="394" t="s">
        <v>89</v>
      </c>
      <c r="MTA5" s="394" t="s">
        <v>89</v>
      </c>
      <c r="MTB5" s="394" t="s">
        <v>89</v>
      </c>
      <c r="MTC5" s="394" t="s">
        <v>89</v>
      </c>
      <c r="MTD5" s="394" t="s">
        <v>89</v>
      </c>
      <c r="MTE5" s="394" t="s">
        <v>89</v>
      </c>
      <c r="MTF5" s="394" t="s">
        <v>89</v>
      </c>
      <c r="MTG5" s="394" t="s">
        <v>89</v>
      </c>
      <c r="MTH5" s="394" t="s">
        <v>89</v>
      </c>
      <c r="MTI5" s="394" t="s">
        <v>89</v>
      </c>
      <c r="MTJ5" s="394" t="s">
        <v>89</v>
      </c>
      <c r="MTK5" s="394" t="s">
        <v>89</v>
      </c>
      <c r="MTL5" s="394" t="s">
        <v>89</v>
      </c>
      <c r="MTM5" s="394" t="s">
        <v>89</v>
      </c>
      <c r="MTN5" s="394" t="s">
        <v>89</v>
      </c>
      <c r="MTO5" s="394" t="s">
        <v>89</v>
      </c>
      <c r="MTP5" s="394" t="s">
        <v>89</v>
      </c>
      <c r="MTQ5" s="394" t="s">
        <v>89</v>
      </c>
      <c r="MTR5" s="394" t="s">
        <v>89</v>
      </c>
      <c r="MTS5" s="394" t="s">
        <v>89</v>
      </c>
      <c r="MTT5" s="394" t="s">
        <v>89</v>
      </c>
      <c r="MTU5" s="394" t="s">
        <v>89</v>
      </c>
      <c r="MTV5" s="394" t="s">
        <v>89</v>
      </c>
      <c r="MTW5" s="394" t="s">
        <v>89</v>
      </c>
      <c r="MTX5" s="394" t="s">
        <v>89</v>
      </c>
      <c r="MTY5" s="394" t="s">
        <v>89</v>
      </c>
      <c r="MTZ5" s="394" t="s">
        <v>89</v>
      </c>
      <c r="MUA5" s="394" t="s">
        <v>89</v>
      </c>
      <c r="MUB5" s="394" t="s">
        <v>89</v>
      </c>
      <c r="MUC5" s="394" t="s">
        <v>89</v>
      </c>
      <c r="MUD5" s="394" t="s">
        <v>89</v>
      </c>
      <c r="MUE5" s="394" t="s">
        <v>89</v>
      </c>
      <c r="MUF5" s="394" t="s">
        <v>89</v>
      </c>
      <c r="MUG5" s="394" t="s">
        <v>89</v>
      </c>
      <c r="MUH5" s="394" t="s">
        <v>89</v>
      </c>
      <c r="MUI5" s="394" t="s">
        <v>89</v>
      </c>
      <c r="MUJ5" s="394" t="s">
        <v>89</v>
      </c>
      <c r="MUK5" s="394" t="s">
        <v>89</v>
      </c>
      <c r="MUL5" s="394" t="s">
        <v>89</v>
      </c>
      <c r="MUM5" s="394" t="s">
        <v>89</v>
      </c>
      <c r="MUN5" s="394" t="s">
        <v>89</v>
      </c>
      <c r="MUO5" s="394" t="s">
        <v>89</v>
      </c>
      <c r="MUP5" s="394" t="s">
        <v>89</v>
      </c>
      <c r="MUQ5" s="394" t="s">
        <v>89</v>
      </c>
      <c r="MUR5" s="394" t="s">
        <v>89</v>
      </c>
      <c r="MUS5" s="394" t="s">
        <v>89</v>
      </c>
      <c r="MUT5" s="394" t="s">
        <v>89</v>
      </c>
      <c r="MUU5" s="394" t="s">
        <v>89</v>
      </c>
      <c r="MUV5" s="394" t="s">
        <v>89</v>
      </c>
      <c r="MUW5" s="394" t="s">
        <v>89</v>
      </c>
      <c r="MUX5" s="394" t="s">
        <v>89</v>
      </c>
      <c r="MUY5" s="394" t="s">
        <v>89</v>
      </c>
      <c r="MUZ5" s="394" t="s">
        <v>89</v>
      </c>
      <c r="MVA5" s="394" t="s">
        <v>89</v>
      </c>
      <c r="MVB5" s="394" t="s">
        <v>89</v>
      </c>
      <c r="MVC5" s="394" t="s">
        <v>89</v>
      </c>
      <c r="MVD5" s="394" t="s">
        <v>89</v>
      </c>
      <c r="MVE5" s="394" t="s">
        <v>89</v>
      </c>
      <c r="MVF5" s="394" t="s">
        <v>89</v>
      </c>
      <c r="MVG5" s="394" t="s">
        <v>89</v>
      </c>
      <c r="MVH5" s="394" t="s">
        <v>89</v>
      </c>
      <c r="MVI5" s="394" t="s">
        <v>89</v>
      </c>
      <c r="MVJ5" s="394" t="s">
        <v>89</v>
      </c>
      <c r="MVK5" s="394" t="s">
        <v>89</v>
      </c>
      <c r="MVL5" s="394" t="s">
        <v>89</v>
      </c>
      <c r="MVM5" s="394" t="s">
        <v>89</v>
      </c>
      <c r="MVN5" s="394" t="s">
        <v>89</v>
      </c>
      <c r="MVO5" s="394" t="s">
        <v>89</v>
      </c>
      <c r="MVP5" s="394" t="s">
        <v>89</v>
      </c>
      <c r="MVQ5" s="394" t="s">
        <v>89</v>
      </c>
      <c r="MVR5" s="394" t="s">
        <v>89</v>
      </c>
      <c r="MVS5" s="394" t="s">
        <v>89</v>
      </c>
      <c r="MVT5" s="394" t="s">
        <v>89</v>
      </c>
      <c r="MVU5" s="394" t="s">
        <v>89</v>
      </c>
      <c r="MVV5" s="394" t="s">
        <v>89</v>
      </c>
      <c r="MVW5" s="394" t="s">
        <v>89</v>
      </c>
      <c r="MVX5" s="394" t="s">
        <v>89</v>
      </c>
      <c r="MVY5" s="394" t="s">
        <v>89</v>
      </c>
      <c r="MVZ5" s="394" t="s">
        <v>89</v>
      </c>
      <c r="MWA5" s="394" t="s">
        <v>89</v>
      </c>
      <c r="MWB5" s="394" t="s">
        <v>89</v>
      </c>
      <c r="MWC5" s="394" t="s">
        <v>89</v>
      </c>
      <c r="MWD5" s="394" t="s">
        <v>89</v>
      </c>
      <c r="MWE5" s="394" t="s">
        <v>89</v>
      </c>
      <c r="MWF5" s="394" t="s">
        <v>89</v>
      </c>
      <c r="MWG5" s="394" t="s">
        <v>89</v>
      </c>
      <c r="MWH5" s="394" t="s">
        <v>89</v>
      </c>
      <c r="MWI5" s="394" t="s">
        <v>89</v>
      </c>
      <c r="MWJ5" s="394" t="s">
        <v>89</v>
      </c>
      <c r="MWK5" s="394" t="s">
        <v>89</v>
      </c>
      <c r="MWL5" s="394" t="s">
        <v>89</v>
      </c>
      <c r="MWM5" s="394" t="s">
        <v>89</v>
      </c>
      <c r="MWN5" s="394" t="s">
        <v>89</v>
      </c>
      <c r="MWO5" s="394" t="s">
        <v>89</v>
      </c>
      <c r="MWP5" s="394" t="s">
        <v>89</v>
      </c>
      <c r="MWQ5" s="394" t="s">
        <v>89</v>
      </c>
      <c r="MWR5" s="394" t="s">
        <v>89</v>
      </c>
      <c r="MWS5" s="394" t="s">
        <v>89</v>
      </c>
      <c r="MWT5" s="394" t="s">
        <v>89</v>
      </c>
      <c r="MWU5" s="394" t="s">
        <v>89</v>
      </c>
      <c r="MWV5" s="394" t="s">
        <v>89</v>
      </c>
      <c r="MWW5" s="394" t="s">
        <v>89</v>
      </c>
      <c r="MWX5" s="394" t="s">
        <v>89</v>
      </c>
      <c r="MWY5" s="394" t="s">
        <v>89</v>
      </c>
      <c r="MWZ5" s="394" t="s">
        <v>89</v>
      </c>
      <c r="MXA5" s="394" t="s">
        <v>89</v>
      </c>
      <c r="MXB5" s="394" t="s">
        <v>89</v>
      </c>
      <c r="MXC5" s="394" t="s">
        <v>89</v>
      </c>
      <c r="MXD5" s="394" t="s">
        <v>89</v>
      </c>
      <c r="MXE5" s="394" t="s">
        <v>89</v>
      </c>
      <c r="MXF5" s="394" t="s">
        <v>89</v>
      </c>
      <c r="MXG5" s="394" t="s">
        <v>89</v>
      </c>
      <c r="MXH5" s="394" t="s">
        <v>89</v>
      </c>
      <c r="MXI5" s="394" t="s">
        <v>89</v>
      </c>
      <c r="MXJ5" s="394" t="s">
        <v>89</v>
      </c>
      <c r="MXK5" s="394" t="s">
        <v>89</v>
      </c>
      <c r="MXL5" s="394" t="s">
        <v>89</v>
      </c>
      <c r="MXM5" s="394" t="s">
        <v>89</v>
      </c>
      <c r="MXN5" s="394" t="s">
        <v>89</v>
      </c>
      <c r="MXO5" s="394" t="s">
        <v>89</v>
      </c>
      <c r="MXP5" s="394" t="s">
        <v>89</v>
      </c>
      <c r="MXQ5" s="394" t="s">
        <v>89</v>
      </c>
      <c r="MXR5" s="394" t="s">
        <v>89</v>
      </c>
      <c r="MXS5" s="394" t="s">
        <v>89</v>
      </c>
      <c r="MXT5" s="394" t="s">
        <v>89</v>
      </c>
      <c r="MXU5" s="394" t="s">
        <v>89</v>
      </c>
      <c r="MXV5" s="394" t="s">
        <v>89</v>
      </c>
      <c r="MXW5" s="394" t="s">
        <v>89</v>
      </c>
      <c r="MXX5" s="394" t="s">
        <v>89</v>
      </c>
      <c r="MXY5" s="394" t="s">
        <v>89</v>
      </c>
      <c r="MXZ5" s="394" t="s">
        <v>89</v>
      </c>
      <c r="MYA5" s="394" t="s">
        <v>89</v>
      </c>
      <c r="MYB5" s="394" t="s">
        <v>89</v>
      </c>
      <c r="MYC5" s="394" t="s">
        <v>89</v>
      </c>
      <c r="MYD5" s="394" t="s">
        <v>89</v>
      </c>
      <c r="MYE5" s="394" t="s">
        <v>89</v>
      </c>
      <c r="MYF5" s="394" t="s">
        <v>89</v>
      </c>
      <c r="MYG5" s="394" t="s">
        <v>89</v>
      </c>
      <c r="MYH5" s="394" t="s">
        <v>89</v>
      </c>
      <c r="MYI5" s="394" t="s">
        <v>89</v>
      </c>
      <c r="MYJ5" s="394" t="s">
        <v>89</v>
      </c>
      <c r="MYK5" s="394" t="s">
        <v>89</v>
      </c>
      <c r="MYL5" s="394" t="s">
        <v>89</v>
      </c>
      <c r="MYM5" s="394" t="s">
        <v>89</v>
      </c>
      <c r="MYN5" s="394" t="s">
        <v>89</v>
      </c>
      <c r="MYO5" s="394" t="s">
        <v>89</v>
      </c>
      <c r="MYP5" s="394" t="s">
        <v>89</v>
      </c>
      <c r="MYQ5" s="394" t="s">
        <v>89</v>
      </c>
      <c r="MYR5" s="394" t="s">
        <v>89</v>
      </c>
      <c r="MYS5" s="394" t="s">
        <v>89</v>
      </c>
      <c r="MYT5" s="394" t="s">
        <v>89</v>
      </c>
      <c r="MYU5" s="394" t="s">
        <v>89</v>
      </c>
      <c r="MYV5" s="394" t="s">
        <v>89</v>
      </c>
      <c r="MYW5" s="394" t="s">
        <v>89</v>
      </c>
      <c r="MYX5" s="394" t="s">
        <v>89</v>
      </c>
      <c r="MYY5" s="394" t="s">
        <v>89</v>
      </c>
      <c r="MYZ5" s="394" t="s">
        <v>89</v>
      </c>
      <c r="MZA5" s="394" t="s">
        <v>89</v>
      </c>
      <c r="MZB5" s="394" t="s">
        <v>89</v>
      </c>
      <c r="MZC5" s="394" t="s">
        <v>89</v>
      </c>
      <c r="MZD5" s="394" t="s">
        <v>89</v>
      </c>
      <c r="MZE5" s="394" t="s">
        <v>89</v>
      </c>
      <c r="MZF5" s="394" t="s">
        <v>89</v>
      </c>
      <c r="MZG5" s="394" t="s">
        <v>89</v>
      </c>
      <c r="MZH5" s="394" t="s">
        <v>89</v>
      </c>
      <c r="MZI5" s="394" t="s">
        <v>89</v>
      </c>
      <c r="MZJ5" s="394" t="s">
        <v>89</v>
      </c>
      <c r="MZK5" s="394" t="s">
        <v>89</v>
      </c>
      <c r="MZL5" s="394" t="s">
        <v>89</v>
      </c>
      <c r="MZM5" s="394" t="s">
        <v>89</v>
      </c>
      <c r="MZN5" s="394" t="s">
        <v>89</v>
      </c>
      <c r="MZO5" s="394" t="s">
        <v>89</v>
      </c>
      <c r="MZP5" s="394" t="s">
        <v>89</v>
      </c>
      <c r="MZQ5" s="394" t="s">
        <v>89</v>
      </c>
      <c r="MZR5" s="394" t="s">
        <v>89</v>
      </c>
      <c r="MZS5" s="394" t="s">
        <v>89</v>
      </c>
      <c r="MZT5" s="394" t="s">
        <v>89</v>
      </c>
      <c r="MZU5" s="394" t="s">
        <v>89</v>
      </c>
      <c r="MZV5" s="394" t="s">
        <v>89</v>
      </c>
      <c r="MZW5" s="394" t="s">
        <v>89</v>
      </c>
      <c r="MZX5" s="394" t="s">
        <v>89</v>
      </c>
      <c r="MZY5" s="394" t="s">
        <v>89</v>
      </c>
      <c r="MZZ5" s="394" t="s">
        <v>89</v>
      </c>
      <c r="NAA5" s="394" t="s">
        <v>89</v>
      </c>
      <c r="NAB5" s="394" t="s">
        <v>89</v>
      </c>
      <c r="NAC5" s="394" t="s">
        <v>89</v>
      </c>
      <c r="NAD5" s="394" t="s">
        <v>89</v>
      </c>
      <c r="NAE5" s="394" t="s">
        <v>89</v>
      </c>
      <c r="NAF5" s="394" t="s">
        <v>89</v>
      </c>
      <c r="NAG5" s="394" t="s">
        <v>89</v>
      </c>
      <c r="NAH5" s="394" t="s">
        <v>89</v>
      </c>
      <c r="NAI5" s="394" t="s">
        <v>89</v>
      </c>
      <c r="NAJ5" s="394" t="s">
        <v>89</v>
      </c>
      <c r="NAK5" s="394" t="s">
        <v>89</v>
      </c>
      <c r="NAL5" s="394" t="s">
        <v>89</v>
      </c>
      <c r="NAM5" s="394" t="s">
        <v>89</v>
      </c>
      <c r="NAN5" s="394" t="s">
        <v>89</v>
      </c>
      <c r="NAO5" s="394" t="s">
        <v>89</v>
      </c>
      <c r="NAP5" s="394" t="s">
        <v>89</v>
      </c>
      <c r="NAQ5" s="394" t="s">
        <v>89</v>
      </c>
      <c r="NAR5" s="394" t="s">
        <v>89</v>
      </c>
      <c r="NAS5" s="394" t="s">
        <v>89</v>
      </c>
      <c r="NAT5" s="394" t="s">
        <v>89</v>
      </c>
      <c r="NAU5" s="394" t="s">
        <v>89</v>
      </c>
      <c r="NAV5" s="394" t="s">
        <v>89</v>
      </c>
      <c r="NAW5" s="394" t="s">
        <v>89</v>
      </c>
      <c r="NAX5" s="394" t="s">
        <v>89</v>
      </c>
      <c r="NAY5" s="394" t="s">
        <v>89</v>
      </c>
      <c r="NAZ5" s="394" t="s">
        <v>89</v>
      </c>
      <c r="NBA5" s="394" t="s">
        <v>89</v>
      </c>
      <c r="NBB5" s="394" t="s">
        <v>89</v>
      </c>
      <c r="NBC5" s="394" t="s">
        <v>89</v>
      </c>
      <c r="NBD5" s="394" t="s">
        <v>89</v>
      </c>
      <c r="NBE5" s="394" t="s">
        <v>89</v>
      </c>
      <c r="NBF5" s="394" t="s">
        <v>89</v>
      </c>
      <c r="NBG5" s="394" t="s">
        <v>89</v>
      </c>
      <c r="NBH5" s="394" t="s">
        <v>89</v>
      </c>
      <c r="NBI5" s="394" t="s">
        <v>89</v>
      </c>
      <c r="NBJ5" s="394" t="s">
        <v>89</v>
      </c>
      <c r="NBK5" s="394" t="s">
        <v>89</v>
      </c>
      <c r="NBL5" s="394" t="s">
        <v>89</v>
      </c>
      <c r="NBM5" s="394" t="s">
        <v>89</v>
      </c>
      <c r="NBN5" s="394" t="s">
        <v>89</v>
      </c>
      <c r="NBO5" s="394" t="s">
        <v>89</v>
      </c>
      <c r="NBP5" s="394" t="s">
        <v>89</v>
      </c>
      <c r="NBQ5" s="394" t="s">
        <v>89</v>
      </c>
      <c r="NBR5" s="394" t="s">
        <v>89</v>
      </c>
      <c r="NBS5" s="394" t="s">
        <v>89</v>
      </c>
      <c r="NBT5" s="394" t="s">
        <v>89</v>
      </c>
      <c r="NBU5" s="394" t="s">
        <v>89</v>
      </c>
      <c r="NBV5" s="394" t="s">
        <v>89</v>
      </c>
      <c r="NBW5" s="394" t="s">
        <v>89</v>
      </c>
      <c r="NBX5" s="394" t="s">
        <v>89</v>
      </c>
      <c r="NBY5" s="394" t="s">
        <v>89</v>
      </c>
      <c r="NBZ5" s="394" t="s">
        <v>89</v>
      </c>
      <c r="NCA5" s="394" t="s">
        <v>89</v>
      </c>
      <c r="NCB5" s="394" t="s">
        <v>89</v>
      </c>
      <c r="NCC5" s="394" t="s">
        <v>89</v>
      </c>
      <c r="NCD5" s="394" t="s">
        <v>89</v>
      </c>
      <c r="NCE5" s="394" t="s">
        <v>89</v>
      </c>
      <c r="NCF5" s="394" t="s">
        <v>89</v>
      </c>
      <c r="NCG5" s="394" t="s">
        <v>89</v>
      </c>
      <c r="NCH5" s="394" t="s">
        <v>89</v>
      </c>
      <c r="NCI5" s="394" t="s">
        <v>89</v>
      </c>
      <c r="NCJ5" s="394" t="s">
        <v>89</v>
      </c>
      <c r="NCK5" s="394" t="s">
        <v>89</v>
      </c>
      <c r="NCL5" s="394" t="s">
        <v>89</v>
      </c>
      <c r="NCM5" s="394" t="s">
        <v>89</v>
      </c>
      <c r="NCN5" s="394" t="s">
        <v>89</v>
      </c>
      <c r="NCO5" s="394" t="s">
        <v>89</v>
      </c>
      <c r="NCP5" s="394" t="s">
        <v>89</v>
      </c>
      <c r="NCQ5" s="394" t="s">
        <v>89</v>
      </c>
      <c r="NCR5" s="394" t="s">
        <v>89</v>
      </c>
      <c r="NCS5" s="394" t="s">
        <v>89</v>
      </c>
      <c r="NCT5" s="394" t="s">
        <v>89</v>
      </c>
      <c r="NCU5" s="394" t="s">
        <v>89</v>
      </c>
      <c r="NCV5" s="394" t="s">
        <v>89</v>
      </c>
      <c r="NCW5" s="394" t="s">
        <v>89</v>
      </c>
      <c r="NCX5" s="394" t="s">
        <v>89</v>
      </c>
      <c r="NCY5" s="394" t="s">
        <v>89</v>
      </c>
      <c r="NCZ5" s="394" t="s">
        <v>89</v>
      </c>
      <c r="NDA5" s="394" t="s">
        <v>89</v>
      </c>
      <c r="NDB5" s="394" t="s">
        <v>89</v>
      </c>
      <c r="NDC5" s="394" t="s">
        <v>89</v>
      </c>
      <c r="NDD5" s="394" t="s">
        <v>89</v>
      </c>
      <c r="NDE5" s="394" t="s">
        <v>89</v>
      </c>
      <c r="NDF5" s="394" t="s">
        <v>89</v>
      </c>
      <c r="NDG5" s="394" t="s">
        <v>89</v>
      </c>
      <c r="NDH5" s="394" t="s">
        <v>89</v>
      </c>
      <c r="NDI5" s="394" t="s">
        <v>89</v>
      </c>
      <c r="NDJ5" s="394" t="s">
        <v>89</v>
      </c>
      <c r="NDK5" s="394" t="s">
        <v>89</v>
      </c>
      <c r="NDL5" s="394" t="s">
        <v>89</v>
      </c>
      <c r="NDM5" s="394" t="s">
        <v>89</v>
      </c>
      <c r="NDN5" s="394" t="s">
        <v>89</v>
      </c>
      <c r="NDO5" s="394" t="s">
        <v>89</v>
      </c>
      <c r="NDP5" s="394" t="s">
        <v>89</v>
      </c>
      <c r="NDQ5" s="394" t="s">
        <v>89</v>
      </c>
      <c r="NDR5" s="394" t="s">
        <v>89</v>
      </c>
      <c r="NDS5" s="394" t="s">
        <v>89</v>
      </c>
      <c r="NDT5" s="394" t="s">
        <v>89</v>
      </c>
      <c r="NDU5" s="394" t="s">
        <v>89</v>
      </c>
      <c r="NDV5" s="394" t="s">
        <v>89</v>
      </c>
      <c r="NDW5" s="394" t="s">
        <v>89</v>
      </c>
      <c r="NDX5" s="394" t="s">
        <v>89</v>
      </c>
      <c r="NDY5" s="394" t="s">
        <v>89</v>
      </c>
      <c r="NDZ5" s="394" t="s">
        <v>89</v>
      </c>
      <c r="NEA5" s="394" t="s">
        <v>89</v>
      </c>
      <c r="NEB5" s="394" t="s">
        <v>89</v>
      </c>
      <c r="NEC5" s="394" t="s">
        <v>89</v>
      </c>
      <c r="NED5" s="394" t="s">
        <v>89</v>
      </c>
      <c r="NEE5" s="394" t="s">
        <v>89</v>
      </c>
      <c r="NEF5" s="394" t="s">
        <v>89</v>
      </c>
      <c r="NEG5" s="394" t="s">
        <v>89</v>
      </c>
      <c r="NEH5" s="394" t="s">
        <v>89</v>
      </c>
      <c r="NEI5" s="394" t="s">
        <v>89</v>
      </c>
      <c r="NEJ5" s="394" t="s">
        <v>89</v>
      </c>
      <c r="NEK5" s="394" t="s">
        <v>89</v>
      </c>
      <c r="NEL5" s="394" t="s">
        <v>89</v>
      </c>
      <c r="NEM5" s="394" t="s">
        <v>89</v>
      </c>
      <c r="NEN5" s="394" t="s">
        <v>89</v>
      </c>
      <c r="NEO5" s="394" t="s">
        <v>89</v>
      </c>
      <c r="NEP5" s="394" t="s">
        <v>89</v>
      </c>
      <c r="NEQ5" s="394" t="s">
        <v>89</v>
      </c>
      <c r="NER5" s="394" t="s">
        <v>89</v>
      </c>
      <c r="NES5" s="394" t="s">
        <v>89</v>
      </c>
      <c r="NET5" s="394" t="s">
        <v>89</v>
      </c>
      <c r="NEU5" s="394" t="s">
        <v>89</v>
      </c>
      <c r="NEV5" s="394" t="s">
        <v>89</v>
      </c>
      <c r="NEW5" s="394" t="s">
        <v>89</v>
      </c>
      <c r="NEX5" s="394" t="s">
        <v>89</v>
      </c>
      <c r="NEY5" s="394" t="s">
        <v>89</v>
      </c>
      <c r="NEZ5" s="394" t="s">
        <v>89</v>
      </c>
      <c r="NFA5" s="394" t="s">
        <v>89</v>
      </c>
      <c r="NFB5" s="394" t="s">
        <v>89</v>
      </c>
      <c r="NFC5" s="394" t="s">
        <v>89</v>
      </c>
      <c r="NFD5" s="394" t="s">
        <v>89</v>
      </c>
      <c r="NFE5" s="394" t="s">
        <v>89</v>
      </c>
      <c r="NFF5" s="394" t="s">
        <v>89</v>
      </c>
      <c r="NFG5" s="394" t="s">
        <v>89</v>
      </c>
      <c r="NFH5" s="394" t="s">
        <v>89</v>
      </c>
      <c r="NFI5" s="394" t="s">
        <v>89</v>
      </c>
      <c r="NFJ5" s="394" t="s">
        <v>89</v>
      </c>
      <c r="NFK5" s="394" t="s">
        <v>89</v>
      </c>
      <c r="NFL5" s="394" t="s">
        <v>89</v>
      </c>
      <c r="NFM5" s="394" t="s">
        <v>89</v>
      </c>
      <c r="NFN5" s="394" t="s">
        <v>89</v>
      </c>
      <c r="NFO5" s="394" t="s">
        <v>89</v>
      </c>
      <c r="NFP5" s="394" t="s">
        <v>89</v>
      </c>
      <c r="NFQ5" s="394" t="s">
        <v>89</v>
      </c>
      <c r="NFR5" s="394" t="s">
        <v>89</v>
      </c>
      <c r="NFS5" s="394" t="s">
        <v>89</v>
      </c>
      <c r="NFT5" s="394" t="s">
        <v>89</v>
      </c>
      <c r="NFU5" s="394" t="s">
        <v>89</v>
      </c>
      <c r="NFV5" s="394" t="s">
        <v>89</v>
      </c>
      <c r="NFW5" s="394" t="s">
        <v>89</v>
      </c>
      <c r="NFX5" s="394" t="s">
        <v>89</v>
      </c>
      <c r="NFY5" s="394" t="s">
        <v>89</v>
      </c>
      <c r="NFZ5" s="394" t="s">
        <v>89</v>
      </c>
      <c r="NGA5" s="394" t="s">
        <v>89</v>
      </c>
      <c r="NGB5" s="394" t="s">
        <v>89</v>
      </c>
      <c r="NGC5" s="394" t="s">
        <v>89</v>
      </c>
      <c r="NGD5" s="394" t="s">
        <v>89</v>
      </c>
      <c r="NGE5" s="394" t="s">
        <v>89</v>
      </c>
      <c r="NGF5" s="394" t="s">
        <v>89</v>
      </c>
      <c r="NGG5" s="394" t="s">
        <v>89</v>
      </c>
      <c r="NGH5" s="394" t="s">
        <v>89</v>
      </c>
      <c r="NGI5" s="394" t="s">
        <v>89</v>
      </c>
      <c r="NGJ5" s="394" t="s">
        <v>89</v>
      </c>
      <c r="NGK5" s="394" t="s">
        <v>89</v>
      </c>
      <c r="NGL5" s="394" t="s">
        <v>89</v>
      </c>
      <c r="NGM5" s="394" t="s">
        <v>89</v>
      </c>
      <c r="NGN5" s="394" t="s">
        <v>89</v>
      </c>
      <c r="NGO5" s="394" t="s">
        <v>89</v>
      </c>
      <c r="NGP5" s="394" t="s">
        <v>89</v>
      </c>
      <c r="NGQ5" s="394" t="s">
        <v>89</v>
      </c>
      <c r="NGR5" s="394" t="s">
        <v>89</v>
      </c>
      <c r="NGS5" s="394" t="s">
        <v>89</v>
      </c>
      <c r="NGT5" s="394" t="s">
        <v>89</v>
      </c>
      <c r="NGU5" s="394" t="s">
        <v>89</v>
      </c>
      <c r="NGV5" s="394" t="s">
        <v>89</v>
      </c>
      <c r="NGW5" s="394" t="s">
        <v>89</v>
      </c>
      <c r="NGX5" s="394" t="s">
        <v>89</v>
      </c>
      <c r="NGY5" s="394" t="s">
        <v>89</v>
      </c>
      <c r="NGZ5" s="394" t="s">
        <v>89</v>
      </c>
      <c r="NHA5" s="394" t="s">
        <v>89</v>
      </c>
      <c r="NHB5" s="394" t="s">
        <v>89</v>
      </c>
      <c r="NHC5" s="394" t="s">
        <v>89</v>
      </c>
      <c r="NHD5" s="394" t="s">
        <v>89</v>
      </c>
      <c r="NHE5" s="394" t="s">
        <v>89</v>
      </c>
      <c r="NHF5" s="394" t="s">
        <v>89</v>
      </c>
      <c r="NHG5" s="394" t="s">
        <v>89</v>
      </c>
      <c r="NHH5" s="394" t="s">
        <v>89</v>
      </c>
      <c r="NHI5" s="394" t="s">
        <v>89</v>
      </c>
      <c r="NHJ5" s="394" t="s">
        <v>89</v>
      </c>
      <c r="NHK5" s="394" t="s">
        <v>89</v>
      </c>
      <c r="NHL5" s="394" t="s">
        <v>89</v>
      </c>
      <c r="NHM5" s="394" t="s">
        <v>89</v>
      </c>
      <c r="NHN5" s="394" t="s">
        <v>89</v>
      </c>
      <c r="NHO5" s="394" t="s">
        <v>89</v>
      </c>
      <c r="NHP5" s="394" t="s">
        <v>89</v>
      </c>
      <c r="NHQ5" s="394" t="s">
        <v>89</v>
      </c>
      <c r="NHR5" s="394" t="s">
        <v>89</v>
      </c>
      <c r="NHS5" s="394" t="s">
        <v>89</v>
      </c>
      <c r="NHT5" s="394" t="s">
        <v>89</v>
      </c>
      <c r="NHU5" s="394" t="s">
        <v>89</v>
      </c>
      <c r="NHV5" s="394" t="s">
        <v>89</v>
      </c>
      <c r="NHW5" s="394" t="s">
        <v>89</v>
      </c>
      <c r="NHX5" s="394" t="s">
        <v>89</v>
      </c>
      <c r="NHY5" s="394" t="s">
        <v>89</v>
      </c>
      <c r="NHZ5" s="394" t="s">
        <v>89</v>
      </c>
      <c r="NIA5" s="394" t="s">
        <v>89</v>
      </c>
      <c r="NIB5" s="394" t="s">
        <v>89</v>
      </c>
      <c r="NIC5" s="394" t="s">
        <v>89</v>
      </c>
      <c r="NID5" s="394" t="s">
        <v>89</v>
      </c>
      <c r="NIE5" s="394" t="s">
        <v>89</v>
      </c>
      <c r="NIF5" s="394" t="s">
        <v>89</v>
      </c>
      <c r="NIG5" s="394" t="s">
        <v>89</v>
      </c>
      <c r="NIH5" s="394" t="s">
        <v>89</v>
      </c>
      <c r="NII5" s="394" t="s">
        <v>89</v>
      </c>
      <c r="NIJ5" s="394" t="s">
        <v>89</v>
      </c>
      <c r="NIK5" s="394" t="s">
        <v>89</v>
      </c>
      <c r="NIL5" s="394" t="s">
        <v>89</v>
      </c>
      <c r="NIM5" s="394" t="s">
        <v>89</v>
      </c>
      <c r="NIN5" s="394" t="s">
        <v>89</v>
      </c>
      <c r="NIO5" s="394" t="s">
        <v>89</v>
      </c>
      <c r="NIP5" s="394" t="s">
        <v>89</v>
      </c>
      <c r="NIQ5" s="394" t="s">
        <v>89</v>
      </c>
      <c r="NIR5" s="394" t="s">
        <v>89</v>
      </c>
      <c r="NIS5" s="394" t="s">
        <v>89</v>
      </c>
      <c r="NIT5" s="394" t="s">
        <v>89</v>
      </c>
      <c r="NIU5" s="394" t="s">
        <v>89</v>
      </c>
      <c r="NIV5" s="394" t="s">
        <v>89</v>
      </c>
      <c r="NIW5" s="394" t="s">
        <v>89</v>
      </c>
      <c r="NIX5" s="394" t="s">
        <v>89</v>
      </c>
      <c r="NIY5" s="394" t="s">
        <v>89</v>
      </c>
      <c r="NIZ5" s="394" t="s">
        <v>89</v>
      </c>
      <c r="NJA5" s="394" t="s">
        <v>89</v>
      </c>
      <c r="NJB5" s="394" t="s">
        <v>89</v>
      </c>
      <c r="NJC5" s="394" t="s">
        <v>89</v>
      </c>
      <c r="NJD5" s="394" t="s">
        <v>89</v>
      </c>
      <c r="NJE5" s="394" t="s">
        <v>89</v>
      </c>
      <c r="NJF5" s="394" t="s">
        <v>89</v>
      </c>
      <c r="NJG5" s="394" t="s">
        <v>89</v>
      </c>
      <c r="NJH5" s="394" t="s">
        <v>89</v>
      </c>
      <c r="NJI5" s="394" t="s">
        <v>89</v>
      </c>
      <c r="NJJ5" s="394" t="s">
        <v>89</v>
      </c>
      <c r="NJK5" s="394" t="s">
        <v>89</v>
      </c>
      <c r="NJL5" s="394" t="s">
        <v>89</v>
      </c>
      <c r="NJM5" s="394" t="s">
        <v>89</v>
      </c>
      <c r="NJN5" s="394" t="s">
        <v>89</v>
      </c>
      <c r="NJO5" s="394" t="s">
        <v>89</v>
      </c>
      <c r="NJP5" s="394" t="s">
        <v>89</v>
      </c>
      <c r="NJQ5" s="394" t="s">
        <v>89</v>
      </c>
      <c r="NJR5" s="394" t="s">
        <v>89</v>
      </c>
      <c r="NJS5" s="394" t="s">
        <v>89</v>
      </c>
      <c r="NJT5" s="394" t="s">
        <v>89</v>
      </c>
      <c r="NJU5" s="394" t="s">
        <v>89</v>
      </c>
      <c r="NJV5" s="394" t="s">
        <v>89</v>
      </c>
      <c r="NJW5" s="394" t="s">
        <v>89</v>
      </c>
      <c r="NJX5" s="394" t="s">
        <v>89</v>
      </c>
      <c r="NJY5" s="394" t="s">
        <v>89</v>
      </c>
      <c r="NJZ5" s="394" t="s">
        <v>89</v>
      </c>
      <c r="NKA5" s="394" t="s">
        <v>89</v>
      </c>
      <c r="NKB5" s="394" t="s">
        <v>89</v>
      </c>
      <c r="NKC5" s="394" t="s">
        <v>89</v>
      </c>
      <c r="NKD5" s="394" t="s">
        <v>89</v>
      </c>
      <c r="NKE5" s="394" t="s">
        <v>89</v>
      </c>
      <c r="NKF5" s="394" t="s">
        <v>89</v>
      </c>
      <c r="NKG5" s="394" t="s">
        <v>89</v>
      </c>
      <c r="NKH5" s="394" t="s">
        <v>89</v>
      </c>
      <c r="NKI5" s="394" t="s">
        <v>89</v>
      </c>
      <c r="NKJ5" s="394" t="s">
        <v>89</v>
      </c>
      <c r="NKK5" s="394" t="s">
        <v>89</v>
      </c>
      <c r="NKL5" s="394" t="s">
        <v>89</v>
      </c>
      <c r="NKM5" s="394" t="s">
        <v>89</v>
      </c>
      <c r="NKN5" s="394" t="s">
        <v>89</v>
      </c>
      <c r="NKO5" s="394" t="s">
        <v>89</v>
      </c>
      <c r="NKP5" s="394" t="s">
        <v>89</v>
      </c>
      <c r="NKQ5" s="394" t="s">
        <v>89</v>
      </c>
      <c r="NKR5" s="394" t="s">
        <v>89</v>
      </c>
      <c r="NKS5" s="394" t="s">
        <v>89</v>
      </c>
      <c r="NKT5" s="394" t="s">
        <v>89</v>
      </c>
      <c r="NKU5" s="394" t="s">
        <v>89</v>
      </c>
      <c r="NKV5" s="394" t="s">
        <v>89</v>
      </c>
      <c r="NKW5" s="394" t="s">
        <v>89</v>
      </c>
      <c r="NKX5" s="394" t="s">
        <v>89</v>
      </c>
      <c r="NKY5" s="394" t="s">
        <v>89</v>
      </c>
      <c r="NKZ5" s="394" t="s">
        <v>89</v>
      </c>
      <c r="NLA5" s="394" t="s">
        <v>89</v>
      </c>
      <c r="NLB5" s="394" t="s">
        <v>89</v>
      </c>
      <c r="NLC5" s="394" t="s">
        <v>89</v>
      </c>
      <c r="NLD5" s="394" t="s">
        <v>89</v>
      </c>
      <c r="NLE5" s="394" t="s">
        <v>89</v>
      </c>
      <c r="NLF5" s="394" t="s">
        <v>89</v>
      </c>
      <c r="NLG5" s="394" t="s">
        <v>89</v>
      </c>
      <c r="NLH5" s="394" t="s">
        <v>89</v>
      </c>
      <c r="NLI5" s="394" t="s">
        <v>89</v>
      </c>
      <c r="NLJ5" s="394" t="s">
        <v>89</v>
      </c>
      <c r="NLK5" s="394" t="s">
        <v>89</v>
      </c>
      <c r="NLL5" s="394" t="s">
        <v>89</v>
      </c>
      <c r="NLM5" s="394" t="s">
        <v>89</v>
      </c>
      <c r="NLN5" s="394" t="s">
        <v>89</v>
      </c>
      <c r="NLO5" s="394" t="s">
        <v>89</v>
      </c>
      <c r="NLP5" s="394" t="s">
        <v>89</v>
      </c>
      <c r="NLQ5" s="394" t="s">
        <v>89</v>
      </c>
      <c r="NLR5" s="394" t="s">
        <v>89</v>
      </c>
      <c r="NLS5" s="394" t="s">
        <v>89</v>
      </c>
      <c r="NLT5" s="394" t="s">
        <v>89</v>
      </c>
      <c r="NLU5" s="394" t="s">
        <v>89</v>
      </c>
      <c r="NLV5" s="394" t="s">
        <v>89</v>
      </c>
      <c r="NLW5" s="394" t="s">
        <v>89</v>
      </c>
      <c r="NLX5" s="394" t="s">
        <v>89</v>
      </c>
      <c r="NLY5" s="394" t="s">
        <v>89</v>
      </c>
      <c r="NLZ5" s="394" t="s">
        <v>89</v>
      </c>
      <c r="NMA5" s="394" t="s">
        <v>89</v>
      </c>
      <c r="NMB5" s="394" t="s">
        <v>89</v>
      </c>
      <c r="NMC5" s="394" t="s">
        <v>89</v>
      </c>
      <c r="NMD5" s="394" t="s">
        <v>89</v>
      </c>
      <c r="NME5" s="394" t="s">
        <v>89</v>
      </c>
      <c r="NMF5" s="394" t="s">
        <v>89</v>
      </c>
      <c r="NMG5" s="394" t="s">
        <v>89</v>
      </c>
      <c r="NMH5" s="394" t="s">
        <v>89</v>
      </c>
      <c r="NMI5" s="394" t="s">
        <v>89</v>
      </c>
      <c r="NMJ5" s="394" t="s">
        <v>89</v>
      </c>
      <c r="NMK5" s="394" t="s">
        <v>89</v>
      </c>
      <c r="NML5" s="394" t="s">
        <v>89</v>
      </c>
      <c r="NMM5" s="394" t="s">
        <v>89</v>
      </c>
      <c r="NMN5" s="394" t="s">
        <v>89</v>
      </c>
      <c r="NMO5" s="394" t="s">
        <v>89</v>
      </c>
      <c r="NMP5" s="394" t="s">
        <v>89</v>
      </c>
      <c r="NMQ5" s="394" t="s">
        <v>89</v>
      </c>
      <c r="NMR5" s="394" t="s">
        <v>89</v>
      </c>
      <c r="NMS5" s="394" t="s">
        <v>89</v>
      </c>
      <c r="NMT5" s="394" t="s">
        <v>89</v>
      </c>
      <c r="NMU5" s="394" t="s">
        <v>89</v>
      </c>
      <c r="NMV5" s="394" t="s">
        <v>89</v>
      </c>
      <c r="NMW5" s="394" t="s">
        <v>89</v>
      </c>
      <c r="NMX5" s="394" t="s">
        <v>89</v>
      </c>
      <c r="NMY5" s="394" t="s">
        <v>89</v>
      </c>
      <c r="NMZ5" s="394" t="s">
        <v>89</v>
      </c>
      <c r="NNA5" s="394" t="s">
        <v>89</v>
      </c>
      <c r="NNB5" s="394" t="s">
        <v>89</v>
      </c>
      <c r="NNC5" s="394" t="s">
        <v>89</v>
      </c>
      <c r="NND5" s="394" t="s">
        <v>89</v>
      </c>
      <c r="NNE5" s="394" t="s">
        <v>89</v>
      </c>
      <c r="NNF5" s="394" t="s">
        <v>89</v>
      </c>
      <c r="NNG5" s="394" t="s">
        <v>89</v>
      </c>
      <c r="NNH5" s="394" t="s">
        <v>89</v>
      </c>
      <c r="NNI5" s="394" t="s">
        <v>89</v>
      </c>
      <c r="NNJ5" s="394" t="s">
        <v>89</v>
      </c>
      <c r="NNK5" s="394" t="s">
        <v>89</v>
      </c>
      <c r="NNL5" s="394" t="s">
        <v>89</v>
      </c>
      <c r="NNM5" s="394" t="s">
        <v>89</v>
      </c>
      <c r="NNN5" s="394" t="s">
        <v>89</v>
      </c>
      <c r="NNO5" s="394" t="s">
        <v>89</v>
      </c>
      <c r="NNP5" s="394" t="s">
        <v>89</v>
      </c>
      <c r="NNQ5" s="394" t="s">
        <v>89</v>
      </c>
      <c r="NNR5" s="394" t="s">
        <v>89</v>
      </c>
      <c r="NNS5" s="394" t="s">
        <v>89</v>
      </c>
      <c r="NNT5" s="394" t="s">
        <v>89</v>
      </c>
      <c r="NNU5" s="394" t="s">
        <v>89</v>
      </c>
      <c r="NNV5" s="394" t="s">
        <v>89</v>
      </c>
      <c r="NNW5" s="394" t="s">
        <v>89</v>
      </c>
      <c r="NNX5" s="394" t="s">
        <v>89</v>
      </c>
      <c r="NNY5" s="394" t="s">
        <v>89</v>
      </c>
      <c r="NNZ5" s="394" t="s">
        <v>89</v>
      </c>
      <c r="NOA5" s="394" t="s">
        <v>89</v>
      </c>
      <c r="NOB5" s="394" t="s">
        <v>89</v>
      </c>
      <c r="NOC5" s="394" t="s">
        <v>89</v>
      </c>
      <c r="NOD5" s="394" t="s">
        <v>89</v>
      </c>
      <c r="NOE5" s="394" t="s">
        <v>89</v>
      </c>
      <c r="NOF5" s="394" t="s">
        <v>89</v>
      </c>
      <c r="NOG5" s="394" t="s">
        <v>89</v>
      </c>
      <c r="NOH5" s="394" t="s">
        <v>89</v>
      </c>
      <c r="NOI5" s="394" t="s">
        <v>89</v>
      </c>
      <c r="NOJ5" s="394" t="s">
        <v>89</v>
      </c>
      <c r="NOK5" s="394" t="s">
        <v>89</v>
      </c>
      <c r="NOL5" s="394" t="s">
        <v>89</v>
      </c>
      <c r="NOM5" s="394" t="s">
        <v>89</v>
      </c>
      <c r="NON5" s="394" t="s">
        <v>89</v>
      </c>
      <c r="NOO5" s="394" t="s">
        <v>89</v>
      </c>
      <c r="NOP5" s="394" t="s">
        <v>89</v>
      </c>
      <c r="NOQ5" s="394" t="s">
        <v>89</v>
      </c>
      <c r="NOR5" s="394" t="s">
        <v>89</v>
      </c>
      <c r="NOS5" s="394" t="s">
        <v>89</v>
      </c>
      <c r="NOT5" s="394" t="s">
        <v>89</v>
      </c>
      <c r="NOU5" s="394" t="s">
        <v>89</v>
      </c>
      <c r="NOV5" s="394" t="s">
        <v>89</v>
      </c>
      <c r="NOW5" s="394" t="s">
        <v>89</v>
      </c>
      <c r="NOX5" s="394" t="s">
        <v>89</v>
      </c>
      <c r="NOY5" s="394" t="s">
        <v>89</v>
      </c>
      <c r="NOZ5" s="394" t="s">
        <v>89</v>
      </c>
      <c r="NPA5" s="394" t="s">
        <v>89</v>
      </c>
      <c r="NPB5" s="394" t="s">
        <v>89</v>
      </c>
      <c r="NPC5" s="394" t="s">
        <v>89</v>
      </c>
      <c r="NPD5" s="394" t="s">
        <v>89</v>
      </c>
      <c r="NPE5" s="394" t="s">
        <v>89</v>
      </c>
      <c r="NPF5" s="394" t="s">
        <v>89</v>
      </c>
      <c r="NPG5" s="394" t="s">
        <v>89</v>
      </c>
      <c r="NPH5" s="394" t="s">
        <v>89</v>
      </c>
      <c r="NPI5" s="394" t="s">
        <v>89</v>
      </c>
      <c r="NPJ5" s="394" t="s">
        <v>89</v>
      </c>
      <c r="NPK5" s="394" t="s">
        <v>89</v>
      </c>
      <c r="NPL5" s="394" t="s">
        <v>89</v>
      </c>
      <c r="NPM5" s="394" t="s">
        <v>89</v>
      </c>
      <c r="NPN5" s="394" t="s">
        <v>89</v>
      </c>
      <c r="NPO5" s="394" t="s">
        <v>89</v>
      </c>
      <c r="NPP5" s="394" t="s">
        <v>89</v>
      </c>
      <c r="NPQ5" s="394" t="s">
        <v>89</v>
      </c>
      <c r="NPR5" s="394" t="s">
        <v>89</v>
      </c>
      <c r="NPS5" s="394" t="s">
        <v>89</v>
      </c>
      <c r="NPT5" s="394" t="s">
        <v>89</v>
      </c>
      <c r="NPU5" s="394" t="s">
        <v>89</v>
      </c>
      <c r="NPV5" s="394" t="s">
        <v>89</v>
      </c>
      <c r="NPW5" s="394" t="s">
        <v>89</v>
      </c>
      <c r="NPX5" s="394" t="s">
        <v>89</v>
      </c>
      <c r="NPY5" s="394" t="s">
        <v>89</v>
      </c>
      <c r="NPZ5" s="394" t="s">
        <v>89</v>
      </c>
      <c r="NQA5" s="394" t="s">
        <v>89</v>
      </c>
      <c r="NQB5" s="394" t="s">
        <v>89</v>
      </c>
      <c r="NQC5" s="394" t="s">
        <v>89</v>
      </c>
      <c r="NQD5" s="394" t="s">
        <v>89</v>
      </c>
      <c r="NQE5" s="394" t="s">
        <v>89</v>
      </c>
      <c r="NQF5" s="394" t="s">
        <v>89</v>
      </c>
      <c r="NQG5" s="394" t="s">
        <v>89</v>
      </c>
      <c r="NQH5" s="394" t="s">
        <v>89</v>
      </c>
      <c r="NQI5" s="394" t="s">
        <v>89</v>
      </c>
      <c r="NQJ5" s="394" t="s">
        <v>89</v>
      </c>
      <c r="NQK5" s="394" t="s">
        <v>89</v>
      </c>
      <c r="NQL5" s="394" t="s">
        <v>89</v>
      </c>
      <c r="NQM5" s="394" t="s">
        <v>89</v>
      </c>
      <c r="NQN5" s="394" t="s">
        <v>89</v>
      </c>
      <c r="NQO5" s="394" t="s">
        <v>89</v>
      </c>
      <c r="NQP5" s="394" t="s">
        <v>89</v>
      </c>
      <c r="NQQ5" s="394" t="s">
        <v>89</v>
      </c>
      <c r="NQR5" s="394" t="s">
        <v>89</v>
      </c>
      <c r="NQS5" s="394" t="s">
        <v>89</v>
      </c>
      <c r="NQT5" s="394" t="s">
        <v>89</v>
      </c>
      <c r="NQU5" s="394" t="s">
        <v>89</v>
      </c>
      <c r="NQV5" s="394" t="s">
        <v>89</v>
      </c>
      <c r="NQW5" s="394" t="s">
        <v>89</v>
      </c>
      <c r="NQX5" s="394" t="s">
        <v>89</v>
      </c>
      <c r="NQY5" s="394" t="s">
        <v>89</v>
      </c>
      <c r="NQZ5" s="394" t="s">
        <v>89</v>
      </c>
      <c r="NRA5" s="394" t="s">
        <v>89</v>
      </c>
      <c r="NRB5" s="394" t="s">
        <v>89</v>
      </c>
      <c r="NRC5" s="394" t="s">
        <v>89</v>
      </c>
      <c r="NRD5" s="394" t="s">
        <v>89</v>
      </c>
      <c r="NRE5" s="394" t="s">
        <v>89</v>
      </c>
      <c r="NRF5" s="394" t="s">
        <v>89</v>
      </c>
      <c r="NRG5" s="394" t="s">
        <v>89</v>
      </c>
      <c r="NRH5" s="394" t="s">
        <v>89</v>
      </c>
      <c r="NRI5" s="394" t="s">
        <v>89</v>
      </c>
      <c r="NRJ5" s="394" t="s">
        <v>89</v>
      </c>
      <c r="NRK5" s="394" t="s">
        <v>89</v>
      </c>
      <c r="NRL5" s="394" t="s">
        <v>89</v>
      </c>
      <c r="NRM5" s="394" t="s">
        <v>89</v>
      </c>
      <c r="NRN5" s="394" t="s">
        <v>89</v>
      </c>
      <c r="NRO5" s="394" t="s">
        <v>89</v>
      </c>
      <c r="NRP5" s="394" t="s">
        <v>89</v>
      </c>
      <c r="NRQ5" s="394" t="s">
        <v>89</v>
      </c>
      <c r="NRR5" s="394" t="s">
        <v>89</v>
      </c>
      <c r="NRS5" s="394" t="s">
        <v>89</v>
      </c>
      <c r="NRT5" s="394" t="s">
        <v>89</v>
      </c>
      <c r="NRU5" s="394" t="s">
        <v>89</v>
      </c>
      <c r="NRV5" s="394" t="s">
        <v>89</v>
      </c>
      <c r="NRW5" s="394" t="s">
        <v>89</v>
      </c>
      <c r="NRX5" s="394" t="s">
        <v>89</v>
      </c>
      <c r="NRY5" s="394" t="s">
        <v>89</v>
      </c>
      <c r="NRZ5" s="394" t="s">
        <v>89</v>
      </c>
      <c r="NSA5" s="394" t="s">
        <v>89</v>
      </c>
      <c r="NSB5" s="394" t="s">
        <v>89</v>
      </c>
      <c r="NSC5" s="394" t="s">
        <v>89</v>
      </c>
      <c r="NSD5" s="394" t="s">
        <v>89</v>
      </c>
      <c r="NSE5" s="394" t="s">
        <v>89</v>
      </c>
      <c r="NSF5" s="394" t="s">
        <v>89</v>
      </c>
      <c r="NSG5" s="394" t="s">
        <v>89</v>
      </c>
      <c r="NSH5" s="394" t="s">
        <v>89</v>
      </c>
      <c r="NSI5" s="394" t="s">
        <v>89</v>
      </c>
      <c r="NSJ5" s="394" t="s">
        <v>89</v>
      </c>
      <c r="NSK5" s="394" t="s">
        <v>89</v>
      </c>
      <c r="NSL5" s="394" t="s">
        <v>89</v>
      </c>
      <c r="NSM5" s="394" t="s">
        <v>89</v>
      </c>
      <c r="NSN5" s="394" t="s">
        <v>89</v>
      </c>
      <c r="NSO5" s="394" t="s">
        <v>89</v>
      </c>
      <c r="NSP5" s="394" t="s">
        <v>89</v>
      </c>
      <c r="NSQ5" s="394" t="s">
        <v>89</v>
      </c>
      <c r="NSR5" s="394" t="s">
        <v>89</v>
      </c>
      <c r="NSS5" s="394" t="s">
        <v>89</v>
      </c>
      <c r="NST5" s="394" t="s">
        <v>89</v>
      </c>
      <c r="NSU5" s="394" t="s">
        <v>89</v>
      </c>
      <c r="NSV5" s="394" t="s">
        <v>89</v>
      </c>
      <c r="NSW5" s="394" t="s">
        <v>89</v>
      </c>
      <c r="NSX5" s="394" t="s">
        <v>89</v>
      </c>
      <c r="NSY5" s="394" t="s">
        <v>89</v>
      </c>
      <c r="NSZ5" s="394" t="s">
        <v>89</v>
      </c>
      <c r="NTA5" s="394" t="s">
        <v>89</v>
      </c>
      <c r="NTB5" s="394" t="s">
        <v>89</v>
      </c>
      <c r="NTC5" s="394" t="s">
        <v>89</v>
      </c>
      <c r="NTD5" s="394" t="s">
        <v>89</v>
      </c>
      <c r="NTE5" s="394" t="s">
        <v>89</v>
      </c>
      <c r="NTF5" s="394" t="s">
        <v>89</v>
      </c>
      <c r="NTG5" s="394" t="s">
        <v>89</v>
      </c>
      <c r="NTH5" s="394" t="s">
        <v>89</v>
      </c>
      <c r="NTI5" s="394" t="s">
        <v>89</v>
      </c>
      <c r="NTJ5" s="394" t="s">
        <v>89</v>
      </c>
      <c r="NTK5" s="394" t="s">
        <v>89</v>
      </c>
      <c r="NTL5" s="394" t="s">
        <v>89</v>
      </c>
      <c r="NTM5" s="394" t="s">
        <v>89</v>
      </c>
      <c r="NTN5" s="394" t="s">
        <v>89</v>
      </c>
      <c r="NTO5" s="394" t="s">
        <v>89</v>
      </c>
      <c r="NTP5" s="394" t="s">
        <v>89</v>
      </c>
      <c r="NTQ5" s="394" t="s">
        <v>89</v>
      </c>
      <c r="NTR5" s="394" t="s">
        <v>89</v>
      </c>
      <c r="NTS5" s="394" t="s">
        <v>89</v>
      </c>
      <c r="NTT5" s="394" t="s">
        <v>89</v>
      </c>
      <c r="NTU5" s="394" t="s">
        <v>89</v>
      </c>
      <c r="NTV5" s="394" t="s">
        <v>89</v>
      </c>
      <c r="NTW5" s="394" t="s">
        <v>89</v>
      </c>
      <c r="NTX5" s="394" t="s">
        <v>89</v>
      </c>
      <c r="NTY5" s="394" t="s">
        <v>89</v>
      </c>
      <c r="NTZ5" s="394" t="s">
        <v>89</v>
      </c>
      <c r="NUA5" s="394" t="s">
        <v>89</v>
      </c>
      <c r="NUB5" s="394" t="s">
        <v>89</v>
      </c>
      <c r="NUC5" s="394" t="s">
        <v>89</v>
      </c>
      <c r="NUD5" s="394" t="s">
        <v>89</v>
      </c>
      <c r="NUE5" s="394" t="s">
        <v>89</v>
      </c>
      <c r="NUF5" s="394" t="s">
        <v>89</v>
      </c>
      <c r="NUG5" s="394" t="s">
        <v>89</v>
      </c>
      <c r="NUH5" s="394" t="s">
        <v>89</v>
      </c>
      <c r="NUI5" s="394" t="s">
        <v>89</v>
      </c>
      <c r="NUJ5" s="394" t="s">
        <v>89</v>
      </c>
      <c r="NUK5" s="394" t="s">
        <v>89</v>
      </c>
      <c r="NUL5" s="394" t="s">
        <v>89</v>
      </c>
      <c r="NUM5" s="394" t="s">
        <v>89</v>
      </c>
      <c r="NUN5" s="394" t="s">
        <v>89</v>
      </c>
      <c r="NUO5" s="394" t="s">
        <v>89</v>
      </c>
      <c r="NUP5" s="394" t="s">
        <v>89</v>
      </c>
      <c r="NUQ5" s="394" t="s">
        <v>89</v>
      </c>
      <c r="NUR5" s="394" t="s">
        <v>89</v>
      </c>
      <c r="NUS5" s="394" t="s">
        <v>89</v>
      </c>
      <c r="NUT5" s="394" t="s">
        <v>89</v>
      </c>
      <c r="NUU5" s="394" t="s">
        <v>89</v>
      </c>
      <c r="NUV5" s="394" t="s">
        <v>89</v>
      </c>
      <c r="NUW5" s="394" t="s">
        <v>89</v>
      </c>
      <c r="NUX5" s="394" t="s">
        <v>89</v>
      </c>
      <c r="NUY5" s="394" t="s">
        <v>89</v>
      </c>
      <c r="NUZ5" s="394" t="s">
        <v>89</v>
      </c>
      <c r="NVA5" s="394" t="s">
        <v>89</v>
      </c>
      <c r="NVB5" s="394" t="s">
        <v>89</v>
      </c>
      <c r="NVC5" s="394" t="s">
        <v>89</v>
      </c>
      <c r="NVD5" s="394" t="s">
        <v>89</v>
      </c>
      <c r="NVE5" s="394" t="s">
        <v>89</v>
      </c>
      <c r="NVF5" s="394" t="s">
        <v>89</v>
      </c>
      <c r="NVG5" s="394" t="s">
        <v>89</v>
      </c>
      <c r="NVH5" s="394" t="s">
        <v>89</v>
      </c>
      <c r="NVI5" s="394" t="s">
        <v>89</v>
      </c>
      <c r="NVJ5" s="394" t="s">
        <v>89</v>
      </c>
      <c r="NVK5" s="394" t="s">
        <v>89</v>
      </c>
      <c r="NVL5" s="394" t="s">
        <v>89</v>
      </c>
      <c r="NVM5" s="394" t="s">
        <v>89</v>
      </c>
      <c r="NVN5" s="394" t="s">
        <v>89</v>
      </c>
      <c r="NVO5" s="394" t="s">
        <v>89</v>
      </c>
      <c r="NVP5" s="394" t="s">
        <v>89</v>
      </c>
      <c r="NVQ5" s="394" t="s">
        <v>89</v>
      </c>
      <c r="NVR5" s="394" t="s">
        <v>89</v>
      </c>
      <c r="NVS5" s="394" t="s">
        <v>89</v>
      </c>
      <c r="NVT5" s="394" t="s">
        <v>89</v>
      </c>
      <c r="NVU5" s="394" t="s">
        <v>89</v>
      </c>
      <c r="NVV5" s="394" t="s">
        <v>89</v>
      </c>
      <c r="NVW5" s="394" t="s">
        <v>89</v>
      </c>
      <c r="NVX5" s="394" t="s">
        <v>89</v>
      </c>
      <c r="NVY5" s="394" t="s">
        <v>89</v>
      </c>
      <c r="NVZ5" s="394" t="s">
        <v>89</v>
      </c>
      <c r="NWA5" s="394" t="s">
        <v>89</v>
      </c>
      <c r="NWB5" s="394" t="s">
        <v>89</v>
      </c>
      <c r="NWC5" s="394" t="s">
        <v>89</v>
      </c>
      <c r="NWD5" s="394" t="s">
        <v>89</v>
      </c>
      <c r="NWE5" s="394" t="s">
        <v>89</v>
      </c>
      <c r="NWF5" s="394" t="s">
        <v>89</v>
      </c>
      <c r="NWG5" s="394" t="s">
        <v>89</v>
      </c>
      <c r="NWH5" s="394" t="s">
        <v>89</v>
      </c>
      <c r="NWI5" s="394" t="s">
        <v>89</v>
      </c>
      <c r="NWJ5" s="394" t="s">
        <v>89</v>
      </c>
      <c r="NWK5" s="394" t="s">
        <v>89</v>
      </c>
      <c r="NWL5" s="394" t="s">
        <v>89</v>
      </c>
      <c r="NWM5" s="394" t="s">
        <v>89</v>
      </c>
      <c r="NWN5" s="394" t="s">
        <v>89</v>
      </c>
      <c r="NWO5" s="394" t="s">
        <v>89</v>
      </c>
      <c r="NWP5" s="394" t="s">
        <v>89</v>
      </c>
      <c r="NWQ5" s="394" t="s">
        <v>89</v>
      </c>
      <c r="NWR5" s="394" t="s">
        <v>89</v>
      </c>
      <c r="NWS5" s="394" t="s">
        <v>89</v>
      </c>
      <c r="NWT5" s="394" t="s">
        <v>89</v>
      </c>
      <c r="NWU5" s="394" t="s">
        <v>89</v>
      </c>
      <c r="NWV5" s="394" t="s">
        <v>89</v>
      </c>
      <c r="NWW5" s="394" t="s">
        <v>89</v>
      </c>
      <c r="NWX5" s="394" t="s">
        <v>89</v>
      </c>
      <c r="NWY5" s="394" t="s">
        <v>89</v>
      </c>
      <c r="NWZ5" s="394" t="s">
        <v>89</v>
      </c>
      <c r="NXA5" s="394" t="s">
        <v>89</v>
      </c>
      <c r="NXB5" s="394" t="s">
        <v>89</v>
      </c>
      <c r="NXC5" s="394" t="s">
        <v>89</v>
      </c>
      <c r="NXD5" s="394" t="s">
        <v>89</v>
      </c>
      <c r="NXE5" s="394" t="s">
        <v>89</v>
      </c>
      <c r="NXF5" s="394" t="s">
        <v>89</v>
      </c>
      <c r="NXG5" s="394" t="s">
        <v>89</v>
      </c>
      <c r="NXH5" s="394" t="s">
        <v>89</v>
      </c>
      <c r="NXI5" s="394" t="s">
        <v>89</v>
      </c>
      <c r="NXJ5" s="394" t="s">
        <v>89</v>
      </c>
      <c r="NXK5" s="394" t="s">
        <v>89</v>
      </c>
      <c r="NXL5" s="394" t="s">
        <v>89</v>
      </c>
      <c r="NXM5" s="394" t="s">
        <v>89</v>
      </c>
      <c r="NXN5" s="394" t="s">
        <v>89</v>
      </c>
      <c r="NXO5" s="394" t="s">
        <v>89</v>
      </c>
      <c r="NXP5" s="394" t="s">
        <v>89</v>
      </c>
      <c r="NXQ5" s="394" t="s">
        <v>89</v>
      </c>
      <c r="NXR5" s="394" t="s">
        <v>89</v>
      </c>
      <c r="NXS5" s="394" t="s">
        <v>89</v>
      </c>
      <c r="NXT5" s="394" t="s">
        <v>89</v>
      </c>
      <c r="NXU5" s="394" t="s">
        <v>89</v>
      </c>
      <c r="NXV5" s="394" t="s">
        <v>89</v>
      </c>
      <c r="NXW5" s="394" t="s">
        <v>89</v>
      </c>
      <c r="NXX5" s="394" t="s">
        <v>89</v>
      </c>
      <c r="NXY5" s="394" t="s">
        <v>89</v>
      </c>
      <c r="NXZ5" s="394" t="s">
        <v>89</v>
      </c>
      <c r="NYA5" s="394" t="s">
        <v>89</v>
      </c>
      <c r="NYB5" s="394" t="s">
        <v>89</v>
      </c>
      <c r="NYC5" s="394" t="s">
        <v>89</v>
      </c>
      <c r="NYD5" s="394" t="s">
        <v>89</v>
      </c>
      <c r="NYE5" s="394" t="s">
        <v>89</v>
      </c>
      <c r="NYF5" s="394" t="s">
        <v>89</v>
      </c>
      <c r="NYG5" s="394" t="s">
        <v>89</v>
      </c>
      <c r="NYH5" s="394" t="s">
        <v>89</v>
      </c>
      <c r="NYI5" s="394" t="s">
        <v>89</v>
      </c>
      <c r="NYJ5" s="394" t="s">
        <v>89</v>
      </c>
      <c r="NYK5" s="394" t="s">
        <v>89</v>
      </c>
      <c r="NYL5" s="394" t="s">
        <v>89</v>
      </c>
      <c r="NYM5" s="394" t="s">
        <v>89</v>
      </c>
      <c r="NYN5" s="394" t="s">
        <v>89</v>
      </c>
      <c r="NYO5" s="394" t="s">
        <v>89</v>
      </c>
      <c r="NYP5" s="394" t="s">
        <v>89</v>
      </c>
      <c r="NYQ5" s="394" t="s">
        <v>89</v>
      </c>
      <c r="NYR5" s="394" t="s">
        <v>89</v>
      </c>
      <c r="NYS5" s="394" t="s">
        <v>89</v>
      </c>
      <c r="NYT5" s="394" t="s">
        <v>89</v>
      </c>
      <c r="NYU5" s="394" t="s">
        <v>89</v>
      </c>
      <c r="NYV5" s="394" t="s">
        <v>89</v>
      </c>
      <c r="NYW5" s="394" t="s">
        <v>89</v>
      </c>
      <c r="NYX5" s="394" t="s">
        <v>89</v>
      </c>
      <c r="NYY5" s="394" t="s">
        <v>89</v>
      </c>
      <c r="NYZ5" s="394" t="s">
        <v>89</v>
      </c>
      <c r="NZA5" s="394" t="s">
        <v>89</v>
      </c>
      <c r="NZB5" s="394" t="s">
        <v>89</v>
      </c>
      <c r="NZC5" s="394" t="s">
        <v>89</v>
      </c>
      <c r="NZD5" s="394" t="s">
        <v>89</v>
      </c>
      <c r="NZE5" s="394" t="s">
        <v>89</v>
      </c>
      <c r="NZF5" s="394" t="s">
        <v>89</v>
      </c>
      <c r="NZG5" s="394" t="s">
        <v>89</v>
      </c>
      <c r="NZH5" s="394" t="s">
        <v>89</v>
      </c>
      <c r="NZI5" s="394" t="s">
        <v>89</v>
      </c>
      <c r="NZJ5" s="394" t="s">
        <v>89</v>
      </c>
      <c r="NZK5" s="394" t="s">
        <v>89</v>
      </c>
      <c r="NZL5" s="394" t="s">
        <v>89</v>
      </c>
      <c r="NZM5" s="394" t="s">
        <v>89</v>
      </c>
      <c r="NZN5" s="394" t="s">
        <v>89</v>
      </c>
      <c r="NZO5" s="394" t="s">
        <v>89</v>
      </c>
      <c r="NZP5" s="394" t="s">
        <v>89</v>
      </c>
      <c r="NZQ5" s="394" t="s">
        <v>89</v>
      </c>
      <c r="NZR5" s="394" t="s">
        <v>89</v>
      </c>
      <c r="NZS5" s="394" t="s">
        <v>89</v>
      </c>
      <c r="NZT5" s="394" t="s">
        <v>89</v>
      </c>
      <c r="NZU5" s="394" t="s">
        <v>89</v>
      </c>
      <c r="NZV5" s="394" t="s">
        <v>89</v>
      </c>
      <c r="NZW5" s="394" t="s">
        <v>89</v>
      </c>
      <c r="NZX5" s="394" t="s">
        <v>89</v>
      </c>
      <c r="NZY5" s="394" t="s">
        <v>89</v>
      </c>
      <c r="NZZ5" s="394" t="s">
        <v>89</v>
      </c>
      <c r="OAA5" s="394" t="s">
        <v>89</v>
      </c>
      <c r="OAB5" s="394" t="s">
        <v>89</v>
      </c>
      <c r="OAC5" s="394" t="s">
        <v>89</v>
      </c>
      <c r="OAD5" s="394" t="s">
        <v>89</v>
      </c>
      <c r="OAE5" s="394" t="s">
        <v>89</v>
      </c>
      <c r="OAF5" s="394" t="s">
        <v>89</v>
      </c>
      <c r="OAG5" s="394" t="s">
        <v>89</v>
      </c>
      <c r="OAH5" s="394" t="s">
        <v>89</v>
      </c>
      <c r="OAI5" s="394" t="s">
        <v>89</v>
      </c>
      <c r="OAJ5" s="394" t="s">
        <v>89</v>
      </c>
      <c r="OAK5" s="394" t="s">
        <v>89</v>
      </c>
      <c r="OAL5" s="394" t="s">
        <v>89</v>
      </c>
      <c r="OAM5" s="394" t="s">
        <v>89</v>
      </c>
      <c r="OAN5" s="394" t="s">
        <v>89</v>
      </c>
      <c r="OAO5" s="394" t="s">
        <v>89</v>
      </c>
      <c r="OAP5" s="394" t="s">
        <v>89</v>
      </c>
      <c r="OAQ5" s="394" t="s">
        <v>89</v>
      </c>
      <c r="OAR5" s="394" t="s">
        <v>89</v>
      </c>
      <c r="OAS5" s="394" t="s">
        <v>89</v>
      </c>
      <c r="OAT5" s="394" t="s">
        <v>89</v>
      </c>
      <c r="OAU5" s="394" t="s">
        <v>89</v>
      </c>
      <c r="OAV5" s="394" t="s">
        <v>89</v>
      </c>
      <c r="OAW5" s="394" t="s">
        <v>89</v>
      </c>
      <c r="OAX5" s="394" t="s">
        <v>89</v>
      </c>
      <c r="OAY5" s="394" t="s">
        <v>89</v>
      </c>
      <c r="OAZ5" s="394" t="s">
        <v>89</v>
      </c>
      <c r="OBA5" s="394" t="s">
        <v>89</v>
      </c>
      <c r="OBB5" s="394" t="s">
        <v>89</v>
      </c>
      <c r="OBC5" s="394" t="s">
        <v>89</v>
      </c>
      <c r="OBD5" s="394" t="s">
        <v>89</v>
      </c>
      <c r="OBE5" s="394" t="s">
        <v>89</v>
      </c>
      <c r="OBF5" s="394" t="s">
        <v>89</v>
      </c>
      <c r="OBG5" s="394" t="s">
        <v>89</v>
      </c>
      <c r="OBH5" s="394" t="s">
        <v>89</v>
      </c>
      <c r="OBI5" s="394" t="s">
        <v>89</v>
      </c>
      <c r="OBJ5" s="394" t="s">
        <v>89</v>
      </c>
      <c r="OBK5" s="394" t="s">
        <v>89</v>
      </c>
      <c r="OBL5" s="394" t="s">
        <v>89</v>
      </c>
      <c r="OBM5" s="394" t="s">
        <v>89</v>
      </c>
      <c r="OBN5" s="394" t="s">
        <v>89</v>
      </c>
      <c r="OBO5" s="394" t="s">
        <v>89</v>
      </c>
      <c r="OBP5" s="394" t="s">
        <v>89</v>
      </c>
      <c r="OBQ5" s="394" t="s">
        <v>89</v>
      </c>
      <c r="OBR5" s="394" t="s">
        <v>89</v>
      </c>
      <c r="OBS5" s="394" t="s">
        <v>89</v>
      </c>
      <c r="OBT5" s="394" t="s">
        <v>89</v>
      </c>
      <c r="OBU5" s="394" t="s">
        <v>89</v>
      </c>
      <c r="OBV5" s="394" t="s">
        <v>89</v>
      </c>
      <c r="OBW5" s="394" t="s">
        <v>89</v>
      </c>
      <c r="OBX5" s="394" t="s">
        <v>89</v>
      </c>
      <c r="OBY5" s="394" t="s">
        <v>89</v>
      </c>
      <c r="OBZ5" s="394" t="s">
        <v>89</v>
      </c>
      <c r="OCA5" s="394" t="s">
        <v>89</v>
      </c>
      <c r="OCB5" s="394" t="s">
        <v>89</v>
      </c>
      <c r="OCC5" s="394" t="s">
        <v>89</v>
      </c>
      <c r="OCD5" s="394" t="s">
        <v>89</v>
      </c>
      <c r="OCE5" s="394" t="s">
        <v>89</v>
      </c>
      <c r="OCF5" s="394" t="s">
        <v>89</v>
      </c>
      <c r="OCG5" s="394" t="s">
        <v>89</v>
      </c>
      <c r="OCH5" s="394" t="s">
        <v>89</v>
      </c>
      <c r="OCI5" s="394" t="s">
        <v>89</v>
      </c>
      <c r="OCJ5" s="394" t="s">
        <v>89</v>
      </c>
      <c r="OCK5" s="394" t="s">
        <v>89</v>
      </c>
      <c r="OCL5" s="394" t="s">
        <v>89</v>
      </c>
      <c r="OCM5" s="394" t="s">
        <v>89</v>
      </c>
      <c r="OCN5" s="394" t="s">
        <v>89</v>
      </c>
      <c r="OCO5" s="394" t="s">
        <v>89</v>
      </c>
      <c r="OCP5" s="394" t="s">
        <v>89</v>
      </c>
      <c r="OCQ5" s="394" t="s">
        <v>89</v>
      </c>
      <c r="OCR5" s="394" t="s">
        <v>89</v>
      </c>
      <c r="OCS5" s="394" t="s">
        <v>89</v>
      </c>
      <c r="OCT5" s="394" t="s">
        <v>89</v>
      </c>
      <c r="OCU5" s="394" t="s">
        <v>89</v>
      </c>
      <c r="OCV5" s="394" t="s">
        <v>89</v>
      </c>
      <c r="OCW5" s="394" t="s">
        <v>89</v>
      </c>
      <c r="OCX5" s="394" t="s">
        <v>89</v>
      </c>
      <c r="OCY5" s="394" t="s">
        <v>89</v>
      </c>
      <c r="OCZ5" s="394" t="s">
        <v>89</v>
      </c>
      <c r="ODA5" s="394" t="s">
        <v>89</v>
      </c>
      <c r="ODB5" s="394" t="s">
        <v>89</v>
      </c>
      <c r="ODC5" s="394" t="s">
        <v>89</v>
      </c>
      <c r="ODD5" s="394" t="s">
        <v>89</v>
      </c>
      <c r="ODE5" s="394" t="s">
        <v>89</v>
      </c>
      <c r="ODF5" s="394" t="s">
        <v>89</v>
      </c>
      <c r="ODG5" s="394" t="s">
        <v>89</v>
      </c>
      <c r="ODH5" s="394" t="s">
        <v>89</v>
      </c>
      <c r="ODI5" s="394" t="s">
        <v>89</v>
      </c>
      <c r="ODJ5" s="394" t="s">
        <v>89</v>
      </c>
      <c r="ODK5" s="394" t="s">
        <v>89</v>
      </c>
      <c r="ODL5" s="394" t="s">
        <v>89</v>
      </c>
      <c r="ODM5" s="394" t="s">
        <v>89</v>
      </c>
      <c r="ODN5" s="394" t="s">
        <v>89</v>
      </c>
      <c r="ODO5" s="394" t="s">
        <v>89</v>
      </c>
      <c r="ODP5" s="394" t="s">
        <v>89</v>
      </c>
      <c r="ODQ5" s="394" t="s">
        <v>89</v>
      </c>
      <c r="ODR5" s="394" t="s">
        <v>89</v>
      </c>
      <c r="ODS5" s="394" t="s">
        <v>89</v>
      </c>
      <c r="ODT5" s="394" t="s">
        <v>89</v>
      </c>
      <c r="ODU5" s="394" t="s">
        <v>89</v>
      </c>
      <c r="ODV5" s="394" t="s">
        <v>89</v>
      </c>
      <c r="ODW5" s="394" t="s">
        <v>89</v>
      </c>
      <c r="ODX5" s="394" t="s">
        <v>89</v>
      </c>
      <c r="ODY5" s="394" t="s">
        <v>89</v>
      </c>
      <c r="ODZ5" s="394" t="s">
        <v>89</v>
      </c>
      <c r="OEA5" s="394" t="s">
        <v>89</v>
      </c>
      <c r="OEB5" s="394" t="s">
        <v>89</v>
      </c>
      <c r="OEC5" s="394" t="s">
        <v>89</v>
      </c>
      <c r="OED5" s="394" t="s">
        <v>89</v>
      </c>
      <c r="OEE5" s="394" t="s">
        <v>89</v>
      </c>
      <c r="OEF5" s="394" t="s">
        <v>89</v>
      </c>
      <c r="OEG5" s="394" t="s">
        <v>89</v>
      </c>
      <c r="OEH5" s="394" t="s">
        <v>89</v>
      </c>
      <c r="OEI5" s="394" t="s">
        <v>89</v>
      </c>
      <c r="OEJ5" s="394" t="s">
        <v>89</v>
      </c>
      <c r="OEK5" s="394" t="s">
        <v>89</v>
      </c>
      <c r="OEL5" s="394" t="s">
        <v>89</v>
      </c>
      <c r="OEM5" s="394" t="s">
        <v>89</v>
      </c>
      <c r="OEN5" s="394" t="s">
        <v>89</v>
      </c>
      <c r="OEO5" s="394" t="s">
        <v>89</v>
      </c>
      <c r="OEP5" s="394" t="s">
        <v>89</v>
      </c>
      <c r="OEQ5" s="394" t="s">
        <v>89</v>
      </c>
      <c r="OER5" s="394" t="s">
        <v>89</v>
      </c>
      <c r="OES5" s="394" t="s">
        <v>89</v>
      </c>
      <c r="OET5" s="394" t="s">
        <v>89</v>
      </c>
      <c r="OEU5" s="394" t="s">
        <v>89</v>
      </c>
      <c r="OEV5" s="394" t="s">
        <v>89</v>
      </c>
      <c r="OEW5" s="394" t="s">
        <v>89</v>
      </c>
      <c r="OEX5" s="394" t="s">
        <v>89</v>
      </c>
      <c r="OEY5" s="394" t="s">
        <v>89</v>
      </c>
      <c r="OEZ5" s="394" t="s">
        <v>89</v>
      </c>
      <c r="OFA5" s="394" t="s">
        <v>89</v>
      </c>
      <c r="OFB5" s="394" t="s">
        <v>89</v>
      </c>
      <c r="OFC5" s="394" t="s">
        <v>89</v>
      </c>
      <c r="OFD5" s="394" t="s">
        <v>89</v>
      </c>
      <c r="OFE5" s="394" t="s">
        <v>89</v>
      </c>
      <c r="OFF5" s="394" t="s">
        <v>89</v>
      </c>
      <c r="OFG5" s="394" t="s">
        <v>89</v>
      </c>
      <c r="OFH5" s="394" t="s">
        <v>89</v>
      </c>
      <c r="OFI5" s="394" t="s">
        <v>89</v>
      </c>
      <c r="OFJ5" s="394" t="s">
        <v>89</v>
      </c>
      <c r="OFK5" s="394" t="s">
        <v>89</v>
      </c>
      <c r="OFL5" s="394" t="s">
        <v>89</v>
      </c>
      <c r="OFM5" s="394" t="s">
        <v>89</v>
      </c>
      <c r="OFN5" s="394" t="s">
        <v>89</v>
      </c>
      <c r="OFO5" s="394" t="s">
        <v>89</v>
      </c>
      <c r="OFP5" s="394" t="s">
        <v>89</v>
      </c>
      <c r="OFQ5" s="394" t="s">
        <v>89</v>
      </c>
      <c r="OFR5" s="394" t="s">
        <v>89</v>
      </c>
      <c r="OFS5" s="394" t="s">
        <v>89</v>
      </c>
      <c r="OFT5" s="394" t="s">
        <v>89</v>
      </c>
      <c r="OFU5" s="394" t="s">
        <v>89</v>
      </c>
      <c r="OFV5" s="394" t="s">
        <v>89</v>
      </c>
      <c r="OFW5" s="394" t="s">
        <v>89</v>
      </c>
      <c r="OFX5" s="394" t="s">
        <v>89</v>
      </c>
      <c r="OFY5" s="394" t="s">
        <v>89</v>
      </c>
      <c r="OFZ5" s="394" t="s">
        <v>89</v>
      </c>
      <c r="OGA5" s="394" t="s">
        <v>89</v>
      </c>
      <c r="OGB5" s="394" t="s">
        <v>89</v>
      </c>
      <c r="OGC5" s="394" t="s">
        <v>89</v>
      </c>
      <c r="OGD5" s="394" t="s">
        <v>89</v>
      </c>
      <c r="OGE5" s="394" t="s">
        <v>89</v>
      </c>
      <c r="OGF5" s="394" t="s">
        <v>89</v>
      </c>
      <c r="OGG5" s="394" t="s">
        <v>89</v>
      </c>
      <c r="OGH5" s="394" t="s">
        <v>89</v>
      </c>
      <c r="OGI5" s="394" t="s">
        <v>89</v>
      </c>
      <c r="OGJ5" s="394" t="s">
        <v>89</v>
      </c>
      <c r="OGK5" s="394" t="s">
        <v>89</v>
      </c>
      <c r="OGL5" s="394" t="s">
        <v>89</v>
      </c>
      <c r="OGM5" s="394" t="s">
        <v>89</v>
      </c>
      <c r="OGN5" s="394" t="s">
        <v>89</v>
      </c>
      <c r="OGO5" s="394" t="s">
        <v>89</v>
      </c>
      <c r="OGP5" s="394" t="s">
        <v>89</v>
      </c>
      <c r="OGQ5" s="394" t="s">
        <v>89</v>
      </c>
      <c r="OGR5" s="394" t="s">
        <v>89</v>
      </c>
      <c r="OGS5" s="394" t="s">
        <v>89</v>
      </c>
      <c r="OGT5" s="394" t="s">
        <v>89</v>
      </c>
      <c r="OGU5" s="394" t="s">
        <v>89</v>
      </c>
      <c r="OGV5" s="394" t="s">
        <v>89</v>
      </c>
      <c r="OGW5" s="394" t="s">
        <v>89</v>
      </c>
      <c r="OGX5" s="394" t="s">
        <v>89</v>
      </c>
      <c r="OGY5" s="394" t="s">
        <v>89</v>
      </c>
      <c r="OGZ5" s="394" t="s">
        <v>89</v>
      </c>
      <c r="OHA5" s="394" t="s">
        <v>89</v>
      </c>
      <c r="OHB5" s="394" t="s">
        <v>89</v>
      </c>
      <c r="OHC5" s="394" t="s">
        <v>89</v>
      </c>
      <c r="OHD5" s="394" t="s">
        <v>89</v>
      </c>
      <c r="OHE5" s="394" t="s">
        <v>89</v>
      </c>
      <c r="OHF5" s="394" t="s">
        <v>89</v>
      </c>
      <c r="OHG5" s="394" t="s">
        <v>89</v>
      </c>
      <c r="OHH5" s="394" t="s">
        <v>89</v>
      </c>
      <c r="OHI5" s="394" t="s">
        <v>89</v>
      </c>
      <c r="OHJ5" s="394" t="s">
        <v>89</v>
      </c>
      <c r="OHK5" s="394" t="s">
        <v>89</v>
      </c>
      <c r="OHL5" s="394" t="s">
        <v>89</v>
      </c>
      <c r="OHM5" s="394" t="s">
        <v>89</v>
      </c>
      <c r="OHN5" s="394" t="s">
        <v>89</v>
      </c>
      <c r="OHO5" s="394" t="s">
        <v>89</v>
      </c>
      <c r="OHP5" s="394" t="s">
        <v>89</v>
      </c>
      <c r="OHQ5" s="394" t="s">
        <v>89</v>
      </c>
      <c r="OHR5" s="394" t="s">
        <v>89</v>
      </c>
      <c r="OHS5" s="394" t="s">
        <v>89</v>
      </c>
      <c r="OHT5" s="394" t="s">
        <v>89</v>
      </c>
      <c r="OHU5" s="394" t="s">
        <v>89</v>
      </c>
      <c r="OHV5" s="394" t="s">
        <v>89</v>
      </c>
      <c r="OHW5" s="394" t="s">
        <v>89</v>
      </c>
      <c r="OHX5" s="394" t="s">
        <v>89</v>
      </c>
      <c r="OHY5" s="394" t="s">
        <v>89</v>
      </c>
      <c r="OHZ5" s="394" t="s">
        <v>89</v>
      </c>
      <c r="OIA5" s="394" t="s">
        <v>89</v>
      </c>
      <c r="OIB5" s="394" t="s">
        <v>89</v>
      </c>
      <c r="OIC5" s="394" t="s">
        <v>89</v>
      </c>
      <c r="OID5" s="394" t="s">
        <v>89</v>
      </c>
      <c r="OIE5" s="394" t="s">
        <v>89</v>
      </c>
      <c r="OIF5" s="394" t="s">
        <v>89</v>
      </c>
      <c r="OIG5" s="394" t="s">
        <v>89</v>
      </c>
      <c r="OIH5" s="394" t="s">
        <v>89</v>
      </c>
      <c r="OII5" s="394" t="s">
        <v>89</v>
      </c>
      <c r="OIJ5" s="394" t="s">
        <v>89</v>
      </c>
      <c r="OIK5" s="394" t="s">
        <v>89</v>
      </c>
      <c r="OIL5" s="394" t="s">
        <v>89</v>
      </c>
      <c r="OIM5" s="394" t="s">
        <v>89</v>
      </c>
      <c r="OIN5" s="394" t="s">
        <v>89</v>
      </c>
      <c r="OIO5" s="394" t="s">
        <v>89</v>
      </c>
      <c r="OIP5" s="394" t="s">
        <v>89</v>
      </c>
      <c r="OIQ5" s="394" t="s">
        <v>89</v>
      </c>
      <c r="OIR5" s="394" t="s">
        <v>89</v>
      </c>
      <c r="OIS5" s="394" t="s">
        <v>89</v>
      </c>
      <c r="OIT5" s="394" t="s">
        <v>89</v>
      </c>
      <c r="OIU5" s="394" t="s">
        <v>89</v>
      </c>
      <c r="OIV5" s="394" t="s">
        <v>89</v>
      </c>
      <c r="OIW5" s="394" t="s">
        <v>89</v>
      </c>
      <c r="OIX5" s="394" t="s">
        <v>89</v>
      </c>
      <c r="OIY5" s="394" t="s">
        <v>89</v>
      </c>
      <c r="OIZ5" s="394" t="s">
        <v>89</v>
      </c>
      <c r="OJA5" s="394" t="s">
        <v>89</v>
      </c>
      <c r="OJB5" s="394" t="s">
        <v>89</v>
      </c>
      <c r="OJC5" s="394" t="s">
        <v>89</v>
      </c>
      <c r="OJD5" s="394" t="s">
        <v>89</v>
      </c>
      <c r="OJE5" s="394" t="s">
        <v>89</v>
      </c>
      <c r="OJF5" s="394" t="s">
        <v>89</v>
      </c>
      <c r="OJG5" s="394" t="s">
        <v>89</v>
      </c>
      <c r="OJH5" s="394" t="s">
        <v>89</v>
      </c>
      <c r="OJI5" s="394" t="s">
        <v>89</v>
      </c>
      <c r="OJJ5" s="394" t="s">
        <v>89</v>
      </c>
      <c r="OJK5" s="394" t="s">
        <v>89</v>
      </c>
      <c r="OJL5" s="394" t="s">
        <v>89</v>
      </c>
      <c r="OJM5" s="394" t="s">
        <v>89</v>
      </c>
      <c r="OJN5" s="394" t="s">
        <v>89</v>
      </c>
      <c r="OJO5" s="394" t="s">
        <v>89</v>
      </c>
      <c r="OJP5" s="394" t="s">
        <v>89</v>
      </c>
      <c r="OJQ5" s="394" t="s">
        <v>89</v>
      </c>
      <c r="OJR5" s="394" t="s">
        <v>89</v>
      </c>
      <c r="OJS5" s="394" t="s">
        <v>89</v>
      </c>
      <c r="OJT5" s="394" t="s">
        <v>89</v>
      </c>
      <c r="OJU5" s="394" t="s">
        <v>89</v>
      </c>
      <c r="OJV5" s="394" t="s">
        <v>89</v>
      </c>
      <c r="OJW5" s="394" t="s">
        <v>89</v>
      </c>
      <c r="OJX5" s="394" t="s">
        <v>89</v>
      </c>
      <c r="OJY5" s="394" t="s">
        <v>89</v>
      </c>
      <c r="OJZ5" s="394" t="s">
        <v>89</v>
      </c>
      <c r="OKA5" s="394" t="s">
        <v>89</v>
      </c>
      <c r="OKB5" s="394" t="s">
        <v>89</v>
      </c>
      <c r="OKC5" s="394" t="s">
        <v>89</v>
      </c>
      <c r="OKD5" s="394" t="s">
        <v>89</v>
      </c>
      <c r="OKE5" s="394" t="s">
        <v>89</v>
      </c>
      <c r="OKF5" s="394" t="s">
        <v>89</v>
      </c>
      <c r="OKG5" s="394" t="s">
        <v>89</v>
      </c>
      <c r="OKH5" s="394" t="s">
        <v>89</v>
      </c>
      <c r="OKI5" s="394" t="s">
        <v>89</v>
      </c>
      <c r="OKJ5" s="394" t="s">
        <v>89</v>
      </c>
      <c r="OKK5" s="394" t="s">
        <v>89</v>
      </c>
      <c r="OKL5" s="394" t="s">
        <v>89</v>
      </c>
      <c r="OKM5" s="394" t="s">
        <v>89</v>
      </c>
      <c r="OKN5" s="394" t="s">
        <v>89</v>
      </c>
      <c r="OKO5" s="394" t="s">
        <v>89</v>
      </c>
      <c r="OKP5" s="394" t="s">
        <v>89</v>
      </c>
      <c r="OKQ5" s="394" t="s">
        <v>89</v>
      </c>
      <c r="OKR5" s="394" t="s">
        <v>89</v>
      </c>
      <c r="OKS5" s="394" t="s">
        <v>89</v>
      </c>
      <c r="OKT5" s="394" t="s">
        <v>89</v>
      </c>
      <c r="OKU5" s="394" t="s">
        <v>89</v>
      </c>
      <c r="OKV5" s="394" t="s">
        <v>89</v>
      </c>
      <c r="OKW5" s="394" t="s">
        <v>89</v>
      </c>
      <c r="OKX5" s="394" t="s">
        <v>89</v>
      </c>
      <c r="OKY5" s="394" t="s">
        <v>89</v>
      </c>
      <c r="OKZ5" s="394" t="s">
        <v>89</v>
      </c>
      <c r="OLA5" s="394" t="s">
        <v>89</v>
      </c>
      <c r="OLB5" s="394" t="s">
        <v>89</v>
      </c>
      <c r="OLC5" s="394" t="s">
        <v>89</v>
      </c>
      <c r="OLD5" s="394" t="s">
        <v>89</v>
      </c>
      <c r="OLE5" s="394" t="s">
        <v>89</v>
      </c>
      <c r="OLF5" s="394" t="s">
        <v>89</v>
      </c>
      <c r="OLG5" s="394" t="s">
        <v>89</v>
      </c>
      <c r="OLH5" s="394" t="s">
        <v>89</v>
      </c>
      <c r="OLI5" s="394" t="s">
        <v>89</v>
      </c>
      <c r="OLJ5" s="394" t="s">
        <v>89</v>
      </c>
      <c r="OLK5" s="394" t="s">
        <v>89</v>
      </c>
      <c r="OLL5" s="394" t="s">
        <v>89</v>
      </c>
      <c r="OLM5" s="394" t="s">
        <v>89</v>
      </c>
      <c r="OLN5" s="394" t="s">
        <v>89</v>
      </c>
      <c r="OLO5" s="394" t="s">
        <v>89</v>
      </c>
      <c r="OLP5" s="394" t="s">
        <v>89</v>
      </c>
      <c r="OLQ5" s="394" t="s">
        <v>89</v>
      </c>
      <c r="OLR5" s="394" t="s">
        <v>89</v>
      </c>
      <c r="OLS5" s="394" t="s">
        <v>89</v>
      </c>
      <c r="OLT5" s="394" t="s">
        <v>89</v>
      </c>
      <c r="OLU5" s="394" t="s">
        <v>89</v>
      </c>
      <c r="OLV5" s="394" t="s">
        <v>89</v>
      </c>
      <c r="OLW5" s="394" t="s">
        <v>89</v>
      </c>
      <c r="OLX5" s="394" t="s">
        <v>89</v>
      </c>
      <c r="OLY5" s="394" t="s">
        <v>89</v>
      </c>
      <c r="OLZ5" s="394" t="s">
        <v>89</v>
      </c>
      <c r="OMA5" s="394" t="s">
        <v>89</v>
      </c>
      <c r="OMB5" s="394" t="s">
        <v>89</v>
      </c>
      <c r="OMC5" s="394" t="s">
        <v>89</v>
      </c>
      <c r="OMD5" s="394" t="s">
        <v>89</v>
      </c>
      <c r="OME5" s="394" t="s">
        <v>89</v>
      </c>
      <c r="OMF5" s="394" t="s">
        <v>89</v>
      </c>
      <c r="OMG5" s="394" t="s">
        <v>89</v>
      </c>
      <c r="OMH5" s="394" t="s">
        <v>89</v>
      </c>
      <c r="OMI5" s="394" t="s">
        <v>89</v>
      </c>
      <c r="OMJ5" s="394" t="s">
        <v>89</v>
      </c>
      <c r="OMK5" s="394" t="s">
        <v>89</v>
      </c>
      <c r="OML5" s="394" t="s">
        <v>89</v>
      </c>
      <c r="OMM5" s="394" t="s">
        <v>89</v>
      </c>
      <c r="OMN5" s="394" t="s">
        <v>89</v>
      </c>
      <c r="OMO5" s="394" t="s">
        <v>89</v>
      </c>
      <c r="OMP5" s="394" t="s">
        <v>89</v>
      </c>
      <c r="OMQ5" s="394" t="s">
        <v>89</v>
      </c>
      <c r="OMR5" s="394" t="s">
        <v>89</v>
      </c>
      <c r="OMS5" s="394" t="s">
        <v>89</v>
      </c>
      <c r="OMT5" s="394" t="s">
        <v>89</v>
      </c>
      <c r="OMU5" s="394" t="s">
        <v>89</v>
      </c>
      <c r="OMV5" s="394" t="s">
        <v>89</v>
      </c>
      <c r="OMW5" s="394" t="s">
        <v>89</v>
      </c>
      <c r="OMX5" s="394" t="s">
        <v>89</v>
      </c>
      <c r="OMY5" s="394" t="s">
        <v>89</v>
      </c>
      <c r="OMZ5" s="394" t="s">
        <v>89</v>
      </c>
      <c r="ONA5" s="394" t="s">
        <v>89</v>
      </c>
      <c r="ONB5" s="394" t="s">
        <v>89</v>
      </c>
      <c r="ONC5" s="394" t="s">
        <v>89</v>
      </c>
      <c r="OND5" s="394" t="s">
        <v>89</v>
      </c>
      <c r="ONE5" s="394" t="s">
        <v>89</v>
      </c>
      <c r="ONF5" s="394" t="s">
        <v>89</v>
      </c>
      <c r="ONG5" s="394" t="s">
        <v>89</v>
      </c>
      <c r="ONH5" s="394" t="s">
        <v>89</v>
      </c>
      <c r="ONI5" s="394" t="s">
        <v>89</v>
      </c>
      <c r="ONJ5" s="394" t="s">
        <v>89</v>
      </c>
      <c r="ONK5" s="394" t="s">
        <v>89</v>
      </c>
      <c r="ONL5" s="394" t="s">
        <v>89</v>
      </c>
      <c r="ONM5" s="394" t="s">
        <v>89</v>
      </c>
      <c r="ONN5" s="394" t="s">
        <v>89</v>
      </c>
      <c r="ONO5" s="394" t="s">
        <v>89</v>
      </c>
      <c r="ONP5" s="394" t="s">
        <v>89</v>
      </c>
      <c r="ONQ5" s="394" t="s">
        <v>89</v>
      </c>
      <c r="ONR5" s="394" t="s">
        <v>89</v>
      </c>
      <c r="ONS5" s="394" t="s">
        <v>89</v>
      </c>
      <c r="ONT5" s="394" t="s">
        <v>89</v>
      </c>
      <c r="ONU5" s="394" t="s">
        <v>89</v>
      </c>
      <c r="ONV5" s="394" t="s">
        <v>89</v>
      </c>
      <c r="ONW5" s="394" t="s">
        <v>89</v>
      </c>
      <c r="ONX5" s="394" t="s">
        <v>89</v>
      </c>
      <c r="ONY5" s="394" t="s">
        <v>89</v>
      </c>
      <c r="ONZ5" s="394" t="s">
        <v>89</v>
      </c>
      <c r="OOA5" s="394" t="s">
        <v>89</v>
      </c>
      <c r="OOB5" s="394" t="s">
        <v>89</v>
      </c>
      <c r="OOC5" s="394" t="s">
        <v>89</v>
      </c>
      <c r="OOD5" s="394" t="s">
        <v>89</v>
      </c>
      <c r="OOE5" s="394" t="s">
        <v>89</v>
      </c>
      <c r="OOF5" s="394" t="s">
        <v>89</v>
      </c>
      <c r="OOG5" s="394" t="s">
        <v>89</v>
      </c>
      <c r="OOH5" s="394" t="s">
        <v>89</v>
      </c>
      <c r="OOI5" s="394" t="s">
        <v>89</v>
      </c>
      <c r="OOJ5" s="394" t="s">
        <v>89</v>
      </c>
      <c r="OOK5" s="394" t="s">
        <v>89</v>
      </c>
      <c r="OOL5" s="394" t="s">
        <v>89</v>
      </c>
      <c r="OOM5" s="394" t="s">
        <v>89</v>
      </c>
      <c r="OON5" s="394" t="s">
        <v>89</v>
      </c>
      <c r="OOO5" s="394" t="s">
        <v>89</v>
      </c>
      <c r="OOP5" s="394" t="s">
        <v>89</v>
      </c>
      <c r="OOQ5" s="394" t="s">
        <v>89</v>
      </c>
      <c r="OOR5" s="394" t="s">
        <v>89</v>
      </c>
      <c r="OOS5" s="394" t="s">
        <v>89</v>
      </c>
      <c r="OOT5" s="394" t="s">
        <v>89</v>
      </c>
      <c r="OOU5" s="394" t="s">
        <v>89</v>
      </c>
      <c r="OOV5" s="394" t="s">
        <v>89</v>
      </c>
      <c r="OOW5" s="394" t="s">
        <v>89</v>
      </c>
      <c r="OOX5" s="394" t="s">
        <v>89</v>
      </c>
      <c r="OOY5" s="394" t="s">
        <v>89</v>
      </c>
      <c r="OOZ5" s="394" t="s">
        <v>89</v>
      </c>
      <c r="OPA5" s="394" t="s">
        <v>89</v>
      </c>
      <c r="OPB5" s="394" t="s">
        <v>89</v>
      </c>
      <c r="OPC5" s="394" t="s">
        <v>89</v>
      </c>
      <c r="OPD5" s="394" t="s">
        <v>89</v>
      </c>
      <c r="OPE5" s="394" t="s">
        <v>89</v>
      </c>
      <c r="OPF5" s="394" t="s">
        <v>89</v>
      </c>
      <c r="OPG5" s="394" t="s">
        <v>89</v>
      </c>
      <c r="OPH5" s="394" t="s">
        <v>89</v>
      </c>
      <c r="OPI5" s="394" t="s">
        <v>89</v>
      </c>
      <c r="OPJ5" s="394" t="s">
        <v>89</v>
      </c>
      <c r="OPK5" s="394" t="s">
        <v>89</v>
      </c>
      <c r="OPL5" s="394" t="s">
        <v>89</v>
      </c>
      <c r="OPM5" s="394" t="s">
        <v>89</v>
      </c>
      <c r="OPN5" s="394" t="s">
        <v>89</v>
      </c>
      <c r="OPO5" s="394" t="s">
        <v>89</v>
      </c>
      <c r="OPP5" s="394" t="s">
        <v>89</v>
      </c>
      <c r="OPQ5" s="394" t="s">
        <v>89</v>
      </c>
      <c r="OPR5" s="394" t="s">
        <v>89</v>
      </c>
      <c r="OPS5" s="394" t="s">
        <v>89</v>
      </c>
      <c r="OPT5" s="394" t="s">
        <v>89</v>
      </c>
      <c r="OPU5" s="394" t="s">
        <v>89</v>
      </c>
      <c r="OPV5" s="394" t="s">
        <v>89</v>
      </c>
      <c r="OPW5" s="394" t="s">
        <v>89</v>
      </c>
      <c r="OPX5" s="394" t="s">
        <v>89</v>
      </c>
      <c r="OPY5" s="394" t="s">
        <v>89</v>
      </c>
      <c r="OPZ5" s="394" t="s">
        <v>89</v>
      </c>
      <c r="OQA5" s="394" t="s">
        <v>89</v>
      </c>
      <c r="OQB5" s="394" t="s">
        <v>89</v>
      </c>
      <c r="OQC5" s="394" t="s">
        <v>89</v>
      </c>
      <c r="OQD5" s="394" t="s">
        <v>89</v>
      </c>
      <c r="OQE5" s="394" t="s">
        <v>89</v>
      </c>
      <c r="OQF5" s="394" t="s">
        <v>89</v>
      </c>
      <c r="OQG5" s="394" t="s">
        <v>89</v>
      </c>
      <c r="OQH5" s="394" t="s">
        <v>89</v>
      </c>
      <c r="OQI5" s="394" t="s">
        <v>89</v>
      </c>
      <c r="OQJ5" s="394" t="s">
        <v>89</v>
      </c>
      <c r="OQK5" s="394" t="s">
        <v>89</v>
      </c>
      <c r="OQL5" s="394" t="s">
        <v>89</v>
      </c>
      <c r="OQM5" s="394" t="s">
        <v>89</v>
      </c>
      <c r="OQN5" s="394" t="s">
        <v>89</v>
      </c>
      <c r="OQO5" s="394" t="s">
        <v>89</v>
      </c>
      <c r="OQP5" s="394" t="s">
        <v>89</v>
      </c>
      <c r="OQQ5" s="394" t="s">
        <v>89</v>
      </c>
      <c r="OQR5" s="394" t="s">
        <v>89</v>
      </c>
      <c r="OQS5" s="394" t="s">
        <v>89</v>
      </c>
      <c r="OQT5" s="394" t="s">
        <v>89</v>
      </c>
      <c r="OQU5" s="394" t="s">
        <v>89</v>
      </c>
      <c r="OQV5" s="394" t="s">
        <v>89</v>
      </c>
      <c r="OQW5" s="394" t="s">
        <v>89</v>
      </c>
      <c r="OQX5" s="394" t="s">
        <v>89</v>
      </c>
      <c r="OQY5" s="394" t="s">
        <v>89</v>
      </c>
      <c r="OQZ5" s="394" t="s">
        <v>89</v>
      </c>
      <c r="ORA5" s="394" t="s">
        <v>89</v>
      </c>
      <c r="ORB5" s="394" t="s">
        <v>89</v>
      </c>
      <c r="ORC5" s="394" t="s">
        <v>89</v>
      </c>
      <c r="ORD5" s="394" t="s">
        <v>89</v>
      </c>
      <c r="ORE5" s="394" t="s">
        <v>89</v>
      </c>
      <c r="ORF5" s="394" t="s">
        <v>89</v>
      </c>
      <c r="ORG5" s="394" t="s">
        <v>89</v>
      </c>
      <c r="ORH5" s="394" t="s">
        <v>89</v>
      </c>
      <c r="ORI5" s="394" t="s">
        <v>89</v>
      </c>
      <c r="ORJ5" s="394" t="s">
        <v>89</v>
      </c>
      <c r="ORK5" s="394" t="s">
        <v>89</v>
      </c>
      <c r="ORL5" s="394" t="s">
        <v>89</v>
      </c>
      <c r="ORM5" s="394" t="s">
        <v>89</v>
      </c>
      <c r="ORN5" s="394" t="s">
        <v>89</v>
      </c>
      <c r="ORO5" s="394" t="s">
        <v>89</v>
      </c>
      <c r="ORP5" s="394" t="s">
        <v>89</v>
      </c>
      <c r="ORQ5" s="394" t="s">
        <v>89</v>
      </c>
      <c r="ORR5" s="394" t="s">
        <v>89</v>
      </c>
      <c r="ORS5" s="394" t="s">
        <v>89</v>
      </c>
      <c r="ORT5" s="394" t="s">
        <v>89</v>
      </c>
      <c r="ORU5" s="394" t="s">
        <v>89</v>
      </c>
      <c r="ORV5" s="394" t="s">
        <v>89</v>
      </c>
      <c r="ORW5" s="394" t="s">
        <v>89</v>
      </c>
      <c r="ORX5" s="394" t="s">
        <v>89</v>
      </c>
      <c r="ORY5" s="394" t="s">
        <v>89</v>
      </c>
      <c r="ORZ5" s="394" t="s">
        <v>89</v>
      </c>
      <c r="OSA5" s="394" t="s">
        <v>89</v>
      </c>
      <c r="OSB5" s="394" t="s">
        <v>89</v>
      </c>
      <c r="OSC5" s="394" t="s">
        <v>89</v>
      </c>
      <c r="OSD5" s="394" t="s">
        <v>89</v>
      </c>
      <c r="OSE5" s="394" t="s">
        <v>89</v>
      </c>
      <c r="OSF5" s="394" t="s">
        <v>89</v>
      </c>
      <c r="OSG5" s="394" t="s">
        <v>89</v>
      </c>
      <c r="OSH5" s="394" t="s">
        <v>89</v>
      </c>
      <c r="OSI5" s="394" t="s">
        <v>89</v>
      </c>
      <c r="OSJ5" s="394" t="s">
        <v>89</v>
      </c>
      <c r="OSK5" s="394" t="s">
        <v>89</v>
      </c>
      <c r="OSL5" s="394" t="s">
        <v>89</v>
      </c>
      <c r="OSM5" s="394" t="s">
        <v>89</v>
      </c>
      <c r="OSN5" s="394" t="s">
        <v>89</v>
      </c>
      <c r="OSO5" s="394" t="s">
        <v>89</v>
      </c>
      <c r="OSP5" s="394" t="s">
        <v>89</v>
      </c>
      <c r="OSQ5" s="394" t="s">
        <v>89</v>
      </c>
      <c r="OSR5" s="394" t="s">
        <v>89</v>
      </c>
      <c r="OSS5" s="394" t="s">
        <v>89</v>
      </c>
      <c r="OST5" s="394" t="s">
        <v>89</v>
      </c>
      <c r="OSU5" s="394" t="s">
        <v>89</v>
      </c>
      <c r="OSV5" s="394" t="s">
        <v>89</v>
      </c>
      <c r="OSW5" s="394" t="s">
        <v>89</v>
      </c>
      <c r="OSX5" s="394" t="s">
        <v>89</v>
      </c>
      <c r="OSY5" s="394" t="s">
        <v>89</v>
      </c>
      <c r="OSZ5" s="394" t="s">
        <v>89</v>
      </c>
      <c r="OTA5" s="394" t="s">
        <v>89</v>
      </c>
      <c r="OTB5" s="394" t="s">
        <v>89</v>
      </c>
      <c r="OTC5" s="394" t="s">
        <v>89</v>
      </c>
      <c r="OTD5" s="394" t="s">
        <v>89</v>
      </c>
      <c r="OTE5" s="394" t="s">
        <v>89</v>
      </c>
      <c r="OTF5" s="394" t="s">
        <v>89</v>
      </c>
      <c r="OTG5" s="394" t="s">
        <v>89</v>
      </c>
      <c r="OTH5" s="394" t="s">
        <v>89</v>
      </c>
      <c r="OTI5" s="394" t="s">
        <v>89</v>
      </c>
      <c r="OTJ5" s="394" t="s">
        <v>89</v>
      </c>
      <c r="OTK5" s="394" t="s">
        <v>89</v>
      </c>
      <c r="OTL5" s="394" t="s">
        <v>89</v>
      </c>
      <c r="OTM5" s="394" t="s">
        <v>89</v>
      </c>
      <c r="OTN5" s="394" t="s">
        <v>89</v>
      </c>
      <c r="OTO5" s="394" t="s">
        <v>89</v>
      </c>
      <c r="OTP5" s="394" t="s">
        <v>89</v>
      </c>
      <c r="OTQ5" s="394" t="s">
        <v>89</v>
      </c>
      <c r="OTR5" s="394" t="s">
        <v>89</v>
      </c>
      <c r="OTS5" s="394" t="s">
        <v>89</v>
      </c>
      <c r="OTT5" s="394" t="s">
        <v>89</v>
      </c>
      <c r="OTU5" s="394" t="s">
        <v>89</v>
      </c>
      <c r="OTV5" s="394" t="s">
        <v>89</v>
      </c>
      <c r="OTW5" s="394" t="s">
        <v>89</v>
      </c>
      <c r="OTX5" s="394" t="s">
        <v>89</v>
      </c>
      <c r="OTY5" s="394" t="s">
        <v>89</v>
      </c>
      <c r="OTZ5" s="394" t="s">
        <v>89</v>
      </c>
      <c r="OUA5" s="394" t="s">
        <v>89</v>
      </c>
      <c r="OUB5" s="394" t="s">
        <v>89</v>
      </c>
      <c r="OUC5" s="394" t="s">
        <v>89</v>
      </c>
      <c r="OUD5" s="394" t="s">
        <v>89</v>
      </c>
      <c r="OUE5" s="394" t="s">
        <v>89</v>
      </c>
      <c r="OUF5" s="394" t="s">
        <v>89</v>
      </c>
      <c r="OUG5" s="394" t="s">
        <v>89</v>
      </c>
      <c r="OUH5" s="394" t="s">
        <v>89</v>
      </c>
      <c r="OUI5" s="394" t="s">
        <v>89</v>
      </c>
      <c r="OUJ5" s="394" t="s">
        <v>89</v>
      </c>
      <c r="OUK5" s="394" t="s">
        <v>89</v>
      </c>
      <c r="OUL5" s="394" t="s">
        <v>89</v>
      </c>
      <c r="OUM5" s="394" t="s">
        <v>89</v>
      </c>
      <c r="OUN5" s="394" t="s">
        <v>89</v>
      </c>
      <c r="OUO5" s="394" t="s">
        <v>89</v>
      </c>
      <c r="OUP5" s="394" t="s">
        <v>89</v>
      </c>
      <c r="OUQ5" s="394" t="s">
        <v>89</v>
      </c>
      <c r="OUR5" s="394" t="s">
        <v>89</v>
      </c>
      <c r="OUS5" s="394" t="s">
        <v>89</v>
      </c>
      <c r="OUT5" s="394" t="s">
        <v>89</v>
      </c>
      <c r="OUU5" s="394" t="s">
        <v>89</v>
      </c>
      <c r="OUV5" s="394" t="s">
        <v>89</v>
      </c>
      <c r="OUW5" s="394" t="s">
        <v>89</v>
      </c>
      <c r="OUX5" s="394" t="s">
        <v>89</v>
      </c>
      <c r="OUY5" s="394" t="s">
        <v>89</v>
      </c>
      <c r="OUZ5" s="394" t="s">
        <v>89</v>
      </c>
      <c r="OVA5" s="394" t="s">
        <v>89</v>
      </c>
      <c r="OVB5" s="394" t="s">
        <v>89</v>
      </c>
      <c r="OVC5" s="394" t="s">
        <v>89</v>
      </c>
      <c r="OVD5" s="394" t="s">
        <v>89</v>
      </c>
      <c r="OVE5" s="394" t="s">
        <v>89</v>
      </c>
      <c r="OVF5" s="394" t="s">
        <v>89</v>
      </c>
      <c r="OVG5" s="394" t="s">
        <v>89</v>
      </c>
      <c r="OVH5" s="394" t="s">
        <v>89</v>
      </c>
      <c r="OVI5" s="394" t="s">
        <v>89</v>
      </c>
      <c r="OVJ5" s="394" t="s">
        <v>89</v>
      </c>
      <c r="OVK5" s="394" t="s">
        <v>89</v>
      </c>
      <c r="OVL5" s="394" t="s">
        <v>89</v>
      </c>
      <c r="OVM5" s="394" t="s">
        <v>89</v>
      </c>
      <c r="OVN5" s="394" t="s">
        <v>89</v>
      </c>
      <c r="OVO5" s="394" t="s">
        <v>89</v>
      </c>
      <c r="OVP5" s="394" t="s">
        <v>89</v>
      </c>
      <c r="OVQ5" s="394" t="s">
        <v>89</v>
      </c>
      <c r="OVR5" s="394" t="s">
        <v>89</v>
      </c>
      <c r="OVS5" s="394" t="s">
        <v>89</v>
      </c>
      <c r="OVT5" s="394" t="s">
        <v>89</v>
      </c>
      <c r="OVU5" s="394" t="s">
        <v>89</v>
      </c>
      <c r="OVV5" s="394" t="s">
        <v>89</v>
      </c>
      <c r="OVW5" s="394" t="s">
        <v>89</v>
      </c>
      <c r="OVX5" s="394" t="s">
        <v>89</v>
      </c>
      <c r="OVY5" s="394" t="s">
        <v>89</v>
      </c>
      <c r="OVZ5" s="394" t="s">
        <v>89</v>
      </c>
      <c r="OWA5" s="394" t="s">
        <v>89</v>
      </c>
      <c r="OWB5" s="394" t="s">
        <v>89</v>
      </c>
      <c r="OWC5" s="394" t="s">
        <v>89</v>
      </c>
      <c r="OWD5" s="394" t="s">
        <v>89</v>
      </c>
      <c r="OWE5" s="394" t="s">
        <v>89</v>
      </c>
      <c r="OWF5" s="394" t="s">
        <v>89</v>
      </c>
      <c r="OWG5" s="394" t="s">
        <v>89</v>
      </c>
      <c r="OWH5" s="394" t="s">
        <v>89</v>
      </c>
      <c r="OWI5" s="394" t="s">
        <v>89</v>
      </c>
      <c r="OWJ5" s="394" t="s">
        <v>89</v>
      </c>
      <c r="OWK5" s="394" t="s">
        <v>89</v>
      </c>
      <c r="OWL5" s="394" t="s">
        <v>89</v>
      </c>
      <c r="OWM5" s="394" t="s">
        <v>89</v>
      </c>
      <c r="OWN5" s="394" t="s">
        <v>89</v>
      </c>
      <c r="OWO5" s="394" t="s">
        <v>89</v>
      </c>
      <c r="OWP5" s="394" t="s">
        <v>89</v>
      </c>
      <c r="OWQ5" s="394" t="s">
        <v>89</v>
      </c>
      <c r="OWR5" s="394" t="s">
        <v>89</v>
      </c>
      <c r="OWS5" s="394" t="s">
        <v>89</v>
      </c>
      <c r="OWT5" s="394" t="s">
        <v>89</v>
      </c>
      <c r="OWU5" s="394" t="s">
        <v>89</v>
      </c>
      <c r="OWV5" s="394" t="s">
        <v>89</v>
      </c>
      <c r="OWW5" s="394" t="s">
        <v>89</v>
      </c>
      <c r="OWX5" s="394" t="s">
        <v>89</v>
      </c>
      <c r="OWY5" s="394" t="s">
        <v>89</v>
      </c>
      <c r="OWZ5" s="394" t="s">
        <v>89</v>
      </c>
      <c r="OXA5" s="394" t="s">
        <v>89</v>
      </c>
      <c r="OXB5" s="394" t="s">
        <v>89</v>
      </c>
      <c r="OXC5" s="394" t="s">
        <v>89</v>
      </c>
      <c r="OXD5" s="394" t="s">
        <v>89</v>
      </c>
      <c r="OXE5" s="394" t="s">
        <v>89</v>
      </c>
      <c r="OXF5" s="394" t="s">
        <v>89</v>
      </c>
      <c r="OXG5" s="394" t="s">
        <v>89</v>
      </c>
      <c r="OXH5" s="394" t="s">
        <v>89</v>
      </c>
      <c r="OXI5" s="394" t="s">
        <v>89</v>
      </c>
      <c r="OXJ5" s="394" t="s">
        <v>89</v>
      </c>
      <c r="OXK5" s="394" t="s">
        <v>89</v>
      </c>
      <c r="OXL5" s="394" t="s">
        <v>89</v>
      </c>
      <c r="OXM5" s="394" t="s">
        <v>89</v>
      </c>
      <c r="OXN5" s="394" t="s">
        <v>89</v>
      </c>
      <c r="OXO5" s="394" t="s">
        <v>89</v>
      </c>
      <c r="OXP5" s="394" t="s">
        <v>89</v>
      </c>
      <c r="OXQ5" s="394" t="s">
        <v>89</v>
      </c>
      <c r="OXR5" s="394" t="s">
        <v>89</v>
      </c>
      <c r="OXS5" s="394" t="s">
        <v>89</v>
      </c>
      <c r="OXT5" s="394" t="s">
        <v>89</v>
      </c>
      <c r="OXU5" s="394" t="s">
        <v>89</v>
      </c>
      <c r="OXV5" s="394" t="s">
        <v>89</v>
      </c>
      <c r="OXW5" s="394" t="s">
        <v>89</v>
      </c>
      <c r="OXX5" s="394" t="s">
        <v>89</v>
      </c>
      <c r="OXY5" s="394" t="s">
        <v>89</v>
      </c>
      <c r="OXZ5" s="394" t="s">
        <v>89</v>
      </c>
      <c r="OYA5" s="394" t="s">
        <v>89</v>
      </c>
      <c r="OYB5" s="394" t="s">
        <v>89</v>
      </c>
      <c r="OYC5" s="394" t="s">
        <v>89</v>
      </c>
      <c r="OYD5" s="394" t="s">
        <v>89</v>
      </c>
      <c r="OYE5" s="394" t="s">
        <v>89</v>
      </c>
      <c r="OYF5" s="394" t="s">
        <v>89</v>
      </c>
      <c r="OYG5" s="394" t="s">
        <v>89</v>
      </c>
      <c r="OYH5" s="394" t="s">
        <v>89</v>
      </c>
      <c r="OYI5" s="394" t="s">
        <v>89</v>
      </c>
      <c r="OYJ5" s="394" t="s">
        <v>89</v>
      </c>
      <c r="OYK5" s="394" t="s">
        <v>89</v>
      </c>
      <c r="OYL5" s="394" t="s">
        <v>89</v>
      </c>
      <c r="OYM5" s="394" t="s">
        <v>89</v>
      </c>
      <c r="OYN5" s="394" t="s">
        <v>89</v>
      </c>
      <c r="OYO5" s="394" t="s">
        <v>89</v>
      </c>
      <c r="OYP5" s="394" t="s">
        <v>89</v>
      </c>
      <c r="OYQ5" s="394" t="s">
        <v>89</v>
      </c>
      <c r="OYR5" s="394" t="s">
        <v>89</v>
      </c>
      <c r="OYS5" s="394" t="s">
        <v>89</v>
      </c>
      <c r="OYT5" s="394" t="s">
        <v>89</v>
      </c>
      <c r="OYU5" s="394" t="s">
        <v>89</v>
      </c>
      <c r="OYV5" s="394" t="s">
        <v>89</v>
      </c>
      <c r="OYW5" s="394" t="s">
        <v>89</v>
      </c>
      <c r="OYX5" s="394" t="s">
        <v>89</v>
      </c>
      <c r="OYY5" s="394" t="s">
        <v>89</v>
      </c>
      <c r="OYZ5" s="394" t="s">
        <v>89</v>
      </c>
      <c r="OZA5" s="394" t="s">
        <v>89</v>
      </c>
      <c r="OZB5" s="394" t="s">
        <v>89</v>
      </c>
      <c r="OZC5" s="394" t="s">
        <v>89</v>
      </c>
      <c r="OZD5" s="394" t="s">
        <v>89</v>
      </c>
      <c r="OZE5" s="394" t="s">
        <v>89</v>
      </c>
      <c r="OZF5" s="394" t="s">
        <v>89</v>
      </c>
      <c r="OZG5" s="394" t="s">
        <v>89</v>
      </c>
      <c r="OZH5" s="394" t="s">
        <v>89</v>
      </c>
      <c r="OZI5" s="394" t="s">
        <v>89</v>
      </c>
      <c r="OZJ5" s="394" t="s">
        <v>89</v>
      </c>
      <c r="OZK5" s="394" t="s">
        <v>89</v>
      </c>
      <c r="OZL5" s="394" t="s">
        <v>89</v>
      </c>
      <c r="OZM5" s="394" t="s">
        <v>89</v>
      </c>
      <c r="OZN5" s="394" t="s">
        <v>89</v>
      </c>
      <c r="OZO5" s="394" t="s">
        <v>89</v>
      </c>
      <c r="OZP5" s="394" t="s">
        <v>89</v>
      </c>
      <c r="OZQ5" s="394" t="s">
        <v>89</v>
      </c>
      <c r="OZR5" s="394" t="s">
        <v>89</v>
      </c>
      <c r="OZS5" s="394" t="s">
        <v>89</v>
      </c>
      <c r="OZT5" s="394" t="s">
        <v>89</v>
      </c>
      <c r="OZU5" s="394" t="s">
        <v>89</v>
      </c>
      <c r="OZV5" s="394" t="s">
        <v>89</v>
      </c>
      <c r="OZW5" s="394" t="s">
        <v>89</v>
      </c>
      <c r="OZX5" s="394" t="s">
        <v>89</v>
      </c>
      <c r="OZY5" s="394" t="s">
        <v>89</v>
      </c>
      <c r="OZZ5" s="394" t="s">
        <v>89</v>
      </c>
      <c r="PAA5" s="394" t="s">
        <v>89</v>
      </c>
      <c r="PAB5" s="394" t="s">
        <v>89</v>
      </c>
      <c r="PAC5" s="394" t="s">
        <v>89</v>
      </c>
      <c r="PAD5" s="394" t="s">
        <v>89</v>
      </c>
      <c r="PAE5" s="394" t="s">
        <v>89</v>
      </c>
      <c r="PAF5" s="394" t="s">
        <v>89</v>
      </c>
      <c r="PAG5" s="394" t="s">
        <v>89</v>
      </c>
      <c r="PAH5" s="394" t="s">
        <v>89</v>
      </c>
      <c r="PAI5" s="394" t="s">
        <v>89</v>
      </c>
      <c r="PAJ5" s="394" t="s">
        <v>89</v>
      </c>
      <c r="PAK5" s="394" t="s">
        <v>89</v>
      </c>
      <c r="PAL5" s="394" t="s">
        <v>89</v>
      </c>
      <c r="PAM5" s="394" t="s">
        <v>89</v>
      </c>
      <c r="PAN5" s="394" t="s">
        <v>89</v>
      </c>
      <c r="PAO5" s="394" t="s">
        <v>89</v>
      </c>
      <c r="PAP5" s="394" t="s">
        <v>89</v>
      </c>
      <c r="PAQ5" s="394" t="s">
        <v>89</v>
      </c>
      <c r="PAR5" s="394" t="s">
        <v>89</v>
      </c>
      <c r="PAS5" s="394" t="s">
        <v>89</v>
      </c>
      <c r="PAT5" s="394" t="s">
        <v>89</v>
      </c>
      <c r="PAU5" s="394" t="s">
        <v>89</v>
      </c>
      <c r="PAV5" s="394" t="s">
        <v>89</v>
      </c>
      <c r="PAW5" s="394" t="s">
        <v>89</v>
      </c>
      <c r="PAX5" s="394" t="s">
        <v>89</v>
      </c>
      <c r="PAY5" s="394" t="s">
        <v>89</v>
      </c>
      <c r="PAZ5" s="394" t="s">
        <v>89</v>
      </c>
      <c r="PBA5" s="394" t="s">
        <v>89</v>
      </c>
      <c r="PBB5" s="394" t="s">
        <v>89</v>
      </c>
      <c r="PBC5" s="394" t="s">
        <v>89</v>
      </c>
      <c r="PBD5" s="394" t="s">
        <v>89</v>
      </c>
      <c r="PBE5" s="394" t="s">
        <v>89</v>
      </c>
      <c r="PBF5" s="394" t="s">
        <v>89</v>
      </c>
      <c r="PBG5" s="394" t="s">
        <v>89</v>
      </c>
      <c r="PBH5" s="394" t="s">
        <v>89</v>
      </c>
      <c r="PBI5" s="394" t="s">
        <v>89</v>
      </c>
      <c r="PBJ5" s="394" t="s">
        <v>89</v>
      </c>
      <c r="PBK5" s="394" t="s">
        <v>89</v>
      </c>
      <c r="PBL5" s="394" t="s">
        <v>89</v>
      </c>
      <c r="PBM5" s="394" t="s">
        <v>89</v>
      </c>
      <c r="PBN5" s="394" t="s">
        <v>89</v>
      </c>
      <c r="PBO5" s="394" t="s">
        <v>89</v>
      </c>
      <c r="PBP5" s="394" t="s">
        <v>89</v>
      </c>
      <c r="PBQ5" s="394" t="s">
        <v>89</v>
      </c>
      <c r="PBR5" s="394" t="s">
        <v>89</v>
      </c>
      <c r="PBS5" s="394" t="s">
        <v>89</v>
      </c>
      <c r="PBT5" s="394" t="s">
        <v>89</v>
      </c>
      <c r="PBU5" s="394" t="s">
        <v>89</v>
      </c>
      <c r="PBV5" s="394" t="s">
        <v>89</v>
      </c>
      <c r="PBW5" s="394" t="s">
        <v>89</v>
      </c>
      <c r="PBX5" s="394" t="s">
        <v>89</v>
      </c>
      <c r="PBY5" s="394" t="s">
        <v>89</v>
      </c>
      <c r="PBZ5" s="394" t="s">
        <v>89</v>
      </c>
      <c r="PCA5" s="394" t="s">
        <v>89</v>
      </c>
      <c r="PCB5" s="394" t="s">
        <v>89</v>
      </c>
      <c r="PCC5" s="394" t="s">
        <v>89</v>
      </c>
      <c r="PCD5" s="394" t="s">
        <v>89</v>
      </c>
      <c r="PCE5" s="394" t="s">
        <v>89</v>
      </c>
      <c r="PCF5" s="394" t="s">
        <v>89</v>
      </c>
      <c r="PCG5" s="394" t="s">
        <v>89</v>
      </c>
      <c r="PCH5" s="394" t="s">
        <v>89</v>
      </c>
      <c r="PCI5" s="394" t="s">
        <v>89</v>
      </c>
      <c r="PCJ5" s="394" t="s">
        <v>89</v>
      </c>
      <c r="PCK5" s="394" t="s">
        <v>89</v>
      </c>
      <c r="PCL5" s="394" t="s">
        <v>89</v>
      </c>
      <c r="PCM5" s="394" t="s">
        <v>89</v>
      </c>
      <c r="PCN5" s="394" t="s">
        <v>89</v>
      </c>
      <c r="PCO5" s="394" t="s">
        <v>89</v>
      </c>
      <c r="PCP5" s="394" t="s">
        <v>89</v>
      </c>
      <c r="PCQ5" s="394" t="s">
        <v>89</v>
      </c>
      <c r="PCR5" s="394" t="s">
        <v>89</v>
      </c>
      <c r="PCS5" s="394" t="s">
        <v>89</v>
      </c>
      <c r="PCT5" s="394" t="s">
        <v>89</v>
      </c>
      <c r="PCU5" s="394" t="s">
        <v>89</v>
      </c>
      <c r="PCV5" s="394" t="s">
        <v>89</v>
      </c>
      <c r="PCW5" s="394" t="s">
        <v>89</v>
      </c>
      <c r="PCX5" s="394" t="s">
        <v>89</v>
      </c>
      <c r="PCY5" s="394" t="s">
        <v>89</v>
      </c>
      <c r="PCZ5" s="394" t="s">
        <v>89</v>
      </c>
      <c r="PDA5" s="394" t="s">
        <v>89</v>
      </c>
      <c r="PDB5" s="394" t="s">
        <v>89</v>
      </c>
      <c r="PDC5" s="394" t="s">
        <v>89</v>
      </c>
      <c r="PDD5" s="394" t="s">
        <v>89</v>
      </c>
      <c r="PDE5" s="394" t="s">
        <v>89</v>
      </c>
      <c r="PDF5" s="394" t="s">
        <v>89</v>
      </c>
      <c r="PDG5" s="394" t="s">
        <v>89</v>
      </c>
      <c r="PDH5" s="394" t="s">
        <v>89</v>
      </c>
      <c r="PDI5" s="394" t="s">
        <v>89</v>
      </c>
      <c r="PDJ5" s="394" t="s">
        <v>89</v>
      </c>
      <c r="PDK5" s="394" t="s">
        <v>89</v>
      </c>
      <c r="PDL5" s="394" t="s">
        <v>89</v>
      </c>
      <c r="PDM5" s="394" t="s">
        <v>89</v>
      </c>
      <c r="PDN5" s="394" t="s">
        <v>89</v>
      </c>
      <c r="PDO5" s="394" t="s">
        <v>89</v>
      </c>
      <c r="PDP5" s="394" t="s">
        <v>89</v>
      </c>
      <c r="PDQ5" s="394" t="s">
        <v>89</v>
      </c>
      <c r="PDR5" s="394" t="s">
        <v>89</v>
      </c>
      <c r="PDS5" s="394" t="s">
        <v>89</v>
      </c>
      <c r="PDT5" s="394" t="s">
        <v>89</v>
      </c>
      <c r="PDU5" s="394" t="s">
        <v>89</v>
      </c>
      <c r="PDV5" s="394" t="s">
        <v>89</v>
      </c>
      <c r="PDW5" s="394" t="s">
        <v>89</v>
      </c>
      <c r="PDX5" s="394" t="s">
        <v>89</v>
      </c>
      <c r="PDY5" s="394" t="s">
        <v>89</v>
      </c>
      <c r="PDZ5" s="394" t="s">
        <v>89</v>
      </c>
      <c r="PEA5" s="394" t="s">
        <v>89</v>
      </c>
      <c r="PEB5" s="394" t="s">
        <v>89</v>
      </c>
      <c r="PEC5" s="394" t="s">
        <v>89</v>
      </c>
      <c r="PED5" s="394" t="s">
        <v>89</v>
      </c>
      <c r="PEE5" s="394" t="s">
        <v>89</v>
      </c>
      <c r="PEF5" s="394" t="s">
        <v>89</v>
      </c>
      <c r="PEG5" s="394" t="s">
        <v>89</v>
      </c>
      <c r="PEH5" s="394" t="s">
        <v>89</v>
      </c>
      <c r="PEI5" s="394" t="s">
        <v>89</v>
      </c>
      <c r="PEJ5" s="394" t="s">
        <v>89</v>
      </c>
      <c r="PEK5" s="394" t="s">
        <v>89</v>
      </c>
      <c r="PEL5" s="394" t="s">
        <v>89</v>
      </c>
      <c r="PEM5" s="394" t="s">
        <v>89</v>
      </c>
      <c r="PEN5" s="394" t="s">
        <v>89</v>
      </c>
      <c r="PEO5" s="394" t="s">
        <v>89</v>
      </c>
      <c r="PEP5" s="394" t="s">
        <v>89</v>
      </c>
      <c r="PEQ5" s="394" t="s">
        <v>89</v>
      </c>
      <c r="PER5" s="394" t="s">
        <v>89</v>
      </c>
      <c r="PES5" s="394" t="s">
        <v>89</v>
      </c>
      <c r="PET5" s="394" t="s">
        <v>89</v>
      </c>
      <c r="PEU5" s="394" t="s">
        <v>89</v>
      </c>
      <c r="PEV5" s="394" t="s">
        <v>89</v>
      </c>
      <c r="PEW5" s="394" t="s">
        <v>89</v>
      </c>
      <c r="PEX5" s="394" t="s">
        <v>89</v>
      </c>
      <c r="PEY5" s="394" t="s">
        <v>89</v>
      </c>
      <c r="PEZ5" s="394" t="s">
        <v>89</v>
      </c>
      <c r="PFA5" s="394" t="s">
        <v>89</v>
      </c>
      <c r="PFB5" s="394" t="s">
        <v>89</v>
      </c>
      <c r="PFC5" s="394" t="s">
        <v>89</v>
      </c>
      <c r="PFD5" s="394" t="s">
        <v>89</v>
      </c>
      <c r="PFE5" s="394" t="s">
        <v>89</v>
      </c>
      <c r="PFF5" s="394" t="s">
        <v>89</v>
      </c>
      <c r="PFG5" s="394" t="s">
        <v>89</v>
      </c>
      <c r="PFH5" s="394" t="s">
        <v>89</v>
      </c>
      <c r="PFI5" s="394" t="s">
        <v>89</v>
      </c>
      <c r="PFJ5" s="394" t="s">
        <v>89</v>
      </c>
      <c r="PFK5" s="394" t="s">
        <v>89</v>
      </c>
      <c r="PFL5" s="394" t="s">
        <v>89</v>
      </c>
      <c r="PFM5" s="394" t="s">
        <v>89</v>
      </c>
      <c r="PFN5" s="394" t="s">
        <v>89</v>
      </c>
      <c r="PFO5" s="394" t="s">
        <v>89</v>
      </c>
      <c r="PFP5" s="394" t="s">
        <v>89</v>
      </c>
      <c r="PFQ5" s="394" t="s">
        <v>89</v>
      </c>
      <c r="PFR5" s="394" t="s">
        <v>89</v>
      </c>
      <c r="PFS5" s="394" t="s">
        <v>89</v>
      </c>
      <c r="PFT5" s="394" t="s">
        <v>89</v>
      </c>
      <c r="PFU5" s="394" t="s">
        <v>89</v>
      </c>
      <c r="PFV5" s="394" t="s">
        <v>89</v>
      </c>
      <c r="PFW5" s="394" t="s">
        <v>89</v>
      </c>
      <c r="PFX5" s="394" t="s">
        <v>89</v>
      </c>
      <c r="PFY5" s="394" t="s">
        <v>89</v>
      </c>
      <c r="PFZ5" s="394" t="s">
        <v>89</v>
      </c>
      <c r="PGA5" s="394" t="s">
        <v>89</v>
      </c>
      <c r="PGB5" s="394" t="s">
        <v>89</v>
      </c>
      <c r="PGC5" s="394" t="s">
        <v>89</v>
      </c>
      <c r="PGD5" s="394" t="s">
        <v>89</v>
      </c>
      <c r="PGE5" s="394" t="s">
        <v>89</v>
      </c>
      <c r="PGF5" s="394" t="s">
        <v>89</v>
      </c>
      <c r="PGG5" s="394" t="s">
        <v>89</v>
      </c>
      <c r="PGH5" s="394" t="s">
        <v>89</v>
      </c>
      <c r="PGI5" s="394" t="s">
        <v>89</v>
      </c>
      <c r="PGJ5" s="394" t="s">
        <v>89</v>
      </c>
      <c r="PGK5" s="394" t="s">
        <v>89</v>
      </c>
      <c r="PGL5" s="394" t="s">
        <v>89</v>
      </c>
      <c r="PGM5" s="394" t="s">
        <v>89</v>
      </c>
      <c r="PGN5" s="394" t="s">
        <v>89</v>
      </c>
      <c r="PGO5" s="394" t="s">
        <v>89</v>
      </c>
      <c r="PGP5" s="394" t="s">
        <v>89</v>
      </c>
      <c r="PGQ5" s="394" t="s">
        <v>89</v>
      </c>
      <c r="PGR5" s="394" t="s">
        <v>89</v>
      </c>
      <c r="PGS5" s="394" t="s">
        <v>89</v>
      </c>
      <c r="PGT5" s="394" t="s">
        <v>89</v>
      </c>
      <c r="PGU5" s="394" t="s">
        <v>89</v>
      </c>
      <c r="PGV5" s="394" t="s">
        <v>89</v>
      </c>
      <c r="PGW5" s="394" t="s">
        <v>89</v>
      </c>
      <c r="PGX5" s="394" t="s">
        <v>89</v>
      </c>
      <c r="PGY5" s="394" t="s">
        <v>89</v>
      </c>
      <c r="PGZ5" s="394" t="s">
        <v>89</v>
      </c>
      <c r="PHA5" s="394" t="s">
        <v>89</v>
      </c>
      <c r="PHB5" s="394" t="s">
        <v>89</v>
      </c>
      <c r="PHC5" s="394" t="s">
        <v>89</v>
      </c>
      <c r="PHD5" s="394" t="s">
        <v>89</v>
      </c>
      <c r="PHE5" s="394" t="s">
        <v>89</v>
      </c>
      <c r="PHF5" s="394" t="s">
        <v>89</v>
      </c>
      <c r="PHG5" s="394" t="s">
        <v>89</v>
      </c>
      <c r="PHH5" s="394" t="s">
        <v>89</v>
      </c>
      <c r="PHI5" s="394" t="s">
        <v>89</v>
      </c>
      <c r="PHJ5" s="394" t="s">
        <v>89</v>
      </c>
      <c r="PHK5" s="394" t="s">
        <v>89</v>
      </c>
      <c r="PHL5" s="394" t="s">
        <v>89</v>
      </c>
      <c r="PHM5" s="394" t="s">
        <v>89</v>
      </c>
      <c r="PHN5" s="394" t="s">
        <v>89</v>
      </c>
      <c r="PHO5" s="394" t="s">
        <v>89</v>
      </c>
      <c r="PHP5" s="394" t="s">
        <v>89</v>
      </c>
      <c r="PHQ5" s="394" t="s">
        <v>89</v>
      </c>
      <c r="PHR5" s="394" t="s">
        <v>89</v>
      </c>
      <c r="PHS5" s="394" t="s">
        <v>89</v>
      </c>
      <c r="PHT5" s="394" t="s">
        <v>89</v>
      </c>
      <c r="PHU5" s="394" t="s">
        <v>89</v>
      </c>
      <c r="PHV5" s="394" t="s">
        <v>89</v>
      </c>
      <c r="PHW5" s="394" t="s">
        <v>89</v>
      </c>
      <c r="PHX5" s="394" t="s">
        <v>89</v>
      </c>
      <c r="PHY5" s="394" t="s">
        <v>89</v>
      </c>
      <c r="PHZ5" s="394" t="s">
        <v>89</v>
      </c>
      <c r="PIA5" s="394" t="s">
        <v>89</v>
      </c>
      <c r="PIB5" s="394" t="s">
        <v>89</v>
      </c>
      <c r="PIC5" s="394" t="s">
        <v>89</v>
      </c>
      <c r="PID5" s="394" t="s">
        <v>89</v>
      </c>
      <c r="PIE5" s="394" t="s">
        <v>89</v>
      </c>
      <c r="PIF5" s="394" t="s">
        <v>89</v>
      </c>
      <c r="PIG5" s="394" t="s">
        <v>89</v>
      </c>
      <c r="PIH5" s="394" t="s">
        <v>89</v>
      </c>
      <c r="PII5" s="394" t="s">
        <v>89</v>
      </c>
      <c r="PIJ5" s="394" t="s">
        <v>89</v>
      </c>
      <c r="PIK5" s="394" t="s">
        <v>89</v>
      </c>
      <c r="PIL5" s="394" t="s">
        <v>89</v>
      </c>
      <c r="PIM5" s="394" t="s">
        <v>89</v>
      </c>
      <c r="PIN5" s="394" t="s">
        <v>89</v>
      </c>
      <c r="PIO5" s="394" t="s">
        <v>89</v>
      </c>
      <c r="PIP5" s="394" t="s">
        <v>89</v>
      </c>
      <c r="PIQ5" s="394" t="s">
        <v>89</v>
      </c>
      <c r="PIR5" s="394" t="s">
        <v>89</v>
      </c>
      <c r="PIS5" s="394" t="s">
        <v>89</v>
      </c>
      <c r="PIT5" s="394" t="s">
        <v>89</v>
      </c>
      <c r="PIU5" s="394" t="s">
        <v>89</v>
      </c>
      <c r="PIV5" s="394" t="s">
        <v>89</v>
      </c>
      <c r="PIW5" s="394" t="s">
        <v>89</v>
      </c>
      <c r="PIX5" s="394" t="s">
        <v>89</v>
      </c>
      <c r="PIY5" s="394" t="s">
        <v>89</v>
      </c>
      <c r="PIZ5" s="394" t="s">
        <v>89</v>
      </c>
      <c r="PJA5" s="394" t="s">
        <v>89</v>
      </c>
      <c r="PJB5" s="394" t="s">
        <v>89</v>
      </c>
      <c r="PJC5" s="394" t="s">
        <v>89</v>
      </c>
      <c r="PJD5" s="394" t="s">
        <v>89</v>
      </c>
      <c r="PJE5" s="394" t="s">
        <v>89</v>
      </c>
      <c r="PJF5" s="394" t="s">
        <v>89</v>
      </c>
      <c r="PJG5" s="394" t="s">
        <v>89</v>
      </c>
      <c r="PJH5" s="394" t="s">
        <v>89</v>
      </c>
      <c r="PJI5" s="394" t="s">
        <v>89</v>
      </c>
      <c r="PJJ5" s="394" t="s">
        <v>89</v>
      </c>
      <c r="PJK5" s="394" t="s">
        <v>89</v>
      </c>
      <c r="PJL5" s="394" t="s">
        <v>89</v>
      </c>
      <c r="PJM5" s="394" t="s">
        <v>89</v>
      </c>
      <c r="PJN5" s="394" t="s">
        <v>89</v>
      </c>
      <c r="PJO5" s="394" t="s">
        <v>89</v>
      </c>
      <c r="PJP5" s="394" t="s">
        <v>89</v>
      </c>
      <c r="PJQ5" s="394" t="s">
        <v>89</v>
      </c>
      <c r="PJR5" s="394" t="s">
        <v>89</v>
      </c>
      <c r="PJS5" s="394" t="s">
        <v>89</v>
      </c>
      <c r="PJT5" s="394" t="s">
        <v>89</v>
      </c>
      <c r="PJU5" s="394" t="s">
        <v>89</v>
      </c>
      <c r="PJV5" s="394" t="s">
        <v>89</v>
      </c>
      <c r="PJW5" s="394" t="s">
        <v>89</v>
      </c>
      <c r="PJX5" s="394" t="s">
        <v>89</v>
      </c>
      <c r="PJY5" s="394" t="s">
        <v>89</v>
      </c>
      <c r="PJZ5" s="394" t="s">
        <v>89</v>
      </c>
      <c r="PKA5" s="394" t="s">
        <v>89</v>
      </c>
      <c r="PKB5" s="394" t="s">
        <v>89</v>
      </c>
      <c r="PKC5" s="394" t="s">
        <v>89</v>
      </c>
      <c r="PKD5" s="394" t="s">
        <v>89</v>
      </c>
      <c r="PKE5" s="394" t="s">
        <v>89</v>
      </c>
      <c r="PKF5" s="394" t="s">
        <v>89</v>
      </c>
      <c r="PKG5" s="394" t="s">
        <v>89</v>
      </c>
      <c r="PKH5" s="394" t="s">
        <v>89</v>
      </c>
      <c r="PKI5" s="394" t="s">
        <v>89</v>
      </c>
      <c r="PKJ5" s="394" t="s">
        <v>89</v>
      </c>
      <c r="PKK5" s="394" t="s">
        <v>89</v>
      </c>
      <c r="PKL5" s="394" t="s">
        <v>89</v>
      </c>
      <c r="PKM5" s="394" t="s">
        <v>89</v>
      </c>
      <c r="PKN5" s="394" t="s">
        <v>89</v>
      </c>
      <c r="PKO5" s="394" t="s">
        <v>89</v>
      </c>
      <c r="PKP5" s="394" t="s">
        <v>89</v>
      </c>
      <c r="PKQ5" s="394" t="s">
        <v>89</v>
      </c>
      <c r="PKR5" s="394" t="s">
        <v>89</v>
      </c>
      <c r="PKS5" s="394" t="s">
        <v>89</v>
      </c>
      <c r="PKT5" s="394" t="s">
        <v>89</v>
      </c>
      <c r="PKU5" s="394" t="s">
        <v>89</v>
      </c>
      <c r="PKV5" s="394" t="s">
        <v>89</v>
      </c>
      <c r="PKW5" s="394" t="s">
        <v>89</v>
      </c>
      <c r="PKX5" s="394" t="s">
        <v>89</v>
      </c>
      <c r="PKY5" s="394" t="s">
        <v>89</v>
      </c>
      <c r="PKZ5" s="394" t="s">
        <v>89</v>
      </c>
      <c r="PLA5" s="394" t="s">
        <v>89</v>
      </c>
      <c r="PLB5" s="394" t="s">
        <v>89</v>
      </c>
      <c r="PLC5" s="394" t="s">
        <v>89</v>
      </c>
      <c r="PLD5" s="394" t="s">
        <v>89</v>
      </c>
      <c r="PLE5" s="394" t="s">
        <v>89</v>
      </c>
      <c r="PLF5" s="394" t="s">
        <v>89</v>
      </c>
      <c r="PLG5" s="394" t="s">
        <v>89</v>
      </c>
      <c r="PLH5" s="394" t="s">
        <v>89</v>
      </c>
      <c r="PLI5" s="394" t="s">
        <v>89</v>
      </c>
      <c r="PLJ5" s="394" t="s">
        <v>89</v>
      </c>
      <c r="PLK5" s="394" t="s">
        <v>89</v>
      </c>
      <c r="PLL5" s="394" t="s">
        <v>89</v>
      </c>
      <c r="PLM5" s="394" t="s">
        <v>89</v>
      </c>
      <c r="PLN5" s="394" t="s">
        <v>89</v>
      </c>
      <c r="PLO5" s="394" t="s">
        <v>89</v>
      </c>
      <c r="PLP5" s="394" t="s">
        <v>89</v>
      </c>
      <c r="PLQ5" s="394" t="s">
        <v>89</v>
      </c>
      <c r="PLR5" s="394" t="s">
        <v>89</v>
      </c>
      <c r="PLS5" s="394" t="s">
        <v>89</v>
      </c>
      <c r="PLT5" s="394" t="s">
        <v>89</v>
      </c>
      <c r="PLU5" s="394" t="s">
        <v>89</v>
      </c>
      <c r="PLV5" s="394" t="s">
        <v>89</v>
      </c>
      <c r="PLW5" s="394" t="s">
        <v>89</v>
      </c>
      <c r="PLX5" s="394" t="s">
        <v>89</v>
      </c>
      <c r="PLY5" s="394" t="s">
        <v>89</v>
      </c>
      <c r="PLZ5" s="394" t="s">
        <v>89</v>
      </c>
      <c r="PMA5" s="394" t="s">
        <v>89</v>
      </c>
      <c r="PMB5" s="394" t="s">
        <v>89</v>
      </c>
      <c r="PMC5" s="394" t="s">
        <v>89</v>
      </c>
      <c r="PMD5" s="394" t="s">
        <v>89</v>
      </c>
      <c r="PME5" s="394" t="s">
        <v>89</v>
      </c>
      <c r="PMF5" s="394" t="s">
        <v>89</v>
      </c>
      <c r="PMG5" s="394" t="s">
        <v>89</v>
      </c>
      <c r="PMH5" s="394" t="s">
        <v>89</v>
      </c>
      <c r="PMI5" s="394" t="s">
        <v>89</v>
      </c>
      <c r="PMJ5" s="394" t="s">
        <v>89</v>
      </c>
      <c r="PMK5" s="394" t="s">
        <v>89</v>
      </c>
      <c r="PML5" s="394" t="s">
        <v>89</v>
      </c>
      <c r="PMM5" s="394" t="s">
        <v>89</v>
      </c>
      <c r="PMN5" s="394" t="s">
        <v>89</v>
      </c>
      <c r="PMO5" s="394" t="s">
        <v>89</v>
      </c>
      <c r="PMP5" s="394" t="s">
        <v>89</v>
      </c>
      <c r="PMQ5" s="394" t="s">
        <v>89</v>
      </c>
      <c r="PMR5" s="394" t="s">
        <v>89</v>
      </c>
      <c r="PMS5" s="394" t="s">
        <v>89</v>
      </c>
      <c r="PMT5" s="394" t="s">
        <v>89</v>
      </c>
      <c r="PMU5" s="394" t="s">
        <v>89</v>
      </c>
      <c r="PMV5" s="394" t="s">
        <v>89</v>
      </c>
      <c r="PMW5" s="394" t="s">
        <v>89</v>
      </c>
      <c r="PMX5" s="394" t="s">
        <v>89</v>
      </c>
      <c r="PMY5" s="394" t="s">
        <v>89</v>
      </c>
      <c r="PMZ5" s="394" t="s">
        <v>89</v>
      </c>
      <c r="PNA5" s="394" t="s">
        <v>89</v>
      </c>
      <c r="PNB5" s="394" t="s">
        <v>89</v>
      </c>
      <c r="PNC5" s="394" t="s">
        <v>89</v>
      </c>
      <c r="PND5" s="394" t="s">
        <v>89</v>
      </c>
      <c r="PNE5" s="394" t="s">
        <v>89</v>
      </c>
      <c r="PNF5" s="394" t="s">
        <v>89</v>
      </c>
      <c r="PNG5" s="394" t="s">
        <v>89</v>
      </c>
      <c r="PNH5" s="394" t="s">
        <v>89</v>
      </c>
      <c r="PNI5" s="394" t="s">
        <v>89</v>
      </c>
      <c r="PNJ5" s="394" t="s">
        <v>89</v>
      </c>
      <c r="PNK5" s="394" t="s">
        <v>89</v>
      </c>
      <c r="PNL5" s="394" t="s">
        <v>89</v>
      </c>
      <c r="PNM5" s="394" t="s">
        <v>89</v>
      </c>
      <c r="PNN5" s="394" t="s">
        <v>89</v>
      </c>
      <c r="PNO5" s="394" t="s">
        <v>89</v>
      </c>
      <c r="PNP5" s="394" t="s">
        <v>89</v>
      </c>
      <c r="PNQ5" s="394" t="s">
        <v>89</v>
      </c>
      <c r="PNR5" s="394" t="s">
        <v>89</v>
      </c>
      <c r="PNS5" s="394" t="s">
        <v>89</v>
      </c>
      <c r="PNT5" s="394" t="s">
        <v>89</v>
      </c>
      <c r="PNU5" s="394" t="s">
        <v>89</v>
      </c>
      <c r="PNV5" s="394" t="s">
        <v>89</v>
      </c>
      <c r="PNW5" s="394" t="s">
        <v>89</v>
      </c>
      <c r="PNX5" s="394" t="s">
        <v>89</v>
      </c>
      <c r="PNY5" s="394" t="s">
        <v>89</v>
      </c>
      <c r="PNZ5" s="394" t="s">
        <v>89</v>
      </c>
      <c r="POA5" s="394" t="s">
        <v>89</v>
      </c>
      <c r="POB5" s="394" t="s">
        <v>89</v>
      </c>
      <c r="POC5" s="394" t="s">
        <v>89</v>
      </c>
      <c r="POD5" s="394" t="s">
        <v>89</v>
      </c>
      <c r="POE5" s="394" t="s">
        <v>89</v>
      </c>
      <c r="POF5" s="394" t="s">
        <v>89</v>
      </c>
      <c r="POG5" s="394" t="s">
        <v>89</v>
      </c>
      <c r="POH5" s="394" t="s">
        <v>89</v>
      </c>
      <c r="POI5" s="394" t="s">
        <v>89</v>
      </c>
      <c r="POJ5" s="394" t="s">
        <v>89</v>
      </c>
      <c r="POK5" s="394" t="s">
        <v>89</v>
      </c>
      <c r="POL5" s="394" t="s">
        <v>89</v>
      </c>
      <c r="POM5" s="394" t="s">
        <v>89</v>
      </c>
      <c r="PON5" s="394" t="s">
        <v>89</v>
      </c>
      <c r="POO5" s="394" t="s">
        <v>89</v>
      </c>
      <c r="POP5" s="394" t="s">
        <v>89</v>
      </c>
      <c r="POQ5" s="394" t="s">
        <v>89</v>
      </c>
      <c r="POR5" s="394" t="s">
        <v>89</v>
      </c>
      <c r="POS5" s="394" t="s">
        <v>89</v>
      </c>
      <c r="POT5" s="394" t="s">
        <v>89</v>
      </c>
      <c r="POU5" s="394" t="s">
        <v>89</v>
      </c>
      <c r="POV5" s="394" t="s">
        <v>89</v>
      </c>
      <c r="POW5" s="394" t="s">
        <v>89</v>
      </c>
      <c r="POX5" s="394" t="s">
        <v>89</v>
      </c>
      <c r="POY5" s="394" t="s">
        <v>89</v>
      </c>
      <c r="POZ5" s="394" t="s">
        <v>89</v>
      </c>
      <c r="PPA5" s="394" t="s">
        <v>89</v>
      </c>
      <c r="PPB5" s="394" t="s">
        <v>89</v>
      </c>
      <c r="PPC5" s="394" t="s">
        <v>89</v>
      </c>
      <c r="PPD5" s="394" t="s">
        <v>89</v>
      </c>
      <c r="PPE5" s="394" t="s">
        <v>89</v>
      </c>
      <c r="PPF5" s="394" t="s">
        <v>89</v>
      </c>
      <c r="PPG5" s="394" t="s">
        <v>89</v>
      </c>
      <c r="PPH5" s="394" t="s">
        <v>89</v>
      </c>
      <c r="PPI5" s="394" t="s">
        <v>89</v>
      </c>
      <c r="PPJ5" s="394" t="s">
        <v>89</v>
      </c>
      <c r="PPK5" s="394" t="s">
        <v>89</v>
      </c>
      <c r="PPL5" s="394" t="s">
        <v>89</v>
      </c>
      <c r="PPM5" s="394" t="s">
        <v>89</v>
      </c>
      <c r="PPN5" s="394" t="s">
        <v>89</v>
      </c>
      <c r="PPO5" s="394" t="s">
        <v>89</v>
      </c>
      <c r="PPP5" s="394" t="s">
        <v>89</v>
      </c>
      <c r="PPQ5" s="394" t="s">
        <v>89</v>
      </c>
      <c r="PPR5" s="394" t="s">
        <v>89</v>
      </c>
      <c r="PPS5" s="394" t="s">
        <v>89</v>
      </c>
      <c r="PPT5" s="394" t="s">
        <v>89</v>
      </c>
      <c r="PPU5" s="394" t="s">
        <v>89</v>
      </c>
      <c r="PPV5" s="394" t="s">
        <v>89</v>
      </c>
      <c r="PPW5" s="394" t="s">
        <v>89</v>
      </c>
      <c r="PPX5" s="394" t="s">
        <v>89</v>
      </c>
      <c r="PPY5" s="394" t="s">
        <v>89</v>
      </c>
      <c r="PPZ5" s="394" t="s">
        <v>89</v>
      </c>
      <c r="PQA5" s="394" t="s">
        <v>89</v>
      </c>
      <c r="PQB5" s="394" t="s">
        <v>89</v>
      </c>
      <c r="PQC5" s="394" t="s">
        <v>89</v>
      </c>
      <c r="PQD5" s="394" t="s">
        <v>89</v>
      </c>
      <c r="PQE5" s="394" t="s">
        <v>89</v>
      </c>
      <c r="PQF5" s="394" t="s">
        <v>89</v>
      </c>
      <c r="PQG5" s="394" t="s">
        <v>89</v>
      </c>
      <c r="PQH5" s="394" t="s">
        <v>89</v>
      </c>
      <c r="PQI5" s="394" t="s">
        <v>89</v>
      </c>
      <c r="PQJ5" s="394" t="s">
        <v>89</v>
      </c>
      <c r="PQK5" s="394" t="s">
        <v>89</v>
      </c>
      <c r="PQL5" s="394" t="s">
        <v>89</v>
      </c>
      <c r="PQM5" s="394" t="s">
        <v>89</v>
      </c>
      <c r="PQN5" s="394" t="s">
        <v>89</v>
      </c>
      <c r="PQO5" s="394" t="s">
        <v>89</v>
      </c>
      <c r="PQP5" s="394" t="s">
        <v>89</v>
      </c>
      <c r="PQQ5" s="394" t="s">
        <v>89</v>
      </c>
      <c r="PQR5" s="394" t="s">
        <v>89</v>
      </c>
      <c r="PQS5" s="394" t="s">
        <v>89</v>
      </c>
      <c r="PQT5" s="394" t="s">
        <v>89</v>
      </c>
      <c r="PQU5" s="394" t="s">
        <v>89</v>
      </c>
      <c r="PQV5" s="394" t="s">
        <v>89</v>
      </c>
      <c r="PQW5" s="394" t="s">
        <v>89</v>
      </c>
      <c r="PQX5" s="394" t="s">
        <v>89</v>
      </c>
      <c r="PQY5" s="394" t="s">
        <v>89</v>
      </c>
      <c r="PQZ5" s="394" t="s">
        <v>89</v>
      </c>
      <c r="PRA5" s="394" t="s">
        <v>89</v>
      </c>
      <c r="PRB5" s="394" t="s">
        <v>89</v>
      </c>
      <c r="PRC5" s="394" t="s">
        <v>89</v>
      </c>
      <c r="PRD5" s="394" t="s">
        <v>89</v>
      </c>
      <c r="PRE5" s="394" t="s">
        <v>89</v>
      </c>
      <c r="PRF5" s="394" t="s">
        <v>89</v>
      </c>
      <c r="PRG5" s="394" t="s">
        <v>89</v>
      </c>
      <c r="PRH5" s="394" t="s">
        <v>89</v>
      </c>
      <c r="PRI5" s="394" t="s">
        <v>89</v>
      </c>
      <c r="PRJ5" s="394" t="s">
        <v>89</v>
      </c>
      <c r="PRK5" s="394" t="s">
        <v>89</v>
      </c>
      <c r="PRL5" s="394" t="s">
        <v>89</v>
      </c>
      <c r="PRM5" s="394" t="s">
        <v>89</v>
      </c>
      <c r="PRN5" s="394" t="s">
        <v>89</v>
      </c>
      <c r="PRO5" s="394" t="s">
        <v>89</v>
      </c>
      <c r="PRP5" s="394" t="s">
        <v>89</v>
      </c>
      <c r="PRQ5" s="394" t="s">
        <v>89</v>
      </c>
      <c r="PRR5" s="394" t="s">
        <v>89</v>
      </c>
      <c r="PRS5" s="394" t="s">
        <v>89</v>
      </c>
      <c r="PRT5" s="394" t="s">
        <v>89</v>
      </c>
      <c r="PRU5" s="394" t="s">
        <v>89</v>
      </c>
      <c r="PRV5" s="394" t="s">
        <v>89</v>
      </c>
      <c r="PRW5" s="394" t="s">
        <v>89</v>
      </c>
      <c r="PRX5" s="394" t="s">
        <v>89</v>
      </c>
      <c r="PRY5" s="394" t="s">
        <v>89</v>
      </c>
      <c r="PRZ5" s="394" t="s">
        <v>89</v>
      </c>
      <c r="PSA5" s="394" t="s">
        <v>89</v>
      </c>
      <c r="PSB5" s="394" t="s">
        <v>89</v>
      </c>
      <c r="PSC5" s="394" t="s">
        <v>89</v>
      </c>
      <c r="PSD5" s="394" t="s">
        <v>89</v>
      </c>
      <c r="PSE5" s="394" t="s">
        <v>89</v>
      </c>
      <c r="PSF5" s="394" t="s">
        <v>89</v>
      </c>
      <c r="PSG5" s="394" t="s">
        <v>89</v>
      </c>
      <c r="PSH5" s="394" t="s">
        <v>89</v>
      </c>
      <c r="PSI5" s="394" t="s">
        <v>89</v>
      </c>
      <c r="PSJ5" s="394" t="s">
        <v>89</v>
      </c>
      <c r="PSK5" s="394" t="s">
        <v>89</v>
      </c>
      <c r="PSL5" s="394" t="s">
        <v>89</v>
      </c>
      <c r="PSM5" s="394" t="s">
        <v>89</v>
      </c>
      <c r="PSN5" s="394" t="s">
        <v>89</v>
      </c>
      <c r="PSO5" s="394" t="s">
        <v>89</v>
      </c>
      <c r="PSP5" s="394" t="s">
        <v>89</v>
      </c>
      <c r="PSQ5" s="394" t="s">
        <v>89</v>
      </c>
      <c r="PSR5" s="394" t="s">
        <v>89</v>
      </c>
      <c r="PSS5" s="394" t="s">
        <v>89</v>
      </c>
      <c r="PST5" s="394" t="s">
        <v>89</v>
      </c>
      <c r="PSU5" s="394" t="s">
        <v>89</v>
      </c>
      <c r="PSV5" s="394" t="s">
        <v>89</v>
      </c>
      <c r="PSW5" s="394" t="s">
        <v>89</v>
      </c>
      <c r="PSX5" s="394" t="s">
        <v>89</v>
      </c>
      <c r="PSY5" s="394" t="s">
        <v>89</v>
      </c>
      <c r="PSZ5" s="394" t="s">
        <v>89</v>
      </c>
      <c r="PTA5" s="394" t="s">
        <v>89</v>
      </c>
      <c r="PTB5" s="394" t="s">
        <v>89</v>
      </c>
      <c r="PTC5" s="394" t="s">
        <v>89</v>
      </c>
      <c r="PTD5" s="394" t="s">
        <v>89</v>
      </c>
      <c r="PTE5" s="394" t="s">
        <v>89</v>
      </c>
      <c r="PTF5" s="394" t="s">
        <v>89</v>
      </c>
      <c r="PTG5" s="394" t="s">
        <v>89</v>
      </c>
      <c r="PTH5" s="394" t="s">
        <v>89</v>
      </c>
      <c r="PTI5" s="394" t="s">
        <v>89</v>
      </c>
      <c r="PTJ5" s="394" t="s">
        <v>89</v>
      </c>
      <c r="PTK5" s="394" t="s">
        <v>89</v>
      </c>
      <c r="PTL5" s="394" t="s">
        <v>89</v>
      </c>
      <c r="PTM5" s="394" t="s">
        <v>89</v>
      </c>
      <c r="PTN5" s="394" t="s">
        <v>89</v>
      </c>
      <c r="PTO5" s="394" t="s">
        <v>89</v>
      </c>
      <c r="PTP5" s="394" t="s">
        <v>89</v>
      </c>
      <c r="PTQ5" s="394" t="s">
        <v>89</v>
      </c>
      <c r="PTR5" s="394" t="s">
        <v>89</v>
      </c>
      <c r="PTS5" s="394" t="s">
        <v>89</v>
      </c>
      <c r="PTT5" s="394" t="s">
        <v>89</v>
      </c>
      <c r="PTU5" s="394" t="s">
        <v>89</v>
      </c>
      <c r="PTV5" s="394" t="s">
        <v>89</v>
      </c>
      <c r="PTW5" s="394" t="s">
        <v>89</v>
      </c>
      <c r="PTX5" s="394" t="s">
        <v>89</v>
      </c>
      <c r="PTY5" s="394" t="s">
        <v>89</v>
      </c>
      <c r="PTZ5" s="394" t="s">
        <v>89</v>
      </c>
      <c r="PUA5" s="394" t="s">
        <v>89</v>
      </c>
      <c r="PUB5" s="394" t="s">
        <v>89</v>
      </c>
      <c r="PUC5" s="394" t="s">
        <v>89</v>
      </c>
      <c r="PUD5" s="394" t="s">
        <v>89</v>
      </c>
      <c r="PUE5" s="394" t="s">
        <v>89</v>
      </c>
      <c r="PUF5" s="394" t="s">
        <v>89</v>
      </c>
      <c r="PUG5" s="394" t="s">
        <v>89</v>
      </c>
      <c r="PUH5" s="394" t="s">
        <v>89</v>
      </c>
      <c r="PUI5" s="394" t="s">
        <v>89</v>
      </c>
      <c r="PUJ5" s="394" t="s">
        <v>89</v>
      </c>
      <c r="PUK5" s="394" t="s">
        <v>89</v>
      </c>
      <c r="PUL5" s="394" t="s">
        <v>89</v>
      </c>
      <c r="PUM5" s="394" t="s">
        <v>89</v>
      </c>
      <c r="PUN5" s="394" t="s">
        <v>89</v>
      </c>
      <c r="PUO5" s="394" t="s">
        <v>89</v>
      </c>
      <c r="PUP5" s="394" t="s">
        <v>89</v>
      </c>
      <c r="PUQ5" s="394" t="s">
        <v>89</v>
      </c>
      <c r="PUR5" s="394" t="s">
        <v>89</v>
      </c>
      <c r="PUS5" s="394" t="s">
        <v>89</v>
      </c>
      <c r="PUT5" s="394" t="s">
        <v>89</v>
      </c>
      <c r="PUU5" s="394" t="s">
        <v>89</v>
      </c>
      <c r="PUV5" s="394" t="s">
        <v>89</v>
      </c>
      <c r="PUW5" s="394" t="s">
        <v>89</v>
      </c>
      <c r="PUX5" s="394" t="s">
        <v>89</v>
      </c>
      <c r="PUY5" s="394" t="s">
        <v>89</v>
      </c>
      <c r="PUZ5" s="394" t="s">
        <v>89</v>
      </c>
      <c r="PVA5" s="394" t="s">
        <v>89</v>
      </c>
      <c r="PVB5" s="394" t="s">
        <v>89</v>
      </c>
      <c r="PVC5" s="394" t="s">
        <v>89</v>
      </c>
      <c r="PVD5" s="394" t="s">
        <v>89</v>
      </c>
      <c r="PVE5" s="394" t="s">
        <v>89</v>
      </c>
      <c r="PVF5" s="394" t="s">
        <v>89</v>
      </c>
      <c r="PVG5" s="394" t="s">
        <v>89</v>
      </c>
      <c r="PVH5" s="394" t="s">
        <v>89</v>
      </c>
      <c r="PVI5" s="394" t="s">
        <v>89</v>
      </c>
      <c r="PVJ5" s="394" t="s">
        <v>89</v>
      </c>
      <c r="PVK5" s="394" t="s">
        <v>89</v>
      </c>
      <c r="PVL5" s="394" t="s">
        <v>89</v>
      </c>
      <c r="PVM5" s="394" t="s">
        <v>89</v>
      </c>
      <c r="PVN5" s="394" t="s">
        <v>89</v>
      </c>
      <c r="PVO5" s="394" t="s">
        <v>89</v>
      </c>
      <c r="PVP5" s="394" t="s">
        <v>89</v>
      </c>
      <c r="PVQ5" s="394" t="s">
        <v>89</v>
      </c>
      <c r="PVR5" s="394" t="s">
        <v>89</v>
      </c>
      <c r="PVS5" s="394" t="s">
        <v>89</v>
      </c>
      <c r="PVT5" s="394" t="s">
        <v>89</v>
      </c>
      <c r="PVU5" s="394" t="s">
        <v>89</v>
      </c>
      <c r="PVV5" s="394" t="s">
        <v>89</v>
      </c>
      <c r="PVW5" s="394" t="s">
        <v>89</v>
      </c>
      <c r="PVX5" s="394" t="s">
        <v>89</v>
      </c>
      <c r="PVY5" s="394" t="s">
        <v>89</v>
      </c>
      <c r="PVZ5" s="394" t="s">
        <v>89</v>
      </c>
      <c r="PWA5" s="394" t="s">
        <v>89</v>
      </c>
      <c r="PWB5" s="394" t="s">
        <v>89</v>
      </c>
      <c r="PWC5" s="394" t="s">
        <v>89</v>
      </c>
      <c r="PWD5" s="394" t="s">
        <v>89</v>
      </c>
      <c r="PWE5" s="394" t="s">
        <v>89</v>
      </c>
      <c r="PWF5" s="394" t="s">
        <v>89</v>
      </c>
      <c r="PWG5" s="394" t="s">
        <v>89</v>
      </c>
      <c r="PWH5" s="394" t="s">
        <v>89</v>
      </c>
      <c r="PWI5" s="394" t="s">
        <v>89</v>
      </c>
      <c r="PWJ5" s="394" t="s">
        <v>89</v>
      </c>
      <c r="PWK5" s="394" t="s">
        <v>89</v>
      </c>
      <c r="PWL5" s="394" t="s">
        <v>89</v>
      </c>
      <c r="PWM5" s="394" t="s">
        <v>89</v>
      </c>
      <c r="PWN5" s="394" t="s">
        <v>89</v>
      </c>
      <c r="PWO5" s="394" t="s">
        <v>89</v>
      </c>
      <c r="PWP5" s="394" t="s">
        <v>89</v>
      </c>
      <c r="PWQ5" s="394" t="s">
        <v>89</v>
      </c>
      <c r="PWR5" s="394" t="s">
        <v>89</v>
      </c>
      <c r="PWS5" s="394" t="s">
        <v>89</v>
      </c>
      <c r="PWT5" s="394" t="s">
        <v>89</v>
      </c>
      <c r="PWU5" s="394" t="s">
        <v>89</v>
      </c>
      <c r="PWV5" s="394" t="s">
        <v>89</v>
      </c>
      <c r="PWW5" s="394" t="s">
        <v>89</v>
      </c>
      <c r="PWX5" s="394" t="s">
        <v>89</v>
      </c>
      <c r="PWY5" s="394" t="s">
        <v>89</v>
      </c>
      <c r="PWZ5" s="394" t="s">
        <v>89</v>
      </c>
      <c r="PXA5" s="394" t="s">
        <v>89</v>
      </c>
      <c r="PXB5" s="394" t="s">
        <v>89</v>
      </c>
      <c r="PXC5" s="394" t="s">
        <v>89</v>
      </c>
      <c r="PXD5" s="394" t="s">
        <v>89</v>
      </c>
      <c r="PXE5" s="394" t="s">
        <v>89</v>
      </c>
      <c r="PXF5" s="394" t="s">
        <v>89</v>
      </c>
      <c r="PXG5" s="394" t="s">
        <v>89</v>
      </c>
      <c r="PXH5" s="394" t="s">
        <v>89</v>
      </c>
      <c r="PXI5" s="394" t="s">
        <v>89</v>
      </c>
      <c r="PXJ5" s="394" t="s">
        <v>89</v>
      </c>
      <c r="PXK5" s="394" t="s">
        <v>89</v>
      </c>
      <c r="PXL5" s="394" t="s">
        <v>89</v>
      </c>
      <c r="PXM5" s="394" t="s">
        <v>89</v>
      </c>
      <c r="PXN5" s="394" t="s">
        <v>89</v>
      </c>
      <c r="PXO5" s="394" t="s">
        <v>89</v>
      </c>
      <c r="PXP5" s="394" t="s">
        <v>89</v>
      </c>
      <c r="PXQ5" s="394" t="s">
        <v>89</v>
      </c>
      <c r="PXR5" s="394" t="s">
        <v>89</v>
      </c>
      <c r="PXS5" s="394" t="s">
        <v>89</v>
      </c>
      <c r="PXT5" s="394" t="s">
        <v>89</v>
      </c>
      <c r="PXU5" s="394" t="s">
        <v>89</v>
      </c>
      <c r="PXV5" s="394" t="s">
        <v>89</v>
      </c>
      <c r="PXW5" s="394" t="s">
        <v>89</v>
      </c>
      <c r="PXX5" s="394" t="s">
        <v>89</v>
      </c>
      <c r="PXY5" s="394" t="s">
        <v>89</v>
      </c>
      <c r="PXZ5" s="394" t="s">
        <v>89</v>
      </c>
      <c r="PYA5" s="394" t="s">
        <v>89</v>
      </c>
      <c r="PYB5" s="394" t="s">
        <v>89</v>
      </c>
      <c r="PYC5" s="394" t="s">
        <v>89</v>
      </c>
      <c r="PYD5" s="394" t="s">
        <v>89</v>
      </c>
      <c r="PYE5" s="394" t="s">
        <v>89</v>
      </c>
      <c r="PYF5" s="394" t="s">
        <v>89</v>
      </c>
      <c r="PYG5" s="394" t="s">
        <v>89</v>
      </c>
      <c r="PYH5" s="394" t="s">
        <v>89</v>
      </c>
      <c r="PYI5" s="394" t="s">
        <v>89</v>
      </c>
      <c r="PYJ5" s="394" t="s">
        <v>89</v>
      </c>
      <c r="PYK5" s="394" t="s">
        <v>89</v>
      </c>
      <c r="PYL5" s="394" t="s">
        <v>89</v>
      </c>
      <c r="PYM5" s="394" t="s">
        <v>89</v>
      </c>
      <c r="PYN5" s="394" t="s">
        <v>89</v>
      </c>
      <c r="PYO5" s="394" t="s">
        <v>89</v>
      </c>
      <c r="PYP5" s="394" t="s">
        <v>89</v>
      </c>
      <c r="PYQ5" s="394" t="s">
        <v>89</v>
      </c>
      <c r="PYR5" s="394" t="s">
        <v>89</v>
      </c>
      <c r="PYS5" s="394" t="s">
        <v>89</v>
      </c>
      <c r="PYT5" s="394" t="s">
        <v>89</v>
      </c>
      <c r="PYU5" s="394" t="s">
        <v>89</v>
      </c>
      <c r="PYV5" s="394" t="s">
        <v>89</v>
      </c>
      <c r="PYW5" s="394" t="s">
        <v>89</v>
      </c>
      <c r="PYX5" s="394" t="s">
        <v>89</v>
      </c>
      <c r="PYY5" s="394" t="s">
        <v>89</v>
      </c>
      <c r="PYZ5" s="394" t="s">
        <v>89</v>
      </c>
      <c r="PZA5" s="394" t="s">
        <v>89</v>
      </c>
      <c r="PZB5" s="394" t="s">
        <v>89</v>
      </c>
      <c r="PZC5" s="394" t="s">
        <v>89</v>
      </c>
      <c r="PZD5" s="394" t="s">
        <v>89</v>
      </c>
      <c r="PZE5" s="394" t="s">
        <v>89</v>
      </c>
      <c r="PZF5" s="394" t="s">
        <v>89</v>
      </c>
      <c r="PZG5" s="394" t="s">
        <v>89</v>
      </c>
      <c r="PZH5" s="394" t="s">
        <v>89</v>
      </c>
      <c r="PZI5" s="394" t="s">
        <v>89</v>
      </c>
      <c r="PZJ5" s="394" t="s">
        <v>89</v>
      </c>
      <c r="PZK5" s="394" t="s">
        <v>89</v>
      </c>
      <c r="PZL5" s="394" t="s">
        <v>89</v>
      </c>
      <c r="PZM5" s="394" t="s">
        <v>89</v>
      </c>
      <c r="PZN5" s="394" t="s">
        <v>89</v>
      </c>
      <c r="PZO5" s="394" t="s">
        <v>89</v>
      </c>
      <c r="PZP5" s="394" t="s">
        <v>89</v>
      </c>
      <c r="PZQ5" s="394" t="s">
        <v>89</v>
      </c>
      <c r="PZR5" s="394" t="s">
        <v>89</v>
      </c>
      <c r="PZS5" s="394" t="s">
        <v>89</v>
      </c>
      <c r="PZT5" s="394" t="s">
        <v>89</v>
      </c>
      <c r="PZU5" s="394" t="s">
        <v>89</v>
      </c>
      <c r="PZV5" s="394" t="s">
        <v>89</v>
      </c>
      <c r="PZW5" s="394" t="s">
        <v>89</v>
      </c>
      <c r="PZX5" s="394" t="s">
        <v>89</v>
      </c>
      <c r="PZY5" s="394" t="s">
        <v>89</v>
      </c>
      <c r="PZZ5" s="394" t="s">
        <v>89</v>
      </c>
      <c r="QAA5" s="394" t="s">
        <v>89</v>
      </c>
      <c r="QAB5" s="394" t="s">
        <v>89</v>
      </c>
      <c r="QAC5" s="394" t="s">
        <v>89</v>
      </c>
      <c r="QAD5" s="394" t="s">
        <v>89</v>
      </c>
      <c r="QAE5" s="394" t="s">
        <v>89</v>
      </c>
      <c r="QAF5" s="394" t="s">
        <v>89</v>
      </c>
      <c r="QAG5" s="394" t="s">
        <v>89</v>
      </c>
      <c r="QAH5" s="394" t="s">
        <v>89</v>
      </c>
      <c r="QAI5" s="394" t="s">
        <v>89</v>
      </c>
      <c r="QAJ5" s="394" t="s">
        <v>89</v>
      </c>
      <c r="QAK5" s="394" t="s">
        <v>89</v>
      </c>
      <c r="QAL5" s="394" t="s">
        <v>89</v>
      </c>
      <c r="QAM5" s="394" t="s">
        <v>89</v>
      </c>
      <c r="QAN5" s="394" t="s">
        <v>89</v>
      </c>
      <c r="QAO5" s="394" t="s">
        <v>89</v>
      </c>
      <c r="QAP5" s="394" t="s">
        <v>89</v>
      </c>
      <c r="QAQ5" s="394" t="s">
        <v>89</v>
      </c>
      <c r="QAR5" s="394" t="s">
        <v>89</v>
      </c>
      <c r="QAS5" s="394" t="s">
        <v>89</v>
      </c>
      <c r="QAT5" s="394" t="s">
        <v>89</v>
      </c>
      <c r="QAU5" s="394" t="s">
        <v>89</v>
      </c>
      <c r="QAV5" s="394" t="s">
        <v>89</v>
      </c>
      <c r="QAW5" s="394" t="s">
        <v>89</v>
      </c>
      <c r="QAX5" s="394" t="s">
        <v>89</v>
      </c>
      <c r="QAY5" s="394" t="s">
        <v>89</v>
      </c>
      <c r="QAZ5" s="394" t="s">
        <v>89</v>
      </c>
      <c r="QBA5" s="394" t="s">
        <v>89</v>
      </c>
      <c r="QBB5" s="394" t="s">
        <v>89</v>
      </c>
      <c r="QBC5" s="394" t="s">
        <v>89</v>
      </c>
      <c r="QBD5" s="394" t="s">
        <v>89</v>
      </c>
      <c r="QBE5" s="394" t="s">
        <v>89</v>
      </c>
      <c r="QBF5" s="394" t="s">
        <v>89</v>
      </c>
      <c r="QBG5" s="394" t="s">
        <v>89</v>
      </c>
      <c r="QBH5" s="394" t="s">
        <v>89</v>
      </c>
      <c r="QBI5" s="394" t="s">
        <v>89</v>
      </c>
      <c r="QBJ5" s="394" t="s">
        <v>89</v>
      </c>
      <c r="QBK5" s="394" t="s">
        <v>89</v>
      </c>
      <c r="QBL5" s="394" t="s">
        <v>89</v>
      </c>
      <c r="QBM5" s="394" t="s">
        <v>89</v>
      </c>
      <c r="QBN5" s="394" t="s">
        <v>89</v>
      </c>
      <c r="QBO5" s="394" t="s">
        <v>89</v>
      </c>
      <c r="QBP5" s="394" t="s">
        <v>89</v>
      </c>
      <c r="QBQ5" s="394" t="s">
        <v>89</v>
      </c>
      <c r="QBR5" s="394" t="s">
        <v>89</v>
      </c>
      <c r="QBS5" s="394" t="s">
        <v>89</v>
      </c>
      <c r="QBT5" s="394" t="s">
        <v>89</v>
      </c>
      <c r="QBU5" s="394" t="s">
        <v>89</v>
      </c>
      <c r="QBV5" s="394" t="s">
        <v>89</v>
      </c>
      <c r="QBW5" s="394" t="s">
        <v>89</v>
      </c>
      <c r="QBX5" s="394" t="s">
        <v>89</v>
      </c>
      <c r="QBY5" s="394" t="s">
        <v>89</v>
      </c>
      <c r="QBZ5" s="394" t="s">
        <v>89</v>
      </c>
      <c r="QCA5" s="394" t="s">
        <v>89</v>
      </c>
      <c r="QCB5" s="394" t="s">
        <v>89</v>
      </c>
      <c r="QCC5" s="394" t="s">
        <v>89</v>
      </c>
      <c r="QCD5" s="394" t="s">
        <v>89</v>
      </c>
      <c r="QCE5" s="394" t="s">
        <v>89</v>
      </c>
      <c r="QCF5" s="394" t="s">
        <v>89</v>
      </c>
      <c r="QCG5" s="394" t="s">
        <v>89</v>
      </c>
      <c r="QCH5" s="394" t="s">
        <v>89</v>
      </c>
      <c r="QCI5" s="394" t="s">
        <v>89</v>
      </c>
      <c r="QCJ5" s="394" t="s">
        <v>89</v>
      </c>
      <c r="QCK5" s="394" t="s">
        <v>89</v>
      </c>
      <c r="QCL5" s="394" t="s">
        <v>89</v>
      </c>
      <c r="QCM5" s="394" t="s">
        <v>89</v>
      </c>
      <c r="QCN5" s="394" t="s">
        <v>89</v>
      </c>
      <c r="QCO5" s="394" t="s">
        <v>89</v>
      </c>
      <c r="QCP5" s="394" t="s">
        <v>89</v>
      </c>
      <c r="QCQ5" s="394" t="s">
        <v>89</v>
      </c>
      <c r="QCR5" s="394" t="s">
        <v>89</v>
      </c>
      <c r="QCS5" s="394" t="s">
        <v>89</v>
      </c>
      <c r="QCT5" s="394" t="s">
        <v>89</v>
      </c>
      <c r="QCU5" s="394" t="s">
        <v>89</v>
      </c>
      <c r="QCV5" s="394" t="s">
        <v>89</v>
      </c>
      <c r="QCW5" s="394" t="s">
        <v>89</v>
      </c>
      <c r="QCX5" s="394" t="s">
        <v>89</v>
      </c>
      <c r="QCY5" s="394" t="s">
        <v>89</v>
      </c>
      <c r="QCZ5" s="394" t="s">
        <v>89</v>
      </c>
      <c r="QDA5" s="394" t="s">
        <v>89</v>
      </c>
      <c r="QDB5" s="394" t="s">
        <v>89</v>
      </c>
      <c r="QDC5" s="394" t="s">
        <v>89</v>
      </c>
      <c r="QDD5" s="394" t="s">
        <v>89</v>
      </c>
      <c r="QDE5" s="394" t="s">
        <v>89</v>
      </c>
      <c r="QDF5" s="394" t="s">
        <v>89</v>
      </c>
      <c r="QDG5" s="394" t="s">
        <v>89</v>
      </c>
      <c r="QDH5" s="394" t="s">
        <v>89</v>
      </c>
      <c r="QDI5" s="394" t="s">
        <v>89</v>
      </c>
      <c r="QDJ5" s="394" t="s">
        <v>89</v>
      </c>
      <c r="QDK5" s="394" t="s">
        <v>89</v>
      </c>
      <c r="QDL5" s="394" t="s">
        <v>89</v>
      </c>
      <c r="QDM5" s="394" t="s">
        <v>89</v>
      </c>
      <c r="QDN5" s="394" t="s">
        <v>89</v>
      </c>
      <c r="QDO5" s="394" t="s">
        <v>89</v>
      </c>
      <c r="QDP5" s="394" t="s">
        <v>89</v>
      </c>
      <c r="QDQ5" s="394" t="s">
        <v>89</v>
      </c>
      <c r="QDR5" s="394" t="s">
        <v>89</v>
      </c>
      <c r="QDS5" s="394" t="s">
        <v>89</v>
      </c>
      <c r="QDT5" s="394" t="s">
        <v>89</v>
      </c>
      <c r="QDU5" s="394" t="s">
        <v>89</v>
      </c>
      <c r="QDV5" s="394" t="s">
        <v>89</v>
      </c>
      <c r="QDW5" s="394" t="s">
        <v>89</v>
      </c>
      <c r="QDX5" s="394" t="s">
        <v>89</v>
      </c>
      <c r="QDY5" s="394" t="s">
        <v>89</v>
      </c>
      <c r="QDZ5" s="394" t="s">
        <v>89</v>
      </c>
      <c r="QEA5" s="394" t="s">
        <v>89</v>
      </c>
      <c r="QEB5" s="394" t="s">
        <v>89</v>
      </c>
      <c r="QEC5" s="394" t="s">
        <v>89</v>
      </c>
      <c r="QED5" s="394" t="s">
        <v>89</v>
      </c>
      <c r="QEE5" s="394" t="s">
        <v>89</v>
      </c>
      <c r="QEF5" s="394" t="s">
        <v>89</v>
      </c>
      <c r="QEG5" s="394" t="s">
        <v>89</v>
      </c>
      <c r="QEH5" s="394" t="s">
        <v>89</v>
      </c>
      <c r="QEI5" s="394" t="s">
        <v>89</v>
      </c>
      <c r="QEJ5" s="394" t="s">
        <v>89</v>
      </c>
      <c r="QEK5" s="394" t="s">
        <v>89</v>
      </c>
      <c r="QEL5" s="394" t="s">
        <v>89</v>
      </c>
      <c r="QEM5" s="394" t="s">
        <v>89</v>
      </c>
      <c r="QEN5" s="394" t="s">
        <v>89</v>
      </c>
      <c r="QEO5" s="394" t="s">
        <v>89</v>
      </c>
      <c r="QEP5" s="394" t="s">
        <v>89</v>
      </c>
      <c r="QEQ5" s="394" t="s">
        <v>89</v>
      </c>
      <c r="QER5" s="394" t="s">
        <v>89</v>
      </c>
      <c r="QES5" s="394" t="s">
        <v>89</v>
      </c>
      <c r="QET5" s="394" t="s">
        <v>89</v>
      </c>
      <c r="QEU5" s="394" t="s">
        <v>89</v>
      </c>
      <c r="QEV5" s="394" t="s">
        <v>89</v>
      </c>
      <c r="QEW5" s="394" t="s">
        <v>89</v>
      </c>
      <c r="QEX5" s="394" t="s">
        <v>89</v>
      </c>
      <c r="QEY5" s="394" t="s">
        <v>89</v>
      </c>
      <c r="QEZ5" s="394" t="s">
        <v>89</v>
      </c>
      <c r="QFA5" s="394" t="s">
        <v>89</v>
      </c>
      <c r="QFB5" s="394" t="s">
        <v>89</v>
      </c>
      <c r="QFC5" s="394" t="s">
        <v>89</v>
      </c>
      <c r="QFD5" s="394" t="s">
        <v>89</v>
      </c>
      <c r="QFE5" s="394" t="s">
        <v>89</v>
      </c>
      <c r="QFF5" s="394" t="s">
        <v>89</v>
      </c>
      <c r="QFG5" s="394" t="s">
        <v>89</v>
      </c>
      <c r="QFH5" s="394" t="s">
        <v>89</v>
      </c>
      <c r="QFI5" s="394" t="s">
        <v>89</v>
      </c>
      <c r="QFJ5" s="394" t="s">
        <v>89</v>
      </c>
      <c r="QFK5" s="394" t="s">
        <v>89</v>
      </c>
      <c r="QFL5" s="394" t="s">
        <v>89</v>
      </c>
      <c r="QFM5" s="394" t="s">
        <v>89</v>
      </c>
      <c r="QFN5" s="394" t="s">
        <v>89</v>
      </c>
      <c r="QFO5" s="394" t="s">
        <v>89</v>
      </c>
      <c r="QFP5" s="394" t="s">
        <v>89</v>
      </c>
      <c r="QFQ5" s="394" t="s">
        <v>89</v>
      </c>
      <c r="QFR5" s="394" t="s">
        <v>89</v>
      </c>
      <c r="QFS5" s="394" t="s">
        <v>89</v>
      </c>
      <c r="QFT5" s="394" t="s">
        <v>89</v>
      </c>
      <c r="QFU5" s="394" t="s">
        <v>89</v>
      </c>
      <c r="QFV5" s="394" t="s">
        <v>89</v>
      </c>
      <c r="QFW5" s="394" t="s">
        <v>89</v>
      </c>
      <c r="QFX5" s="394" t="s">
        <v>89</v>
      </c>
      <c r="QFY5" s="394" t="s">
        <v>89</v>
      </c>
      <c r="QFZ5" s="394" t="s">
        <v>89</v>
      </c>
      <c r="QGA5" s="394" t="s">
        <v>89</v>
      </c>
      <c r="QGB5" s="394" t="s">
        <v>89</v>
      </c>
      <c r="QGC5" s="394" t="s">
        <v>89</v>
      </c>
      <c r="QGD5" s="394" t="s">
        <v>89</v>
      </c>
      <c r="QGE5" s="394" t="s">
        <v>89</v>
      </c>
      <c r="QGF5" s="394" t="s">
        <v>89</v>
      </c>
      <c r="QGG5" s="394" t="s">
        <v>89</v>
      </c>
      <c r="QGH5" s="394" t="s">
        <v>89</v>
      </c>
      <c r="QGI5" s="394" t="s">
        <v>89</v>
      </c>
      <c r="QGJ5" s="394" t="s">
        <v>89</v>
      </c>
      <c r="QGK5" s="394" t="s">
        <v>89</v>
      </c>
      <c r="QGL5" s="394" t="s">
        <v>89</v>
      </c>
      <c r="QGM5" s="394" t="s">
        <v>89</v>
      </c>
      <c r="QGN5" s="394" t="s">
        <v>89</v>
      </c>
      <c r="QGO5" s="394" t="s">
        <v>89</v>
      </c>
      <c r="QGP5" s="394" t="s">
        <v>89</v>
      </c>
      <c r="QGQ5" s="394" t="s">
        <v>89</v>
      </c>
      <c r="QGR5" s="394" t="s">
        <v>89</v>
      </c>
      <c r="QGS5" s="394" t="s">
        <v>89</v>
      </c>
      <c r="QGT5" s="394" t="s">
        <v>89</v>
      </c>
      <c r="QGU5" s="394" t="s">
        <v>89</v>
      </c>
      <c r="QGV5" s="394" t="s">
        <v>89</v>
      </c>
      <c r="QGW5" s="394" t="s">
        <v>89</v>
      </c>
      <c r="QGX5" s="394" t="s">
        <v>89</v>
      </c>
      <c r="QGY5" s="394" t="s">
        <v>89</v>
      </c>
      <c r="QGZ5" s="394" t="s">
        <v>89</v>
      </c>
      <c r="QHA5" s="394" t="s">
        <v>89</v>
      </c>
      <c r="QHB5" s="394" t="s">
        <v>89</v>
      </c>
      <c r="QHC5" s="394" t="s">
        <v>89</v>
      </c>
      <c r="QHD5" s="394" t="s">
        <v>89</v>
      </c>
      <c r="QHE5" s="394" t="s">
        <v>89</v>
      </c>
      <c r="QHF5" s="394" t="s">
        <v>89</v>
      </c>
      <c r="QHG5" s="394" t="s">
        <v>89</v>
      </c>
      <c r="QHH5" s="394" t="s">
        <v>89</v>
      </c>
      <c r="QHI5" s="394" t="s">
        <v>89</v>
      </c>
      <c r="QHJ5" s="394" t="s">
        <v>89</v>
      </c>
      <c r="QHK5" s="394" t="s">
        <v>89</v>
      </c>
      <c r="QHL5" s="394" t="s">
        <v>89</v>
      </c>
      <c r="QHM5" s="394" t="s">
        <v>89</v>
      </c>
      <c r="QHN5" s="394" t="s">
        <v>89</v>
      </c>
      <c r="QHO5" s="394" t="s">
        <v>89</v>
      </c>
      <c r="QHP5" s="394" t="s">
        <v>89</v>
      </c>
      <c r="QHQ5" s="394" t="s">
        <v>89</v>
      </c>
      <c r="QHR5" s="394" t="s">
        <v>89</v>
      </c>
      <c r="QHS5" s="394" t="s">
        <v>89</v>
      </c>
      <c r="QHT5" s="394" t="s">
        <v>89</v>
      </c>
      <c r="QHU5" s="394" t="s">
        <v>89</v>
      </c>
      <c r="QHV5" s="394" t="s">
        <v>89</v>
      </c>
      <c r="QHW5" s="394" t="s">
        <v>89</v>
      </c>
      <c r="QHX5" s="394" t="s">
        <v>89</v>
      </c>
      <c r="QHY5" s="394" t="s">
        <v>89</v>
      </c>
      <c r="QHZ5" s="394" t="s">
        <v>89</v>
      </c>
      <c r="QIA5" s="394" t="s">
        <v>89</v>
      </c>
      <c r="QIB5" s="394" t="s">
        <v>89</v>
      </c>
      <c r="QIC5" s="394" t="s">
        <v>89</v>
      </c>
      <c r="QID5" s="394" t="s">
        <v>89</v>
      </c>
      <c r="QIE5" s="394" t="s">
        <v>89</v>
      </c>
      <c r="QIF5" s="394" t="s">
        <v>89</v>
      </c>
      <c r="QIG5" s="394" t="s">
        <v>89</v>
      </c>
      <c r="QIH5" s="394" t="s">
        <v>89</v>
      </c>
      <c r="QII5" s="394" t="s">
        <v>89</v>
      </c>
      <c r="QIJ5" s="394" t="s">
        <v>89</v>
      </c>
      <c r="QIK5" s="394" t="s">
        <v>89</v>
      </c>
      <c r="QIL5" s="394" t="s">
        <v>89</v>
      </c>
      <c r="QIM5" s="394" t="s">
        <v>89</v>
      </c>
      <c r="QIN5" s="394" t="s">
        <v>89</v>
      </c>
      <c r="QIO5" s="394" t="s">
        <v>89</v>
      </c>
      <c r="QIP5" s="394" t="s">
        <v>89</v>
      </c>
      <c r="QIQ5" s="394" t="s">
        <v>89</v>
      </c>
      <c r="QIR5" s="394" t="s">
        <v>89</v>
      </c>
      <c r="QIS5" s="394" t="s">
        <v>89</v>
      </c>
      <c r="QIT5" s="394" t="s">
        <v>89</v>
      </c>
      <c r="QIU5" s="394" t="s">
        <v>89</v>
      </c>
      <c r="QIV5" s="394" t="s">
        <v>89</v>
      </c>
      <c r="QIW5" s="394" t="s">
        <v>89</v>
      </c>
      <c r="QIX5" s="394" t="s">
        <v>89</v>
      </c>
      <c r="QIY5" s="394" t="s">
        <v>89</v>
      </c>
      <c r="QIZ5" s="394" t="s">
        <v>89</v>
      </c>
      <c r="QJA5" s="394" t="s">
        <v>89</v>
      </c>
      <c r="QJB5" s="394" t="s">
        <v>89</v>
      </c>
      <c r="QJC5" s="394" t="s">
        <v>89</v>
      </c>
      <c r="QJD5" s="394" t="s">
        <v>89</v>
      </c>
      <c r="QJE5" s="394" t="s">
        <v>89</v>
      </c>
      <c r="QJF5" s="394" t="s">
        <v>89</v>
      </c>
      <c r="QJG5" s="394" t="s">
        <v>89</v>
      </c>
      <c r="QJH5" s="394" t="s">
        <v>89</v>
      </c>
      <c r="QJI5" s="394" t="s">
        <v>89</v>
      </c>
      <c r="QJJ5" s="394" t="s">
        <v>89</v>
      </c>
      <c r="QJK5" s="394" t="s">
        <v>89</v>
      </c>
      <c r="QJL5" s="394" t="s">
        <v>89</v>
      </c>
      <c r="QJM5" s="394" t="s">
        <v>89</v>
      </c>
      <c r="QJN5" s="394" t="s">
        <v>89</v>
      </c>
      <c r="QJO5" s="394" t="s">
        <v>89</v>
      </c>
      <c r="QJP5" s="394" t="s">
        <v>89</v>
      </c>
      <c r="QJQ5" s="394" t="s">
        <v>89</v>
      </c>
      <c r="QJR5" s="394" t="s">
        <v>89</v>
      </c>
      <c r="QJS5" s="394" t="s">
        <v>89</v>
      </c>
      <c r="QJT5" s="394" t="s">
        <v>89</v>
      </c>
      <c r="QJU5" s="394" t="s">
        <v>89</v>
      </c>
      <c r="QJV5" s="394" t="s">
        <v>89</v>
      </c>
      <c r="QJW5" s="394" t="s">
        <v>89</v>
      </c>
      <c r="QJX5" s="394" t="s">
        <v>89</v>
      </c>
      <c r="QJY5" s="394" t="s">
        <v>89</v>
      </c>
      <c r="QJZ5" s="394" t="s">
        <v>89</v>
      </c>
      <c r="QKA5" s="394" t="s">
        <v>89</v>
      </c>
      <c r="QKB5" s="394" t="s">
        <v>89</v>
      </c>
      <c r="QKC5" s="394" t="s">
        <v>89</v>
      </c>
      <c r="QKD5" s="394" t="s">
        <v>89</v>
      </c>
      <c r="QKE5" s="394" t="s">
        <v>89</v>
      </c>
      <c r="QKF5" s="394" t="s">
        <v>89</v>
      </c>
      <c r="QKG5" s="394" t="s">
        <v>89</v>
      </c>
      <c r="QKH5" s="394" t="s">
        <v>89</v>
      </c>
      <c r="QKI5" s="394" t="s">
        <v>89</v>
      </c>
      <c r="QKJ5" s="394" t="s">
        <v>89</v>
      </c>
      <c r="QKK5" s="394" t="s">
        <v>89</v>
      </c>
      <c r="QKL5" s="394" t="s">
        <v>89</v>
      </c>
      <c r="QKM5" s="394" t="s">
        <v>89</v>
      </c>
      <c r="QKN5" s="394" t="s">
        <v>89</v>
      </c>
      <c r="QKO5" s="394" t="s">
        <v>89</v>
      </c>
      <c r="QKP5" s="394" t="s">
        <v>89</v>
      </c>
      <c r="QKQ5" s="394" t="s">
        <v>89</v>
      </c>
      <c r="QKR5" s="394" t="s">
        <v>89</v>
      </c>
      <c r="QKS5" s="394" t="s">
        <v>89</v>
      </c>
      <c r="QKT5" s="394" t="s">
        <v>89</v>
      </c>
      <c r="QKU5" s="394" t="s">
        <v>89</v>
      </c>
      <c r="QKV5" s="394" t="s">
        <v>89</v>
      </c>
      <c r="QKW5" s="394" t="s">
        <v>89</v>
      </c>
      <c r="QKX5" s="394" t="s">
        <v>89</v>
      </c>
      <c r="QKY5" s="394" t="s">
        <v>89</v>
      </c>
      <c r="QKZ5" s="394" t="s">
        <v>89</v>
      </c>
      <c r="QLA5" s="394" t="s">
        <v>89</v>
      </c>
      <c r="QLB5" s="394" t="s">
        <v>89</v>
      </c>
      <c r="QLC5" s="394" t="s">
        <v>89</v>
      </c>
      <c r="QLD5" s="394" t="s">
        <v>89</v>
      </c>
      <c r="QLE5" s="394" t="s">
        <v>89</v>
      </c>
      <c r="QLF5" s="394" t="s">
        <v>89</v>
      </c>
      <c r="QLG5" s="394" t="s">
        <v>89</v>
      </c>
      <c r="QLH5" s="394" t="s">
        <v>89</v>
      </c>
      <c r="QLI5" s="394" t="s">
        <v>89</v>
      </c>
      <c r="QLJ5" s="394" t="s">
        <v>89</v>
      </c>
      <c r="QLK5" s="394" t="s">
        <v>89</v>
      </c>
      <c r="QLL5" s="394" t="s">
        <v>89</v>
      </c>
      <c r="QLM5" s="394" t="s">
        <v>89</v>
      </c>
      <c r="QLN5" s="394" t="s">
        <v>89</v>
      </c>
      <c r="QLO5" s="394" t="s">
        <v>89</v>
      </c>
      <c r="QLP5" s="394" t="s">
        <v>89</v>
      </c>
      <c r="QLQ5" s="394" t="s">
        <v>89</v>
      </c>
      <c r="QLR5" s="394" t="s">
        <v>89</v>
      </c>
      <c r="QLS5" s="394" t="s">
        <v>89</v>
      </c>
      <c r="QLT5" s="394" t="s">
        <v>89</v>
      </c>
      <c r="QLU5" s="394" t="s">
        <v>89</v>
      </c>
      <c r="QLV5" s="394" t="s">
        <v>89</v>
      </c>
      <c r="QLW5" s="394" t="s">
        <v>89</v>
      </c>
      <c r="QLX5" s="394" t="s">
        <v>89</v>
      </c>
      <c r="QLY5" s="394" t="s">
        <v>89</v>
      </c>
      <c r="QLZ5" s="394" t="s">
        <v>89</v>
      </c>
      <c r="QMA5" s="394" t="s">
        <v>89</v>
      </c>
      <c r="QMB5" s="394" t="s">
        <v>89</v>
      </c>
      <c r="QMC5" s="394" t="s">
        <v>89</v>
      </c>
      <c r="QMD5" s="394" t="s">
        <v>89</v>
      </c>
      <c r="QME5" s="394" t="s">
        <v>89</v>
      </c>
      <c r="QMF5" s="394" t="s">
        <v>89</v>
      </c>
      <c r="QMG5" s="394" t="s">
        <v>89</v>
      </c>
      <c r="QMH5" s="394" t="s">
        <v>89</v>
      </c>
      <c r="QMI5" s="394" t="s">
        <v>89</v>
      </c>
      <c r="QMJ5" s="394" t="s">
        <v>89</v>
      </c>
      <c r="QMK5" s="394" t="s">
        <v>89</v>
      </c>
      <c r="QML5" s="394" t="s">
        <v>89</v>
      </c>
      <c r="QMM5" s="394" t="s">
        <v>89</v>
      </c>
      <c r="QMN5" s="394" t="s">
        <v>89</v>
      </c>
      <c r="QMO5" s="394" t="s">
        <v>89</v>
      </c>
      <c r="QMP5" s="394" t="s">
        <v>89</v>
      </c>
      <c r="QMQ5" s="394" t="s">
        <v>89</v>
      </c>
      <c r="QMR5" s="394" t="s">
        <v>89</v>
      </c>
      <c r="QMS5" s="394" t="s">
        <v>89</v>
      </c>
      <c r="QMT5" s="394" t="s">
        <v>89</v>
      </c>
      <c r="QMU5" s="394" t="s">
        <v>89</v>
      </c>
      <c r="QMV5" s="394" t="s">
        <v>89</v>
      </c>
      <c r="QMW5" s="394" t="s">
        <v>89</v>
      </c>
      <c r="QMX5" s="394" t="s">
        <v>89</v>
      </c>
      <c r="QMY5" s="394" t="s">
        <v>89</v>
      </c>
      <c r="QMZ5" s="394" t="s">
        <v>89</v>
      </c>
      <c r="QNA5" s="394" t="s">
        <v>89</v>
      </c>
      <c r="QNB5" s="394" t="s">
        <v>89</v>
      </c>
      <c r="QNC5" s="394" t="s">
        <v>89</v>
      </c>
      <c r="QND5" s="394" t="s">
        <v>89</v>
      </c>
      <c r="QNE5" s="394" t="s">
        <v>89</v>
      </c>
      <c r="QNF5" s="394" t="s">
        <v>89</v>
      </c>
      <c r="QNG5" s="394" t="s">
        <v>89</v>
      </c>
      <c r="QNH5" s="394" t="s">
        <v>89</v>
      </c>
      <c r="QNI5" s="394" t="s">
        <v>89</v>
      </c>
      <c r="QNJ5" s="394" t="s">
        <v>89</v>
      </c>
      <c r="QNK5" s="394" t="s">
        <v>89</v>
      </c>
      <c r="QNL5" s="394" t="s">
        <v>89</v>
      </c>
      <c r="QNM5" s="394" t="s">
        <v>89</v>
      </c>
      <c r="QNN5" s="394" t="s">
        <v>89</v>
      </c>
      <c r="QNO5" s="394" t="s">
        <v>89</v>
      </c>
      <c r="QNP5" s="394" t="s">
        <v>89</v>
      </c>
      <c r="QNQ5" s="394" t="s">
        <v>89</v>
      </c>
      <c r="QNR5" s="394" t="s">
        <v>89</v>
      </c>
      <c r="QNS5" s="394" t="s">
        <v>89</v>
      </c>
      <c r="QNT5" s="394" t="s">
        <v>89</v>
      </c>
      <c r="QNU5" s="394" t="s">
        <v>89</v>
      </c>
      <c r="QNV5" s="394" t="s">
        <v>89</v>
      </c>
      <c r="QNW5" s="394" t="s">
        <v>89</v>
      </c>
      <c r="QNX5" s="394" t="s">
        <v>89</v>
      </c>
      <c r="QNY5" s="394" t="s">
        <v>89</v>
      </c>
      <c r="QNZ5" s="394" t="s">
        <v>89</v>
      </c>
      <c r="QOA5" s="394" t="s">
        <v>89</v>
      </c>
      <c r="QOB5" s="394" t="s">
        <v>89</v>
      </c>
      <c r="QOC5" s="394" t="s">
        <v>89</v>
      </c>
      <c r="QOD5" s="394" t="s">
        <v>89</v>
      </c>
      <c r="QOE5" s="394" t="s">
        <v>89</v>
      </c>
      <c r="QOF5" s="394" t="s">
        <v>89</v>
      </c>
      <c r="QOG5" s="394" t="s">
        <v>89</v>
      </c>
      <c r="QOH5" s="394" t="s">
        <v>89</v>
      </c>
      <c r="QOI5" s="394" t="s">
        <v>89</v>
      </c>
      <c r="QOJ5" s="394" t="s">
        <v>89</v>
      </c>
      <c r="QOK5" s="394" t="s">
        <v>89</v>
      </c>
      <c r="QOL5" s="394" t="s">
        <v>89</v>
      </c>
      <c r="QOM5" s="394" t="s">
        <v>89</v>
      </c>
      <c r="QON5" s="394" t="s">
        <v>89</v>
      </c>
      <c r="QOO5" s="394" t="s">
        <v>89</v>
      </c>
      <c r="QOP5" s="394" t="s">
        <v>89</v>
      </c>
      <c r="QOQ5" s="394" t="s">
        <v>89</v>
      </c>
      <c r="QOR5" s="394" t="s">
        <v>89</v>
      </c>
      <c r="QOS5" s="394" t="s">
        <v>89</v>
      </c>
      <c r="QOT5" s="394" t="s">
        <v>89</v>
      </c>
      <c r="QOU5" s="394" t="s">
        <v>89</v>
      </c>
      <c r="QOV5" s="394" t="s">
        <v>89</v>
      </c>
      <c r="QOW5" s="394" t="s">
        <v>89</v>
      </c>
      <c r="QOX5" s="394" t="s">
        <v>89</v>
      </c>
      <c r="QOY5" s="394" t="s">
        <v>89</v>
      </c>
      <c r="QOZ5" s="394" t="s">
        <v>89</v>
      </c>
      <c r="QPA5" s="394" t="s">
        <v>89</v>
      </c>
      <c r="QPB5" s="394" t="s">
        <v>89</v>
      </c>
      <c r="QPC5" s="394" t="s">
        <v>89</v>
      </c>
      <c r="QPD5" s="394" t="s">
        <v>89</v>
      </c>
      <c r="QPE5" s="394" t="s">
        <v>89</v>
      </c>
      <c r="QPF5" s="394" t="s">
        <v>89</v>
      </c>
      <c r="QPG5" s="394" t="s">
        <v>89</v>
      </c>
      <c r="QPH5" s="394" t="s">
        <v>89</v>
      </c>
      <c r="QPI5" s="394" t="s">
        <v>89</v>
      </c>
      <c r="QPJ5" s="394" t="s">
        <v>89</v>
      </c>
      <c r="QPK5" s="394" t="s">
        <v>89</v>
      </c>
      <c r="QPL5" s="394" t="s">
        <v>89</v>
      </c>
      <c r="QPM5" s="394" t="s">
        <v>89</v>
      </c>
      <c r="QPN5" s="394" t="s">
        <v>89</v>
      </c>
      <c r="QPO5" s="394" t="s">
        <v>89</v>
      </c>
      <c r="QPP5" s="394" t="s">
        <v>89</v>
      </c>
      <c r="QPQ5" s="394" t="s">
        <v>89</v>
      </c>
      <c r="QPR5" s="394" t="s">
        <v>89</v>
      </c>
      <c r="QPS5" s="394" t="s">
        <v>89</v>
      </c>
      <c r="QPT5" s="394" t="s">
        <v>89</v>
      </c>
      <c r="QPU5" s="394" t="s">
        <v>89</v>
      </c>
      <c r="QPV5" s="394" t="s">
        <v>89</v>
      </c>
      <c r="QPW5" s="394" t="s">
        <v>89</v>
      </c>
      <c r="QPX5" s="394" t="s">
        <v>89</v>
      </c>
      <c r="QPY5" s="394" t="s">
        <v>89</v>
      </c>
      <c r="QPZ5" s="394" t="s">
        <v>89</v>
      </c>
      <c r="QQA5" s="394" t="s">
        <v>89</v>
      </c>
      <c r="QQB5" s="394" t="s">
        <v>89</v>
      </c>
      <c r="QQC5" s="394" t="s">
        <v>89</v>
      </c>
      <c r="QQD5" s="394" t="s">
        <v>89</v>
      </c>
      <c r="QQE5" s="394" t="s">
        <v>89</v>
      </c>
      <c r="QQF5" s="394" t="s">
        <v>89</v>
      </c>
      <c r="QQG5" s="394" t="s">
        <v>89</v>
      </c>
      <c r="QQH5" s="394" t="s">
        <v>89</v>
      </c>
      <c r="QQI5" s="394" t="s">
        <v>89</v>
      </c>
      <c r="QQJ5" s="394" t="s">
        <v>89</v>
      </c>
      <c r="QQK5" s="394" t="s">
        <v>89</v>
      </c>
      <c r="QQL5" s="394" t="s">
        <v>89</v>
      </c>
      <c r="QQM5" s="394" t="s">
        <v>89</v>
      </c>
      <c r="QQN5" s="394" t="s">
        <v>89</v>
      </c>
      <c r="QQO5" s="394" t="s">
        <v>89</v>
      </c>
      <c r="QQP5" s="394" t="s">
        <v>89</v>
      </c>
      <c r="QQQ5" s="394" t="s">
        <v>89</v>
      </c>
      <c r="QQR5" s="394" t="s">
        <v>89</v>
      </c>
      <c r="QQS5" s="394" t="s">
        <v>89</v>
      </c>
      <c r="QQT5" s="394" t="s">
        <v>89</v>
      </c>
      <c r="QQU5" s="394" t="s">
        <v>89</v>
      </c>
      <c r="QQV5" s="394" t="s">
        <v>89</v>
      </c>
      <c r="QQW5" s="394" t="s">
        <v>89</v>
      </c>
      <c r="QQX5" s="394" t="s">
        <v>89</v>
      </c>
      <c r="QQY5" s="394" t="s">
        <v>89</v>
      </c>
      <c r="QQZ5" s="394" t="s">
        <v>89</v>
      </c>
      <c r="QRA5" s="394" t="s">
        <v>89</v>
      </c>
      <c r="QRB5" s="394" t="s">
        <v>89</v>
      </c>
      <c r="QRC5" s="394" t="s">
        <v>89</v>
      </c>
      <c r="QRD5" s="394" t="s">
        <v>89</v>
      </c>
      <c r="QRE5" s="394" t="s">
        <v>89</v>
      </c>
      <c r="QRF5" s="394" t="s">
        <v>89</v>
      </c>
      <c r="QRG5" s="394" t="s">
        <v>89</v>
      </c>
      <c r="QRH5" s="394" t="s">
        <v>89</v>
      </c>
      <c r="QRI5" s="394" t="s">
        <v>89</v>
      </c>
      <c r="QRJ5" s="394" t="s">
        <v>89</v>
      </c>
      <c r="QRK5" s="394" t="s">
        <v>89</v>
      </c>
      <c r="QRL5" s="394" t="s">
        <v>89</v>
      </c>
      <c r="QRM5" s="394" t="s">
        <v>89</v>
      </c>
      <c r="QRN5" s="394" t="s">
        <v>89</v>
      </c>
      <c r="QRO5" s="394" t="s">
        <v>89</v>
      </c>
      <c r="QRP5" s="394" t="s">
        <v>89</v>
      </c>
      <c r="QRQ5" s="394" t="s">
        <v>89</v>
      </c>
      <c r="QRR5" s="394" t="s">
        <v>89</v>
      </c>
      <c r="QRS5" s="394" t="s">
        <v>89</v>
      </c>
      <c r="QRT5" s="394" t="s">
        <v>89</v>
      </c>
      <c r="QRU5" s="394" t="s">
        <v>89</v>
      </c>
      <c r="QRV5" s="394" t="s">
        <v>89</v>
      </c>
      <c r="QRW5" s="394" t="s">
        <v>89</v>
      </c>
      <c r="QRX5" s="394" t="s">
        <v>89</v>
      </c>
      <c r="QRY5" s="394" t="s">
        <v>89</v>
      </c>
      <c r="QRZ5" s="394" t="s">
        <v>89</v>
      </c>
      <c r="QSA5" s="394" t="s">
        <v>89</v>
      </c>
      <c r="QSB5" s="394" t="s">
        <v>89</v>
      </c>
      <c r="QSC5" s="394" t="s">
        <v>89</v>
      </c>
      <c r="QSD5" s="394" t="s">
        <v>89</v>
      </c>
      <c r="QSE5" s="394" t="s">
        <v>89</v>
      </c>
      <c r="QSF5" s="394" t="s">
        <v>89</v>
      </c>
      <c r="QSG5" s="394" t="s">
        <v>89</v>
      </c>
      <c r="QSH5" s="394" t="s">
        <v>89</v>
      </c>
      <c r="QSI5" s="394" t="s">
        <v>89</v>
      </c>
      <c r="QSJ5" s="394" t="s">
        <v>89</v>
      </c>
      <c r="QSK5" s="394" t="s">
        <v>89</v>
      </c>
      <c r="QSL5" s="394" t="s">
        <v>89</v>
      </c>
      <c r="QSM5" s="394" t="s">
        <v>89</v>
      </c>
      <c r="QSN5" s="394" t="s">
        <v>89</v>
      </c>
      <c r="QSO5" s="394" t="s">
        <v>89</v>
      </c>
      <c r="QSP5" s="394" t="s">
        <v>89</v>
      </c>
      <c r="QSQ5" s="394" t="s">
        <v>89</v>
      </c>
      <c r="QSR5" s="394" t="s">
        <v>89</v>
      </c>
      <c r="QSS5" s="394" t="s">
        <v>89</v>
      </c>
      <c r="QST5" s="394" t="s">
        <v>89</v>
      </c>
      <c r="QSU5" s="394" t="s">
        <v>89</v>
      </c>
      <c r="QSV5" s="394" t="s">
        <v>89</v>
      </c>
      <c r="QSW5" s="394" t="s">
        <v>89</v>
      </c>
      <c r="QSX5" s="394" t="s">
        <v>89</v>
      </c>
      <c r="QSY5" s="394" t="s">
        <v>89</v>
      </c>
      <c r="QSZ5" s="394" t="s">
        <v>89</v>
      </c>
      <c r="QTA5" s="394" t="s">
        <v>89</v>
      </c>
      <c r="QTB5" s="394" t="s">
        <v>89</v>
      </c>
      <c r="QTC5" s="394" t="s">
        <v>89</v>
      </c>
      <c r="QTD5" s="394" t="s">
        <v>89</v>
      </c>
      <c r="QTE5" s="394" t="s">
        <v>89</v>
      </c>
      <c r="QTF5" s="394" t="s">
        <v>89</v>
      </c>
      <c r="QTG5" s="394" t="s">
        <v>89</v>
      </c>
      <c r="QTH5" s="394" t="s">
        <v>89</v>
      </c>
      <c r="QTI5" s="394" t="s">
        <v>89</v>
      </c>
      <c r="QTJ5" s="394" t="s">
        <v>89</v>
      </c>
      <c r="QTK5" s="394" t="s">
        <v>89</v>
      </c>
      <c r="QTL5" s="394" t="s">
        <v>89</v>
      </c>
      <c r="QTM5" s="394" t="s">
        <v>89</v>
      </c>
      <c r="QTN5" s="394" t="s">
        <v>89</v>
      </c>
      <c r="QTO5" s="394" t="s">
        <v>89</v>
      </c>
      <c r="QTP5" s="394" t="s">
        <v>89</v>
      </c>
      <c r="QTQ5" s="394" t="s">
        <v>89</v>
      </c>
      <c r="QTR5" s="394" t="s">
        <v>89</v>
      </c>
      <c r="QTS5" s="394" t="s">
        <v>89</v>
      </c>
      <c r="QTT5" s="394" t="s">
        <v>89</v>
      </c>
      <c r="QTU5" s="394" t="s">
        <v>89</v>
      </c>
      <c r="QTV5" s="394" t="s">
        <v>89</v>
      </c>
      <c r="QTW5" s="394" t="s">
        <v>89</v>
      </c>
      <c r="QTX5" s="394" t="s">
        <v>89</v>
      </c>
      <c r="QTY5" s="394" t="s">
        <v>89</v>
      </c>
      <c r="QTZ5" s="394" t="s">
        <v>89</v>
      </c>
      <c r="QUA5" s="394" t="s">
        <v>89</v>
      </c>
      <c r="QUB5" s="394" t="s">
        <v>89</v>
      </c>
      <c r="QUC5" s="394" t="s">
        <v>89</v>
      </c>
      <c r="QUD5" s="394" t="s">
        <v>89</v>
      </c>
      <c r="QUE5" s="394" t="s">
        <v>89</v>
      </c>
      <c r="QUF5" s="394" t="s">
        <v>89</v>
      </c>
      <c r="QUG5" s="394" t="s">
        <v>89</v>
      </c>
      <c r="QUH5" s="394" t="s">
        <v>89</v>
      </c>
      <c r="QUI5" s="394" t="s">
        <v>89</v>
      </c>
      <c r="QUJ5" s="394" t="s">
        <v>89</v>
      </c>
      <c r="QUK5" s="394" t="s">
        <v>89</v>
      </c>
      <c r="QUL5" s="394" t="s">
        <v>89</v>
      </c>
      <c r="QUM5" s="394" t="s">
        <v>89</v>
      </c>
      <c r="QUN5" s="394" t="s">
        <v>89</v>
      </c>
      <c r="QUO5" s="394" t="s">
        <v>89</v>
      </c>
      <c r="QUP5" s="394" t="s">
        <v>89</v>
      </c>
      <c r="QUQ5" s="394" t="s">
        <v>89</v>
      </c>
      <c r="QUR5" s="394" t="s">
        <v>89</v>
      </c>
      <c r="QUS5" s="394" t="s">
        <v>89</v>
      </c>
      <c r="QUT5" s="394" t="s">
        <v>89</v>
      </c>
      <c r="QUU5" s="394" t="s">
        <v>89</v>
      </c>
      <c r="QUV5" s="394" t="s">
        <v>89</v>
      </c>
      <c r="QUW5" s="394" t="s">
        <v>89</v>
      </c>
      <c r="QUX5" s="394" t="s">
        <v>89</v>
      </c>
      <c r="QUY5" s="394" t="s">
        <v>89</v>
      </c>
      <c r="QUZ5" s="394" t="s">
        <v>89</v>
      </c>
      <c r="QVA5" s="394" t="s">
        <v>89</v>
      </c>
      <c r="QVB5" s="394" t="s">
        <v>89</v>
      </c>
      <c r="QVC5" s="394" t="s">
        <v>89</v>
      </c>
      <c r="QVD5" s="394" t="s">
        <v>89</v>
      </c>
      <c r="QVE5" s="394" t="s">
        <v>89</v>
      </c>
      <c r="QVF5" s="394" t="s">
        <v>89</v>
      </c>
      <c r="QVG5" s="394" t="s">
        <v>89</v>
      </c>
      <c r="QVH5" s="394" t="s">
        <v>89</v>
      </c>
      <c r="QVI5" s="394" t="s">
        <v>89</v>
      </c>
      <c r="QVJ5" s="394" t="s">
        <v>89</v>
      </c>
      <c r="QVK5" s="394" t="s">
        <v>89</v>
      </c>
      <c r="QVL5" s="394" t="s">
        <v>89</v>
      </c>
      <c r="QVM5" s="394" t="s">
        <v>89</v>
      </c>
      <c r="QVN5" s="394" t="s">
        <v>89</v>
      </c>
      <c r="QVO5" s="394" t="s">
        <v>89</v>
      </c>
      <c r="QVP5" s="394" t="s">
        <v>89</v>
      </c>
      <c r="QVQ5" s="394" t="s">
        <v>89</v>
      </c>
      <c r="QVR5" s="394" t="s">
        <v>89</v>
      </c>
      <c r="QVS5" s="394" t="s">
        <v>89</v>
      </c>
      <c r="QVT5" s="394" t="s">
        <v>89</v>
      </c>
      <c r="QVU5" s="394" t="s">
        <v>89</v>
      </c>
      <c r="QVV5" s="394" t="s">
        <v>89</v>
      </c>
      <c r="QVW5" s="394" t="s">
        <v>89</v>
      </c>
      <c r="QVX5" s="394" t="s">
        <v>89</v>
      </c>
      <c r="QVY5" s="394" t="s">
        <v>89</v>
      </c>
      <c r="QVZ5" s="394" t="s">
        <v>89</v>
      </c>
      <c r="QWA5" s="394" t="s">
        <v>89</v>
      </c>
      <c r="QWB5" s="394" t="s">
        <v>89</v>
      </c>
      <c r="QWC5" s="394" t="s">
        <v>89</v>
      </c>
      <c r="QWD5" s="394" t="s">
        <v>89</v>
      </c>
      <c r="QWE5" s="394" t="s">
        <v>89</v>
      </c>
      <c r="QWF5" s="394" t="s">
        <v>89</v>
      </c>
      <c r="QWG5" s="394" t="s">
        <v>89</v>
      </c>
      <c r="QWH5" s="394" t="s">
        <v>89</v>
      </c>
      <c r="QWI5" s="394" t="s">
        <v>89</v>
      </c>
      <c r="QWJ5" s="394" t="s">
        <v>89</v>
      </c>
      <c r="QWK5" s="394" t="s">
        <v>89</v>
      </c>
      <c r="QWL5" s="394" t="s">
        <v>89</v>
      </c>
      <c r="QWM5" s="394" t="s">
        <v>89</v>
      </c>
      <c r="QWN5" s="394" t="s">
        <v>89</v>
      </c>
      <c r="QWO5" s="394" t="s">
        <v>89</v>
      </c>
      <c r="QWP5" s="394" t="s">
        <v>89</v>
      </c>
      <c r="QWQ5" s="394" t="s">
        <v>89</v>
      </c>
      <c r="QWR5" s="394" t="s">
        <v>89</v>
      </c>
      <c r="QWS5" s="394" t="s">
        <v>89</v>
      </c>
      <c r="QWT5" s="394" t="s">
        <v>89</v>
      </c>
      <c r="QWU5" s="394" t="s">
        <v>89</v>
      </c>
      <c r="QWV5" s="394" t="s">
        <v>89</v>
      </c>
      <c r="QWW5" s="394" t="s">
        <v>89</v>
      </c>
      <c r="QWX5" s="394" t="s">
        <v>89</v>
      </c>
      <c r="QWY5" s="394" t="s">
        <v>89</v>
      </c>
      <c r="QWZ5" s="394" t="s">
        <v>89</v>
      </c>
      <c r="QXA5" s="394" t="s">
        <v>89</v>
      </c>
      <c r="QXB5" s="394" t="s">
        <v>89</v>
      </c>
      <c r="QXC5" s="394" t="s">
        <v>89</v>
      </c>
      <c r="QXD5" s="394" t="s">
        <v>89</v>
      </c>
      <c r="QXE5" s="394" t="s">
        <v>89</v>
      </c>
      <c r="QXF5" s="394" t="s">
        <v>89</v>
      </c>
      <c r="QXG5" s="394" t="s">
        <v>89</v>
      </c>
      <c r="QXH5" s="394" t="s">
        <v>89</v>
      </c>
      <c r="QXI5" s="394" t="s">
        <v>89</v>
      </c>
      <c r="QXJ5" s="394" t="s">
        <v>89</v>
      </c>
      <c r="QXK5" s="394" t="s">
        <v>89</v>
      </c>
      <c r="QXL5" s="394" t="s">
        <v>89</v>
      </c>
      <c r="QXM5" s="394" t="s">
        <v>89</v>
      </c>
      <c r="QXN5" s="394" t="s">
        <v>89</v>
      </c>
      <c r="QXO5" s="394" t="s">
        <v>89</v>
      </c>
      <c r="QXP5" s="394" t="s">
        <v>89</v>
      </c>
      <c r="QXQ5" s="394" t="s">
        <v>89</v>
      </c>
      <c r="QXR5" s="394" t="s">
        <v>89</v>
      </c>
      <c r="QXS5" s="394" t="s">
        <v>89</v>
      </c>
      <c r="QXT5" s="394" t="s">
        <v>89</v>
      </c>
      <c r="QXU5" s="394" t="s">
        <v>89</v>
      </c>
      <c r="QXV5" s="394" t="s">
        <v>89</v>
      </c>
      <c r="QXW5" s="394" t="s">
        <v>89</v>
      </c>
      <c r="QXX5" s="394" t="s">
        <v>89</v>
      </c>
      <c r="QXY5" s="394" t="s">
        <v>89</v>
      </c>
      <c r="QXZ5" s="394" t="s">
        <v>89</v>
      </c>
      <c r="QYA5" s="394" t="s">
        <v>89</v>
      </c>
      <c r="QYB5" s="394" t="s">
        <v>89</v>
      </c>
      <c r="QYC5" s="394" t="s">
        <v>89</v>
      </c>
      <c r="QYD5" s="394" t="s">
        <v>89</v>
      </c>
      <c r="QYE5" s="394" t="s">
        <v>89</v>
      </c>
      <c r="QYF5" s="394" t="s">
        <v>89</v>
      </c>
      <c r="QYG5" s="394" t="s">
        <v>89</v>
      </c>
      <c r="QYH5" s="394" t="s">
        <v>89</v>
      </c>
      <c r="QYI5" s="394" t="s">
        <v>89</v>
      </c>
      <c r="QYJ5" s="394" t="s">
        <v>89</v>
      </c>
      <c r="QYK5" s="394" t="s">
        <v>89</v>
      </c>
      <c r="QYL5" s="394" t="s">
        <v>89</v>
      </c>
      <c r="QYM5" s="394" t="s">
        <v>89</v>
      </c>
      <c r="QYN5" s="394" t="s">
        <v>89</v>
      </c>
      <c r="QYO5" s="394" t="s">
        <v>89</v>
      </c>
      <c r="QYP5" s="394" t="s">
        <v>89</v>
      </c>
      <c r="QYQ5" s="394" t="s">
        <v>89</v>
      </c>
      <c r="QYR5" s="394" t="s">
        <v>89</v>
      </c>
      <c r="QYS5" s="394" t="s">
        <v>89</v>
      </c>
      <c r="QYT5" s="394" t="s">
        <v>89</v>
      </c>
      <c r="QYU5" s="394" t="s">
        <v>89</v>
      </c>
      <c r="QYV5" s="394" t="s">
        <v>89</v>
      </c>
      <c r="QYW5" s="394" t="s">
        <v>89</v>
      </c>
      <c r="QYX5" s="394" t="s">
        <v>89</v>
      </c>
      <c r="QYY5" s="394" t="s">
        <v>89</v>
      </c>
      <c r="QYZ5" s="394" t="s">
        <v>89</v>
      </c>
      <c r="QZA5" s="394" t="s">
        <v>89</v>
      </c>
      <c r="QZB5" s="394" t="s">
        <v>89</v>
      </c>
      <c r="QZC5" s="394" t="s">
        <v>89</v>
      </c>
      <c r="QZD5" s="394" t="s">
        <v>89</v>
      </c>
      <c r="QZE5" s="394" t="s">
        <v>89</v>
      </c>
      <c r="QZF5" s="394" t="s">
        <v>89</v>
      </c>
      <c r="QZG5" s="394" t="s">
        <v>89</v>
      </c>
      <c r="QZH5" s="394" t="s">
        <v>89</v>
      </c>
      <c r="QZI5" s="394" t="s">
        <v>89</v>
      </c>
      <c r="QZJ5" s="394" t="s">
        <v>89</v>
      </c>
      <c r="QZK5" s="394" t="s">
        <v>89</v>
      </c>
      <c r="QZL5" s="394" t="s">
        <v>89</v>
      </c>
      <c r="QZM5" s="394" t="s">
        <v>89</v>
      </c>
      <c r="QZN5" s="394" t="s">
        <v>89</v>
      </c>
      <c r="QZO5" s="394" t="s">
        <v>89</v>
      </c>
      <c r="QZP5" s="394" t="s">
        <v>89</v>
      </c>
      <c r="QZQ5" s="394" t="s">
        <v>89</v>
      </c>
      <c r="QZR5" s="394" t="s">
        <v>89</v>
      </c>
      <c r="QZS5" s="394" t="s">
        <v>89</v>
      </c>
      <c r="QZT5" s="394" t="s">
        <v>89</v>
      </c>
      <c r="QZU5" s="394" t="s">
        <v>89</v>
      </c>
      <c r="QZV5" s="394" t="s">
        <v>89</v>
      </c>
      <c r="QZW5" s="394" t="s">
        <v>89</v>
      </c>
      <c r="QZX5" s="394" t="s">
        <v>89</v>
      </c>
      <c r="QZY5" s="394" t="s">
        <v>89</v>
      </c>
      <c r="QZZ5" s="394" t="s">
        <v>89</v>
      </c>
      <c r="RAA5" s="394" t="s">
        <v>89</v>
      </c>
      <c r="RAB5" s="394" t="s">
        <v>89</v>
      </c>
      <c r="RAC5" s="394" t="s">
        <v>89</v>
      </c>
      <c r="RAD5" s="394" t="s">
        <v>89</v>
      </c>
      <c r="RAE5" s="394" t="s">
        <v>89</v>
      </c>
      <c r="RAF5" s="394" t="s">
        <v>89</v>
      </c>
      <c r="RAG5" s="394" t="s">
        <v>89</v>
      </c>
      <c r="RAH5" s="394" t="s">
        <v>89</v>
      </c>
      <c r="RAI5" s="394" t="s">
        <v>89</v>
      </c>
      <c r="RAJ5" s="394" t="s">
        <v>89</v>
      </c>
      <c r="RAK5" s="394" t="s">
        <v>89</v>
      </c>
      <c r="RAL5" s="394" t="s">
        <v>89</v>
      </c>
      <c r="RAM5" s="394" t="s">
        <v>89</v>
      </c>
      <c r="RAN5" s="394" t="s">
        <v>89</v>
      </c>
      <c r="RAO5" s="394" t="s">
        <v>89</v>
      </c>
      <c r="RAP5" s="394" t="s">
        <v>89</v>
      </c>
      <c r="RAQ5" s="394" t="s">
        <v>89</v>
      </c>
      <c r="RAR5" s="394" t="s">
        <v>89</v>
      </c>
      <c r="RAS5" s="394" t="s">
        <v>89</v>
      </c>
      <c r="RAT5" s="394" t="s">
        <v>89</v>
      </c>
      <c r="RAU5" s="394" t="s">
        <v>89</v>
      </c>
      <c r="RAV5" s="394" t="s">
        <v>89</v>
      </c>
      <c r="RAW5" s="394" t="s">
        <v>89</v>
      </c>
      <c r="RAX5" s="394" t="s">
        <v>89</v>
      </c>
      <c r="RAY5" s="394" t="s">
        <v>89</v>
      </c>
      <c r="RAZ5" s="394" t="s">
        <v>89</v>
      </c>
      <c r="RBA5" s="394" t="s">
        <v>89</v>
      </c>
      <c r="RBB5" s="394" t="s">
        <v>89</v>
      </c>
      <c r="RBC5" s="394" t="s">
        <v>89</v>
      </c>
      <c r="RBD5" s="394" t="s">
        <v>89</v>
      </c>
      <c r="RBE5" s="394" t="s">
        <v>89</v>
      </c>
      <c r="RBF5" s="394" t="s">
        <v>89</v>
      </c>
      <c r="RBG5" s="394" t="s">
        <v>89</v>
      </c>
      <c r="RBH5" s="394" t="s">
        <v>89</v>
      </c>
      <c r="RBI5" s="394" t="s">
        <v>89</v>
      </c>
      <c r="RBJ5" s="394" t="s">
        <v>89</v>
      </c>
      <c r="RBK5" s="394" t="s">
        <v>89</v>
      </c>
      <c r="RBL5" s="394" t="s">
        <v>89</v>
      </c>
      <c r="RBM5" s="394" t="s">
        <v>89</v>
      </c>
      <c r="RBN5" s="394" t="s">
        <v>89</v>
      </c>
      <c r="RBO5" s="394" t="s">
        <v>89</v>
      </c>
      <c r="RBP5" s="394" t="s">
        <v>89</v>
      </c>
      <c r="RBQ5" s="394" t="s">
        <v>89</v>
      </c>
      <c r="RBR5" s="394" t="s">
        <v>89</v>
      </c>
      <c r="RBS5" s="394" t="s">
        <v>89</v>
      </c>
      <c r="RBT5" s="394" t="s">
        <v>89</v>
      </c>
      <c r="RBU5" s="394" t="s">
        <v>89</v>
      </c>
      <c r="RBV5" s="394" t="s">
        <v>89</v>
      </c>
      <c r="RBW5" s="394" t="s">
        <v>89</v>
      </c>
      <c r="RBX5" s="394" t="s">
        <v>89</v>
      </c>
      <c r="RBY5" s="394" t="s">
        <v>89</v>
      </c>
      <c r="RBZ5" s="394" t="s">
        <v>89</v>
      </c>
      <c r="RCA5" s="394" t="s">
        <v>89</v>
      </c>
      <c r="RCB5" s="394" t="s">
        <v>89</v>
      </c>
      <c r="RCC5" s="394" t="s">
        <v>89</v>
      </c>
      <c r="RCD5" s="394" t="s">
        <v>89</v>
      </c>
      <c r="RCE5" s="394" t="s">
        <v>89</v>
      </c>
      <c r="RCF5" s="394" t="s">
        <v>89</v>
      </c>
      <c r="RCG5" s="394" t="s">
        <v>89</v>
      </c>
      <c r="RCH5" s="394" t="s">
        <v>89</v>
      </c>
      <c r="RCI5" s="394" t="s">
        <v>89</v>
      </c>
      <c r="RCJ5" s="394" t="s">
        <v>89</v>
      </c>
      <c r="RCK5" s="394" t="s">
        <v>89</v>
      </c>
      <c r="RCL5" s="394" t="s">
        <v>89</v>
      </c>
      <c r="RCM5" s="394" t="s">
        <v>89</v>
      </c>
      <c r="RCN5" s="394" t="s">
        <v>89</v>
      </c>
      <c r="RCO5" s="394" t="s">
        <v>89</v>
      </c>
      <c r="RCP5" s="394" t="s">
        <v>89</v>
      </c>
      <c r="RCQ5" s="394" t="s">
        <v>89</v>
      </c>
      <c r="RCR5" s="394" t="s">
        <v>89</v>
      </c>
      <c r="RCS5" s="394" t="s">
        <v>89</v>
      </c>
      <c r="RCT5" s="394" t="s">
        <v>89</v>
      </c>
      <c r="RCU5" s="394" t="s">
        <v>89</v>
      </c>
      <c r="RCV5" s="394" t="s">
        <v>89</v>
      </c>
      <c r="RCW5" s="394" t="s">
        <v>89</v>
      </c>
      <c r="RCX5" s="394" t="s">
        <v>89</v>
      </c>
      <c r="RCY5" s="394" t="s">
        <v>89</v>
      </c>
      <c r="RCZ5" s="394" t="s">
        <v>89</v>
      </c>
      <c r="RDA5" s="394" t="s">
        <v>89</v>
      </c>
      <c r="RDB5" s="394" t="s">
        <v>89</v>
      </c>
      <c r="RDC5" s="394" t="s">
        <v>89</v>
      </c>
      <c r="RDD5" s="394" t="s">
        <v>89</v>
      </c>
      <c r="RDE5" s="394" t="s">
        <v>89</v>
      </c>
      <c r="RDF5" s="394" t="s">
        <v>89</v>
      </c>
      <c r="RDG5" s="394" t="s">
        <v>89</v>
      </c>
      <c r="RDH5" s="394" t="s">
        <v>89</v>
      </c>
      <c r="RDI5" s="394" t="s">
        <v>89</v>
      </c>
      <c r="RDJ5" s="394" t="s">
        <v>89</v>
      </c>
      <c r="RDK5" s="394" t="s">
        <v>89</v>
      </c>
      <c r="RDL5" s="394" t="s">
        <v>89</v>
      </c>
      <c r="RDM5" s="394" t="s">
        <v>89</v>
      </c>
      <c r="RDN5" s="394" t="s">
        <v>89</v>
      </c>
      <c r="RDO5" s="394" t="s">
        <v>89</v>
      </c>
      <c r="RDP5" s="394" t="s">
        <v>89</v>
      </c>
      <c r="RDQ5" s="394" t="s">
        <v>89</v>
      </c>
      <c r="RDR5" s="394" t="s">
        <v>89</v>
      </c>
      <c r="RDS5" s="394" t="s">
        <v>89</v>
      </c>
      <c r="RDT5" s="394" t="s">
        <v>89</v>
      </c>
      <c r="RDU5" s="394" t="s">
        <v>89</v>
      </c>
      <c r="RDV5" s="394" t="s">
        <v>89</v>
      </c>
      <c r="RDW5" s="394" t="s">
        <v>89</v>
      </c>
      <c r="RDX5" s="394" t="s">
        <v>89</v>
      </c>
      <c r="RDY5" s="394" t="s">
        <v>89</v>
      </c>
      <c r="RDZ5" s="394" t="s">
        <v>89</v>
      </c>
      <c r="REA5" s="394" t="s">
        <v>89</v>
      </c>
      <c r="REB5" s="394" t="s">
        <v>89</v>
      </c>
      <c r="REC5" s="394" t="s">
        <v>89</v>
      </c>
      <c r="RED5" s="394" t="s">
        <v>89</v>
      </c>
      <c r="REE5" s="394" t="s">
        <v>89</v>
      </c>
      <c r="REF5" s="394" t="s">
        <v>89</v>
      </c>
      <c r="REG5" s="394" t="s">
        <v>89</v>
      </c>
      <c r="REH5" s="394" t="s">
        <v>89</v>
      </c>
      <c r="REI5" s="394" t="s">
        <v>89</v>
      </c>
      <c r="REJ5" s="394" t="s">
        <v>89</v>
      </c>
      <c r="REK5" s="394" t="s">
        <v>89</v>
      </c>
      <c r="REL5" s="394" t="s">
        <v>89</v>
      </c>
      <c r="REM5" s="394" t="s">
        <v>89</v>
      </c>
      <c r="REN5" s="394" t="s">
        <v>89</v>
      </c>
      <c r="REO5" s="394" t="s">
        <v>89</v>
      </c>
      <c r="REP5" s="394" t="s">
        <v>89</v>
      </c>
      <c r="REQ5" s="394" t="s">
        <v>89</v>
      </c>
      <c r="RER5" s="394" t="s">
        <v>89</v>
      </c>
      <c r="RES5" s="394" t="s">
        <v>89</v>
      </c>
      <c r="RET5" s="394" t="s">
        <v>89</v>
      </c>
      <c r="REU5" s="394" t="s">
        <v>89</v>
      </c>
      <c r="REV5" s="394" t="s">
        <v>89</v>
      </c>
      <c r="REW5" s="394" t="s">
        <v>89</v>
      </c>
      <c r="REX5" s="394" t="s">
        <v>89</v>
      </c>
      <c r="REY5" s="394" t="s">
        <v>89</v>
      </c>
      <c r="REZ5" s="394" t="s">
        <v>89</v>
      </c>
      <c r="RFA5" s="394" t="s">
        <v>89</v>
      </c>
      <c r="RFB5" s="394" t="s">
        <v>89</v>
      </c>
      <c r="RFC5" s="394" t="s">
        <v>89</v>
      </c>
      <c r="RFD5" s="394" t="s">
        <v>89</v>
      </c>
      <c r="RFE5" s="394" t="s">
        <v>89</v>
      </c>
      <c r="RFF5" s="394" t="s">
        <v>89</v>
      </c>
      <c r="RFG5" s="394" t="s">
        <v>89</v>
      </c>
      <c r="RFH5" s="394" t="s">
        <v>89</v>
      </c>
      <c r="RFI5" s="394" t="s">
        <v>89</v>
      </c>
      <c r="RFJ5" s="394" t="s">
        <v>89</v>
      </c>
      <c r="RFK5" s="394" t="s">
        <v>89</v>
      </c>
      <c r="RFL5" s="394" t="s">
        <v>89</v>
      </c>
      <c r="RFM5" s="394" t="s">
        <v>89</v>
      </c>
      <c r="RFN5" s="394" t="s">
        <v>89</v>
      </c>
      <c r="RFO5" s="394" t="s">
        <v>89</v>
      </c>
      <c r="RFP5" s="394" t="s">
        <v>89</v>
      </c>
      <c r="RFQ5" s="394" t="s">
        <v>89</v>
      </c>
      <c r="RFR5" s="394" t="s">
        <v>89</v>
      </c>
      <c r="RFS5" s="394" t="s">
        <v>89</v>
      </c>
      <c r="RFT5" s="394" t="s">
        <v>89</v>
      </c>
      <c r="RFU5" s="394" t="s">
        <v>89</v>
      </c>
      <c r="RFV5" s="394" t="s">
        <v>89</v>
      </c>
      <c r="RFW5" s="394" t="s">
        <v>89</v>
      </c>
      <c r="RFX5" s="394" t="s">
        <v>89</v>
      </c>
      <c r="RFY5" s="394" t="s">
        <v>89</v>
      </c>
      <c r="RFZ5" s="394" t="s">
        <v>89</v>
      </c>
      <c r="RGA5" s="394" t="s">
        <v>89</v>
      </c>
      <c r="RGB5" s="394" t="s">
        <v>89</v>
      </c>
      <c r="RGC5" s="394" t="s">
        <v>89</v>
      </c>
      <c r="RGD5" s="394" t="s">
        <v>89</v>
      </c>
      <c r="RGE5" s="394" t="s">
        <v>89</v>
      </c>
      <c r="RGF5" s="394" t="s">
        <v>89</v>
      </c>
      <c r="RGG5" s="394" t="s">
        <v>89</v>
      </c>
      <c r="RGH5" s="394" t="s">
        <v>89</v>
      </c>
      <c r="RGI5" s="394" t="s">
        <v>89</v>
      </c>
      <c r="RGJ5" s="394" t="s">
        <v>89</v>
      </c>
      <c r="RGK5" s="394" t="s">
        <v>89</v>
      </c>
      <c r="RGL5" s="394" t="s">
        <v>89</v>
      </c>
      <c r="RGM5" s="394" t="s">
        <v>89</v>
      </c>
      <c r="RGN5" s="394" t="s">
        <v>89</v>
      </c>
      <c r="RGO5" s="394" t="s">
        <v>89</v>
      </c>
      <c r="RGP5" s="394" t="s">
        <v>89</v>
      </c>
      <c r="RGQ5" s="394" t="s">
        <v>89</v>
      </c>
      <c r="RGR5" s="394" t="s">
        <v>89</v>
      </c>
      <c r="RGS5" s="394" t="s">
        <v>89</v>
      </c>
      <c r="RGT5" s="394" t="s">
        <v>89</v>
      </c>
      <c r="RGU5" s="394" t="s">
        <v>89</v>
      </c>
      <c r="RGV5" s="394" t="s">
        <v>89</v>
      </c>
      <c r="RGW5" s="394" t="s">
        <v>89</v>
      </c>
      <c r="RGX5" s="394" t="s">
        <v>89</v>
      </c>
      <c r="RGY5" s="394" t="s">
        <v>89</v>
      </c>
      <c r="RGZ5" s="394" t="s">
        <v>89</v>
      </c>
      <c r="RHA5" s="394" t="s">
        <v>89</v>
      </c>
      <c r="RHB5" s="394" t="s">
        <v>89</v>
      </c>
      <c r="RHC5" s="394" t="s">
        <v>89</v>
      </c>
      <c r="RHD5" s="394" t="s">
        <v>89</v>
      </c>
      <c r="RHE5" s="394" t="s">
        <v>89</v>
      </c>
      <c r="RHF5" s="394" t="s">
        <v>89</v>
      </c>
      <c r="RHG5" s="394" t="s">
        <v>89</v>
      </c>
      <c r="RHH5" s="394" t="s">
        <v>89</v>
      </c>
      <c r="RHI5" s="394" t="s">
        <v>89</v>
      </c>
      <c r="RHJ5" s="394" t="s">
        <v>89</v>
      </c>
      <c r="RHK5" s="394" t="s">
        <v>89</v>
      </c>
      <c r="RHL5" s="394" t="s">
        <v>89</v>
      </c>
      <c r="RHM5" s="394" t="s">
        <v>89</v>
      </c>
      <c r="RHN5" s="394" t="s">
        <v>89</v>
      </c>
      <c r="RHO5" s="394" t="s">
        <v>89</v>
      </c>
      <c r="RHP5" s="394" t="s">
        <v>89</v>
      </c>
      <c r="RHQ5" s="394" t="s">
        <v>89</v>
      </c>
      <c r="RHR5" s="394" t="s">
        <v>89</v>
      </c>
      <c r="RHS5" s="394" t="s">
        <v>89</v>
      </c>
      <c r="RHT5" s="394" t="s">
        <v>89</v>
      </c>
      <c r="RHU5" s="394" t="s">
        <v>89</v>
      </c>
      <c r="RHV5" s="394" t="s">
        <v>89</v>
      </c>
      <c r="RHW5" s="394" t="s">
        <v>89</v>
      </c>
      <c r="RHX5" s="394" t="s">
        <v>89</v>
      </c>
      <c r="RHY5" s="394" t="s">
        <v>89</v>
      </c>
      <c r="RHZ5" s="394" t="s">
        <v>89</v>
      </c>
      <c r="RIA5" s="394" t="s">
        <v>89</v>
      </c>
      <c r="RIB5" s="394" t="s">
        <v>89</v>
      </c>
      <c r="RIC5" s="394" t="s">
        <v>89</v>
      </c>
      <c r="RID5" s="394" t="s">
        <v>89</v>
      </c>
      <c r="RIE5" s="394" t="s">
        <v>89</v>
      </c>
      <c r="RIF5" s="394" t="s">
        <v>89</v>
      </c>
      <c r="RIG5" s="394" t="s">
        <v>89</v>
      </c>
      <c r="RIH5" s="394" t="s">
        <v>89</v>
      </c>
      <c r="RII5" s="394" t="s">
        <v>89</v>
      </c>
      <c r="RIJ5" s="394" t="s">
        <v>89</v>
      </c>
      <c r="RIK5" s="394" t="s">
        <v>89</v>
      </c>
      <c r="RIL5" s="394" t="s">
        <v>89</v>
      </c>
      <c r="RIM5" s="394" t="s">
        <v>89</v>
      </c>
      <c r="RIN5" s="394" t="s">
        <v>89</v>
      </c>
      <c r="RIO5" s="394" t="s">
        <v>89</v>
      </c>
      <c r="RIP5" s="394" t="s">
        <v>89</v>
      </c>
      <c r="RIQ5" s="394" t="s">
        <v>89</v>
      </c>
      <c r="RIR5" s="394" t="s">
        <v>89</v>
      </c>
      <c r="RIS5" s="394" t="s">
        <v>89</v>
      </c>
      <c r="RIT5" s="394" t="s">
        <v>89</v>
      </c>
      <c r="RIU5" s="394" t="s">
        <v>89</v>
      </c>
      <c r="RIV5" s="394" t="s">
        <v>89</v>
      </c>
      <c r="RIW5" s="394" t="s">
        <v>89</v>
      </c>
      <c r="RIX5" s="394" t="s">
        <v>89</v>
      </c>
      <c r="RIY5" s="394" t="s">
        <v>89</v>
      </c>
      <c r="RIZ5" s="394" t="s">
        <v>89</v>
      </c>
      <c r="RJA5" s="394" t="s">
        <v>89</v>
      </c>
      <c r="RJB5" s="394" t="s">
        <v>89</v>
      </c>
      <c r="RJC5" s="394" t="s">
        <v>89</v>
      </c>
      <c r="RJD5" s="394" t="s">
        <v>89</v>
      </c>
      <c r="RJE5" s="394" t="s">
        <v>89</v>
      </c>
      <c r="RJF5" s="394" t="s">
        <v>89</v>
      </c>
      <c r="RJG5" s="394" t="s">
        <v>89</v>
      </c>
      <c r="RJH5" s="394" t="s">
        <v>89</v>
      </c>
      <c r="RJI5" s="394" t="s">
        <v>89</v>
      </c>
      <c r="RJJ5" s="394" t="s">
        <v>89</v>
      </c>
      <c r="RJK5" s="394" t="s">
        <v>89</v>
      </c>
      <c r="RJL5" s="394" t="s">
        <v>89</v>
      </c>
      <c r="RJM5" s="394" t="s">
        <v>89</v>
      </c>
      <c r="RJN5" s="394" t="s">
        <v>89</v>
      </c>
      <c r="RJO5" s="394" t="s">
        <v>89</v>
      </c>
      <c r="RJP5" s="394" t="s">
        <v>89</v>
      </c>
      <c r="RJQ5" s="394" t="s">
        <v>89</v>
      </c>
      <c r="RJR5" s="394" t="s">
        <v>89</v>
      </c>
      <c r="RJS5" s="394" t="s">
        <v>89</v>
      </c>
      <c r="RJT5" s="394" t="s">
        <v>89</v>
      </c>
      <c r="RJU5" s="394" t="s">
        <v>89</v>
      </c>
      <c r="RJV5" s="394" t="s">
        <v>89</v>
      </c>
      <c r="RJW5" s="394" t="s">
        <v>89</v>
      </c>
      <c r="RJX5" s="394" t="s">
        <v>89</v>
      </c>
      <c r="RJY5" s="394" t="s">
        <v>89</v>
      </c>
      <c r="RJZ5" s="394" t="s">
        <v>89</v>
      </c>
      <c r="RKA5" s="394" t="s">
        <v>89</v>
      </c>
      <c r="RKB5" s="394" t="s">
        <v>89</v>
      </c>
      <c r="RKC5" s="394" t="s">
        <v>89</v>
      </c>
      <c r="RKD5" s="394" t="s">
        <v>89</v>
      </c>
      <c r="RKE5" s="394" t="s">
        <v>89</v>
      </c>
      <c r="RKF5" s="394" t="s">
        <v>89</v>
      </c>
      <c r="RKG5" s="394" t="s">
        <v>89</v>
      </c>
      <c r="RKH5" s="394" t="s">
        <v>89</v>
      </c>
      <c r="RKI5" s="394" t="s">
        <v>89</v>
      </c>
      <c r="RKJ5" s="394" t="s">
        <v>89</v>
      </c>
      <c r="RKK5" s="394" t="s">
        <v>89</v>
      </c>
      <c r="RKL5" s="394" t="s">
        <v>89</v>
      </c>
      <c r="RKM5" s="394" t="s">
        <v>89</v>
      </c>
      <c r="RKN5" s="394" t="s">
        <v>89</v>
      </c>
      <c r="RKO5" s="394" t="s">
        <v>89</v>
      </c>
      <c r="RKP5" s="394" t="s">
        <v>89</v>
      </c>
      <c r="RKQ5" s="394" t="s">
        <v>89</v>
      </c>
      <c r="RKR5" s="394" t="s">
        <v>89</v>
      </c>
      <c r="RKS5" s="394" t="s">
        <v>89</v>
      </c>
      <c r="RKT5" s="394" t="s">
        <v>89</v>
      </c>
      <c r="RKU5" s="394" t="s">
        <v>89</v>
      </c>
      <c r="RKV5" s="394" t="s">
        <v>89</v>
      </c>
      <c r="RKW5" s="394" t="s">
        <v>89</v>
      </c>
      <c r="RKX5" s="394" t="s">
        <v>89</v>
      </c>
      <c r="RKY5" s="394" t="s">
        <v>89</v>
      </c>
      <c r="RKZ5" s="394" t="s">
        <v>89</v>
      </c>
      <c r="RLA5" s="394" t="s">
        <v>89</v>
      </c>
      <c r="RLB5" s="394" t="s">
        <v>89</v>
      </c>
      <c r="RLC5" s="394" t="s">
        <v>89</v>
      </c>
      <c r="RLD5" s="394" t="s">
        <v>89</v>
      </c>
      <c r="RLE5" s="394" t="s">
        <v>89</v>
      </c>
      <c r="RLF5" s="394" t="s">
        <v>89</v>
      </c>
      <c r="RLG5" s="394" t="s">
        <v>89</v>
      </c>
      <c r="RLH5" s="394" t="s">
        <v>89</v>
      </c>
      <c r="RLI5" s="394" t="s">
        <v>89</v>
      </c>
      <c r="RLJ5" s="394" t="s">
        <v>89</v>
      </c>
      <c r="RLK5" s="394" t="s">
        <v>89</v>
      </c>
      <c r="RLL5" s="394" t="s">
        <v>89</v>
      </c>
      <c r="RLM5" s="394" t="s">
        <v>89</v>
      </c>
      <c r="RLN5" s="394" t="s">
        <v>89</v>
      </c>
      <c r="RLO5" s="394" t="s">
        <v>89</v>
      </c>
      <c r="RLP5" s="394" t="s">
        <v>89</v>
      </c>
      <c r="RLQ5" s="394" t="s">
        <v>89</v>
      </c>
      <c r="RLR5" s="394" t="s">
        <v>89</v>
      </c>
      <c r="RLS5" s="394" t="s">
        <v>89</v>
      </c>
      <c r="RLT5" s="394" t="s">
        <v>89</v>
      </c>
      <c r="RLU5" s="394" t="s">
        <v>89</v>
      </c>
      <c r="RLV5" s="394" t="s">
        <v>89</v>
      </c>
      <c r="RLW5" s="394" t="s">
        <v>89</v>
      </c>
      <c r="RLX5" s="394" t="s">
        <v>89</v>
      </c>
      <c r="RLY5" s="394" t="s">
        <v>89</v>
      </c>
      <c r="RLZ5" s="394" t="s">
        <v>89</v>
      </c>
      <c r="RMA5" s="394" t="s">
        <v>89</v>
      </c>
      <c r="RMB5" s="394" t="s">
        <v>89</v>
      </c>
      <c r="RMC5" s="394" t="s">
        <v>89</v>
      </c>
      <c r="RMD5" s="394" t="s">
        <v>89</v>
      </c>
      <c r="RME5" s="394" t="s">
        <v>89</v>
      </c>
      <c r="RMF5" s="394" t="s">
        <v>89</v>
      </c>
      <c r="RMG5" s="394" t="s">
        <v>89</v>
      </c>
      <c r="RMH5" s="394" t="s">
        <v>89</v>
      </c>
      <c r="RMI5" s="394" t="s">
        <v>89</v>
      </c>
      <c r="RMJ5" s="394" t="s">
        <v>89</v>
      </c>
      <c r="RMK5" s="394" t="s">
        <v>89</v>
      </c>
      <c r="RML5" s="394" t="s">
        <v>89</v>
      </c>
      <c r="RMM5" s="394" t="s">
        <v>89</v>
      </c>
      <c r="RMN5" s="394" t="s">
        <v>89</v>
      </c>
      <c r="RMO5" s="394" t="s">
        <v>89</v>
      </c>
      <c r="RMP5" s="394" t="s">
        <v>89</v>
      </c>
      <c r="RMQ5" s="394" t="s">
        <v>89</v>
      </c>
      <c r="RMR5" s="394" t="s">
        <v>89</v>
      </c>
      <c r="RMS5" s="394" t="s">
        <v>89</v>
      </c>
      <c r="RMT5" s="394" t="s">
        <v>89</v>
      </c>
      <c r="RMU5" s="394" t="s">
        <v>89</v>
      </c>
      <c r="RMV5" s="394" t="s">
        <v>89</v>
      </c>
      <c r="RMW5" s="394" t="s">
        <v>89</v>
      </c>
      <c r="RMX5" s="394" t="s">
        <v>89</v>
      </c>
      <c r="RMY5" s="394" t="s">
        <v>89</v>
      </c>
      <c r="RMZ5" s="394" t="s">
        <v>89</v>
      </c>
      <c r="RNA5" s="394" t="s">
        <v>89</v>
      </c>
      <c r="RNB5" s="394" t="s">
        <v>89</v>
      </c>
      <c r="RNC5" s="394" t="s">
        <v>89</v>
      </c>
      <c r="RND5" s="394" t="s">
        <v>89</v>
      </c>
      <c r="RNE5" s="394" t="s">
        <v>89</v>
      </c>
      <c r="RNF5" s="394" t="s">
        <v>89</v>
      </c>
      <c r="RNG5" s="394" t="s">
        <v>89</v>
      </c>
      <c r="RNH5" s="394" t="s">
        <v>89</v>
      </c>
      <c r="RNI5" s="394" t="s">
        <v>89</v>
      </c>
      <c r="RNJ5" s="394" t="s">
        <v>89</v>
      </c>
      <c r="RNK5" s="394" t="s">
        <v>89</v>
      </c>
      <c r="RNL5" s="394" t="s">
        <v>89</v>
      </c>
      <c r="RNM5" s="394" t="s">
        <v>89</v>
      </c>
      <c r="RNN5" s="394" t="s">
        <v>89</v>
      </c>
      <c r="RNO5" s="394" t="s">
        <v>89</v>
      </c>
      <c r="RNP5" s="394" t="s">
        <v>89</v>
      </c>
      <c r="RNQ5" s="394" t="s">
        <v>89</v>
      </c>
      <c r="RNR5" s="394" t="s">
        <v>89</v>
      </c>
      <c r="RNS5" s="394" t="s">
        <v>89</v>
      </c>
      <c r="RNT5" s="394" t="s">
        <v>89</v>
      </c>
      <c r="RNU5" s="394" t="s">
        <v>89</v>
      </c>
      <c r="RNV5" s="394" t="s">
        <v>89</v>
      </c>
      <c r="RNW5" s="394" t="s">
        <v>89</v>
      </c>
      <c r="RNX5" s="394" t="s">
        <v>89</v>
      </c>
      <c r="RNY5" s="394" t="s">
        <v>89</v>
      </c>
      <c r="RNZ5" s="394" t="s">
        <v>89</v>
      </c>
      <c r="ROA5" s="394" t="s">
        <v>89</v>
      </c>
      <c r="ROB5" s="394" t="s">
        <v>89</v>
      </c>
      <c r="ROC5" s="394" t="s">
        <v>89</v>
      </c>
      <c r="ROD5" s="394" t="s">
        <v>89</v>
      </c>
      <c r="ROE5" s="394" t="s">
        <v>89</v>
      </c>
      <c r="ROF5" s="394" t="s">
        <v>89</v>
      </c>
      <c r="ROG5" s="394" t="s">
        <v>89</v>
      </c>
      <c r="ROH5" s="394" t="s">
        <v>89</v>
      </c>
      <c r="ROI5" s="394" t="s">
        <v>89</v>
      </c>
      <c r="ROJ5" s="394" t="s">
        <v>89</v>
      </c>
      <c r="ROK5" s="394" t="s">
        <v>89</v>
      </c>
      <c r="ROL5" s="394" t="s">
        <v>89</v>
      </c>
      <c r="ROM5" s="394" t="s">
        <v>89</v>
      </c>
      <c r="RON5" s="394" t="s">
        <v>89</v>
      </c>
      <c r="ROO5" s="394" t="s">
        <v>89</v>
      </c>
      <c r="ROP5" s="394" t="s">
        <v>89</v>
      </c>
      <c r="ROQ5" s="394" t="s">
        <v>89</v>
      </c>
      <c r="ROR5" s="394" t="s">
        <v>89</v>
      </c>
      <c r="ROS5" s="394" t="s">
        <v>89</v>
      </c>
      <c r="ROT5" s="394" t="s">
        <v>89</v>
      </c>
      <c r="ROU5" s="394" t="s">
        <v>89</v>
      </c>
      <c r="ROV5" s="394" t="s">
        <v>89</v>
      </c>
      <c r="ROW5" s="394" t="s">
        <v>89</v>
      </c>
      <c r="ROX5" s="394" t="s">
        <v>89</v>
      </c>
      <c r="ROY5" s="394" t="s">
        <v>89</v>
      </c>
      <c r="ROZ5" s="394" t="s">
        <v>89</v>
      </c>
      <c r="RPA5" s="394" t="s">
        <v>89</v>
      </c>
      <c r="RPB5" s="394" t="s">
        <v>89</v>
      </c>
      <c r="RPC5" s="394" t="s">
        <v>89</v>
      </c>
      <c r="RPD5" s="394" t="s">
        <v>89</v>
      </c>
      <c r="RPE5" s="394" t="s">
        <v>89</v>
      </c>
      <c r="RPF5" s="394" t="s">
        <v>89</v>
      </c>
      <c r="RPG5" s="394" t="s">
        <v>89</v>
      </c>
      <c r="RPH5" s="394" t="s">
        <v>89</v>
      </c>
      <c r="RPI5" s="394" t="s">
        <v>89</v>
      </c>
      <c r="RPJ5" s="394" t="s">
        <v>89</v>
      </c>
      <c r="RPK5" s="394" t="s">
        <v>89</v>
      </c>
      <c r="RPL5" s="394" t="s">
        <v>89</v>
      </c>
      <c r="RPM5" s="394" t="s">
        <v>89</v>
      </c>
      <c r="RPN5" s="394" t="s">
        <v>89</v>
      </c>
      <c r="RPO5" s="394" t="s">
        <v>89</v>
      </c>
      <c r="RPP5" s="394" t="s">
        <v>89</v>
      </c>
      <c r="RPQ5" s="394" t="s">
        <v>89</v>
      </c>
      <c r="RPR5" s="394" t="s">
        <v>89</v>
      </c>
      <c r="RPS5" s="394" t="s">
        <v>89</v>
      </c>
      <c r="RPT5" s="394" t="s">
        <v>89</v>
      </c>
      <c r="RPU5" s="394" t="s">
        <v>89</v>
      </c>
      <c r="RPV5" s="394" t="s">
        <v>89</v>
      </c>
      <c r="RPW5" s="394" t="s">
        <v>89</v>
      </c>
      <c r="RPX5" s="394" t="s">
        <v>89</v>
      </c>
      <c r="RPY5" s="394" t="s">
        <v>89</v>
      </c>
      <c r="RPZ5" s="394" t="s">
        <v>89</v>
      </c>
      <c r="RQA5" s="394" t="s">
        <v>89</v>
      </c>
      <c r="RQB5" s="394" t="s">
        <v>89</v>
      </c>
      <c r="RQC5" s="394" t="s">
        <v>89</v>
      </c>
      <c r="RQD5" s="394" t="s">
        <v>89</v>
      </c>
      <c r="RQE5" s="394" t="s">
        <v>89</v>
      </c>
      <c r="RQF5" s="394" t="s">
        <v>89</v>
      </c>
      <c r="RQG5" s="394" t="s">
        <v>89</v>
      </c>
      <c r="RQH5" s="394" t="s">
        <v>89</v>
      </c>
      <c r="RQI5" s="394" t="s">
        <v>89</v>
      </c>
      <c r="RQJ5" s="394" t="s">
        <v>89</v>
      </c>
      <c r="RQK5" s="394" t="s">
        <v>89</v>
      </c>
      <c r="RQL5" s="394" t="s">
        <v>89</v>
      </c>
      <c r="RQM5" s="394" t="s">
        <v>89</v>
      </c>
      <c r="RQN5" s="394" t="s">
        <v>89</v>
      </c>
      <c r="RQO5" s="394" t="s">
        <v>89</v>
      </c>
      <c r="RQP5" s="394" t="s">
        <v>89</v>
      </c>
      <c r="RQQ5" s="394" t="s">
        <v>89</v>
      </c>
      <c r="RQR5" s="394" t="s">
        <v>89</v>
      </c>
      <c r="RQS5" s="394" t="s">
        <v>89</v>
      </c>
      <c r="RQT5" s="394" t="s">
        <v>89</v>
      </c>
      <c r="RQU5" s="394" t="s">
        <v>89</v>
      </c>
      <c r="RQV5" s="394" t="s">
        <v>89</v>
      </c>
      <c r="RQW5" s="394" t="s">
        <v>89</v>
      </c>
      <c r="RQX5" s="394" t="s">
        <v>89</v>
      </c>
      <c r="RQY5" s="394" t="s">
        <v>89</v>
      </c>
      <c r="RQZ5" s="394" t="s">
        <v>89</v>
      </c>
      <c r="RRA5" s="394" t="s">
        <v>89</v>
      </c>
      <c r="RRB5" s="394" t="s">
        <v>89</v>
      </c>
      <c r="RRC5" s="394" t="s">
        <v>89</v>
      </c>
      <c r="RRD5" s="394" t="s">
        <v>89</v>
      </c>
      <c r="RRE5" s="394" t="s">
        <v>89</v>
      </c>
      <c r="RRF5" s="394" t="s">
        <v>89</v>
      </c>
      <c r="RRG5" s="394" t="s">
        <v>89</v>
      </c>
      <c r="RRH5" s="394" t="s">
        <v>89</v>
      </c>
      <c r="RRI5" s="394" t="s">
        <v>89</v>
      </c>
      <c r="RRJ5" s="394" t="s">
        <v>89</v>
      </c>
      <c r="RRK5" s="394" t="s">
        <v>89</v>
      </c>
      <c r="RRL5" s="394" t="s">
        <v>89</v>
      </c>
      <c r="RRM5" s="394" t="s">
        <v>89</v>
      </c>
      <c r="RRN5" s="394" t="s">
        <v>89</v>
      </c>
      <c r="RRO5" s="394" t="s">
        <v>89</v>
      </c>
      <c r="RRP5" s="394" t="s">
        <v>89</v>
      </c>
      <c r="RRQ5" s="394" t="s">
        <v>89</v>
      </c>
      <c r="RRR5" s="394" t="s">
        <v>89</v>
      </c>
      <c r="RRS5" s="394" t="s">
        <v>89</v>
      </c>
      <c r="RRT5" s="394" t="s">
        <v>89</v>
      </c>
      <c r="RRU5" s="394" t="s">
        <v>89</v>
      </c>
      <c r="RRV5" s="394" t="s">
        <v>89</v>
      </c>
      <c r="RRW5" s="394" t="s">
        <v>89</v>
      </c>
      <c r="RRX5" s="394" t="s">
        <v>89</v>
      </c>
      <c r="RRY5" s="394" t="s">
        <v>89</v>
      </c>
      <c r="RRZ5" s="394" t="s">
        <v>89</v>
      </c>
      <c r="RSA5" s="394" t="s">
        <v>89</v>
      </c>
      <c r="RSB5" s="394" t="s">
        <v>89</v>
      </c>
      <c r="RSC5" s="394" t="s">
        <v>89</v>
      </c>
      <c r="RSD5" s="394" t="s">
        <v>89</v>
      </c>
      <c r="RSE5" s="394" t="s">
        <v>89</v>
      </c>
      <c r="RSF5" s="394" t="s">
        <v>89</v>
      </c>
      <c r="RSG5" s="394" t="s">
        <v>89</v>
      </c>
      <c r="RSH5" s="394" t="s">
        <v>89</v>
      </c>
      <c r="RSI5" s="394" t="s">
        <v>89</v>
      </c>
      <c r="RSJ5" s="394" t="s">
        <v>89</v>
      </c>
      <c r="RSK5" s="394" t="s">
        <v>89</v>
      </c>
      <c r="RSL5" s="394" t="s">
        <v>89</v>
      </c>
      <c r="RSM5" s="394" t="s">
        <v>89</v>
      </c>
      <c r="RSN5" s="394" t="s">
        <v>89</v>
      </c>
      <c r="RSO5" s="394" t="s">
        <v>89</v>
      </c>
      <c r="RSP5" s="394" t="s">
        <v>89</v>
      </c>
      <c r="RSQ5" s="394" t="s">
        <v>89</v>
      </c>
      <c r="RSR5" s="394" t="s">
        <v>89</v>
      </c>
      <c r="RSS5" s="394" t="s">
        <v>89</v>
      </c>
      <c r="RST5" s="394" t="s">
        <v>89</v>
      </c>
      <c r="RSU5" s="394" t="s">
        <v>89</v>
      </c>
      <c r="RSV5" s="394" t="s">
        <v>89</v>
      </c>
      <c r="RSW5" s="394" t="s">
        <v>89</v>
      </c>
      <c r="RSX5" s="394" t="s">
        <v>89</v>
      </c>
      <c r="RSY5" s="394" t="s">
        <v>89</v>
      </c>
      <c r="RSZ5" s="394" t="s">
        <v>89</v>
      </c>
      <c r="RTA5" s="394" t="s">
        <v>89</v>
      </c>
      <c r="RTB5" s="394" t="s">
        <v>89</v>
      </c>
      <c r="RTC5" s="394" t="s">
        <v>89</v>
      </c>
      <c r="RTD5" s="394" t="s">
        <v>89</v>
      </c>
      <c r="RTE5" s="394" t="s">
        <v>89</v>
      </c>
      <c r="RTF5" s="394" t="s">
        <v>89</v>
      </c>
      <c r="RTG5" s="394" t="s">
        <v>89</v>
      </c>
      <c r="RTH5" s="394" t="s">
        <v>89</v>
      </c>
      <c r="RTI5" s="394" t="s">
        <v>89</v>
      </c>
      <c r="RTJ5" s="394" t="s">
        <v>89</v>
      </c>
      <c r="RTK5" s="394" t="s">
        <v>89</v>
      </c>
      <c r="RTL5" s="394" t="s">
        <v>89</v>
      </c>
      <c r="RTM5" s="394" t="s">
        <v>89</v>
      </c>
      <c r="RTN5" s="394" t="s">
        <v>89</v>
      </c>
      <c r="RTO5" s="394" t="s">
        <v>89</v>
      </c>
      <c r="RTP5" s="394" t="s">
        <v>89</v>
      </c>
      <c r="RTQ5" s="394" t="s">
        <v>89</v>
      </c>
      <c r="RTR5" s="394" t="s">
        <v>89</v>
      </c>
      <c r="RTS5" s="394" t="s">
        <v>89</v>
      </c>
      <c r="RTT5" s="394" t="s">
        <v>89</v>
      </c>
      <c r="RTU5" s="394" t="s">
        <v>89</v>
      </c>
      <c r="RTV5" s="394" t="s">
        <v>89</v>
      </c>
      <c r="RTW5" s="394" t="s">
        <v>89</v>
      </c>
      <c r="RTX5" s="394" t="s">
        <v>89</v>
      </c>
      <c r="RTY5" s="394" t="s">
        <v>89</v>
      </c>
      <c r="RTZ5" s="394" t="s">
        <v>89</v>
      </c>
      <c r="RUA5" s="394" t="s">
        <v>89</v>
      </c>
      <c r="RUB5" s="394" t="s">
        <v>89</v>
      </c>
      <c r="RUC5" s="394" t="s">
        <v>89</v>
      </c>
      <c r="RUD5" s="394" t="s">
        <v>89</v>
      </c>
      <c r="RUE5" s="394" t="s">
        <v>89</v>
      </c>
      <c r="RUF5" s="394" t="s">
        <v>89</v>
      </c>
      <c r="RUG5" s="394" t="s">
        <v>89</v>
      </c>
      <c r="RUH5" s="394" t="s">
        <v>89</v>
      </c>
      <c r="RUI5" s="394" t="s">
        <v>89</v>
      </c>
      <c r="RUJ5" s="394" t="s">
        <v>89</v>
      </c>
      <c r="RUK5" s="394" t="s">
        <v>89</v>
      </c>
      <c r="RUL5" s="394" t="s">
        <v>89</v>
      </c>
      <c r="RUM5" s="394" t="s">
        <v>89</v>
      </c>
      <c r="RUN5" s="394" t="s">
        <v>89</v>
      </c>
      <c r="RUO5" s="394" t="s">
        <v>89</v>
      </c>
      <c r="RUP5" s="394" t="s">
        <v>89</v>
      </c>
      <c r="RUQ5" s="394" t="s">
        <v>89</v>
      </c>
      <c r="RUR5" s="394" t="s">
        <v>89</v>
      </c>
      <c r="RUS5" s="394" t="s">
        <v>89</v>
      </c>
      <c r="RUT5" s="394" t="s">
        <v>89</v>
      </c>
      <c r="RUU5" s="394" t="s">
        <v>89</v>
      </c>
      <c r="RUV5" s="394" t="s">
        <v>89</v>
      </c>
      <c r="RUW5" s="394" t="s">
        <v>89</v>
      </c>
      <c r="RUX5" s="394" t="s">
        <v>89</v>
      </c>
      <c r="RUY5" s="394" t="s">
        <v>89</v>
      </c>
      <c r="RUZ5" s="394" t="s">
        <v>89</v>
      </c>
      <c r="RVA5" s="394" t="s">
        <v>89</v>
      </c>
      <c r="RVB5" s="394" t="s">
        <v>89</v>
      </c>
      <c r="RVC5" s="394" t="s">
        <v>89</v>
      </c>
      <c r="RVD5" s="394" t="s">
        <v>89</v>
      </c>
      <c r="RVE5" s="394" t="s">
        <v>89</v>
      </c>
      <c r="RVF5" s="394" t="s">
        <v>89</v>
      </c>
      <c r="RVG5" s="394" t="s">
        <v>89</v>
      </c>
      <c r="RVH5" s="394" t="s">
        <v>89</v>
      </c>
      <c r="RVI5" s="394" t="s">
        <v>89</v>
      </c>
      <c r="RVJ5" s="394" t="s">
        <v>89</v>
      </c>
      <c r="RVK5" s="394" t="s">
        <v>89</v>
      </c>
      <c r="RVL5" s="394" t="s">
        <v>89</v>
      </c>
      <c r="RVM5" s="394" t="s">
        <v>89</v>
      </c>
      <c r="RVN5" s="394" t="s">
        <v>89</v>
      </c>
      <c r="RVO5" s="394" t="s">
        <v>89</v>
      </c>
      <c r="RVP5" s="394" t="s">
        <v>89</v>
      </c>
      <c r="RVQ5" s="394" t="s">
        <v>89</v>
      </c>
      <c r="RVR5" s="394" t="s">
        <v>89</v>
      </c>
      <c r="RVS5" s="394" t="s">
        <v>89</v>
      </c>
      <c r="RVT5" s="394" t="s">
        <v>89</v>
      </c>
      <c r="RVU5" s="394" t="s">
        <v>89</v>
      </c>
      <c r="RVV5" s="394" t="s">
        <v>89</v>
      </c>
      <c r="RVW5" s="394" t="s">
        <v>89</v>
      </c>
      <c r="RVX5" s="394" t="s">
        <v>89</v>
      </c>
      <c r="RVY5" s="394" t="s">
        <v>89</v>
      </c>
      <c r="RVZ5" s="394" t="s">
        <v>89</v>
      </c>
      <c r="RWA5" s="394" t="s">
        <v>89</v>
      </c>
      <c r="RWB5" s="394" t="s">
        <v>89</v>
      </c>
      <c r="RWC5" s="394" t="s">
        <v>89</v>
      </c>
      <c r="RWD5" s="394" t="s">
        <v>89</v>
      </c>
      <c r="RWE5" s="394" t="s">
        <v>89</v>
      </c>
      <c r="RWF5" s="394" t="s">
        <v>89</v>
      </c>
      <c r="RWG5" s="394" t="s">
        <v>89</v>
      </c>
      <c r="RWH5" s="394" t="s">
        <v>89</v>
      </c>
      <c r="RWI5" s="394" t="s">
        <v>89</v>
      </c>
      <c r="RWJ5" s="394" t="s">
        <v>89</v>
      </c>
      <c r="RWK5" s="394" t="s">
        <v>89</v>
      </c>
      <c r="RWL5" s="394" t="s">
        <v>89</v>
      </c>
      <c r="RWM5" s="394" t="s">
        <v>89</v>
      </c>
      <c r="RWN5" s="394" t="s">
        <v>89</v>
      </c>
      <c r="RWO5" s="394" t="s">
        <v>89</v>
      </c>
      <c r="RWP5" s="394" t="s">
        <v>89</v>
      </c>
      <c r="RWQ5" s="394" t="s">
        <v>89</v>
      </c>
      <c r="RWR5" s="394" t="s">
        <v>89</v>
      </c>
      <c r="RWS5" s="394" t="s">
        <v>89</v>
      </c>
      <c r="RWT5" s="394" t="s">
        <v>89</v>
      </c>
      <c r="RWU5" s="394" t="s">
        <v>89</v>
      </c>
      <c r="RWV5" s="394" t="s">
        <v>89</v>
      </c>
      <c r="RWW5" s="394" t="s">
        <v>89</v>
      </c>
      <c r="RWX5" s="394" t="s">
        <v>89</v>
      </c>
      <c r="RWY5" s="394" t="s">
        <v>89</v>
      </c>
      <c r="RWZ5" s="394" t="s">
        <v>89</v>
      </c>
      <c r="RXA5" s="394" t="s">
        <v>89</v>
      </c>
      <c r="RXB5" s="394" t="s">
        <v>89</v>
      </c>
      <c r="RXC5" s="394" t="s">
        <v>89</v>
      </c>
      <c r="RXD5" s="394" t="s">
        <v>89</v>
      </c>
      <c r="RXE5" s="394" t="s">
        <v>89</v>
      </c>
      <c r="RXF5" s="394" t="s">
        <v>89</v>
      </c>
      <c r="RXG5" s="394" t="s">
        <v>89</v>
      </c>
      <c r="RXH5" s="394" t="s">
        <v>89</v>
      </c>
      <c r="RXI5" s="394" t="s">
        <v>89</v>
      </c>
      <c r="RXJ5" s="394" t="s">
        <v>89</v>
      </c>
      <c r="RXK5" s="394" t="s">
        <v>89</v>
      </c>
      <c r="RXL5" s="394" t="s">
        <v>89</v>
      </c>
      <c r="RXM5" s="394" t="s">
        <v>89</v>
      </c>
      <c r="RXN5" s="394" t="s">
        <v>89</v>
      </c>
      <c r="RXO5" s="394" t="s">
        <v>89</v>
      </c>
      <c r="RXP5" s="394" t="s">
        <v>89</v>
      </c>
      <c r="RXQ5" s="394" t="s">
        <v>89</v>
      </c>
      <c r="RXR5" s="394" t="s">
        <v>89</v>
      </c>
      <c r="RXS5" s="394" t="s">
        <v>89</v>
      </c>
      <c r="RXT5" s="394" t="s">
        <v>89</v>
      </c>
      <c r="RXU5" s="394" t="s">
        <v>89</v>
      </c>
      <c r="RXV5" s="394" t="s">
        <v>89</v>
      </c>
      <c r="RXW5" s="394" t="s">
        <v>89</v>
      </c>
      <c r="RXX5" s="394" t="s">
        <v>89</v>
      </c>
      <c r="RXY5" s="394" t="s">
        <v>89</v>
      </c>
      <c r="RXZ5" s="394" t="s">
        <v>89</v>
      </c>
      <c r="RYA5" s="394" t="s">
        <v>89</v>
      </c>
      <c r="RYB5" s="394" t="s">
        <v>89</v>
      </c>
      <c r="RYC5" s="394" t="s">
        <v>89</v>
      </c>
      <c r="RYD5" s="394" t="s">
        <v>89</v>
      </c>
      <c r="RYE5" s="394" t="s">
        <v>89</v>
      </c>
      <c r="RYF5" s="394" t="s">
        <v>89</v>
      </c>
      <c r="RYG5" s="394" t="s">
        <v>89</v>
      </c>
      <c r="RYH5" s="394" t="s">
        <v>89</v>
      </c>
      <c r="RYI5" s="394" t="s">
        <v>89</v>
      </c>
      <c r="RYJ5" s="394" t="s">
        <v>89</v>
      </c>
      <c r="RYK5" s="394" t="s">
        <v>89</v>
      </c>
      <c r="RYL5" s="394" t="s">
        <v>89</v>
      </c>
      <c r="RYM5" s="394" t="s">
        <v>89</v>
      </c>
      <c r="RYN5" s="394" t="s">
        <v>89</v>
      </c>
      <c r="RYO5" s="394" t="s">
        <v>89</v>
      </c>
      <c r="RYP5" s="394" t="s">
        <v>89</v>
      </c>
      <c r="RYQ5" s="394" t="s">
        <v>89</v>
      </c>
      <c r="RYR5" s="394" t="s">
        <v>89</v>
      </c>
      <c r="RYS5" s="394" t="s">
        <v>89</v>
      </c>
      <c r="RYT5" s="394" t="s">
        <v>89</v>
      </c>
      <c r="RYU5" s="394" t="s">
        <v>89</v>
      </c>
      <c r="RYV5" s="394" t="s">
        <v>89</v>
      </c>
      <c r="RYW5" s="394" t="s">
        <v>89</v>
      </c>
      <c r="RYX5" s="394" t="s">
        <v>89</v>
      </c>
      <c r="RYY5" s="394" t="s">
        <v>89</v>
      </c>
      <c r="RYZ5" s="394" t="s">
        <v>89</v>
      </c>
      <c r="RZA5" s="394" t="s">
        <v>89</v>
      </c>
      <c r="RZB5" s="394" t="s">
        <v>89</v>
      </c>
      <c r="RZC5" s="394" t="s">
        <v>89</v>
      </c>
      <c r="RZD5" s="394" t="s">
        <v>89</v>
      </c>
      <c r="RZE5" s="394" t="s">
        <v>89</v>
      </c>
      <c r="RZF5" s="394" t="s">
        <v>89</v>
      </c>
      <c r="RZG5" s="394" t="s">
        <v>89</v>
      </c>
      <c r="RZH5" s="394" t="s">
        <v>89</v>
      </c>
      <c r="RZI5" s="394" t="s">
        <v>89</v>
      </c>
      <c r="RZJ5" s="394" t="s">
        <v>89</v>
      </c>
      <c r="RZK5" s="394" t="s">
        <v>89</v>
      </c>
      <c r="RZL5" s="394" t="s">
        <v>89</v>
      </c>
      <c r="RZM5" s="394" t="s">
        <v>89</v>
      </c>
      <c r="RZN5" s="394" t="s">
        <v>89</v>
      </c>
      <c r="RZO5" s="394" t="s">
        <v>89</v>
      </c>
      <c r="RZP5" s="394" t="s">
        <v>89</v>
      </c>
      <c r="RZQ5" s="394" t="s">
        <v>89</v>
      </c>
      <c r="RZR5" s="394" t="s">
        <v>89</v>
      </c>
      <c r="RZS5" s="394" t="s">
        <v>89</v>
      </c>
      <c r="RZT5" s="394" t="s">
        <v>89</v>
      </c>
      <c r="RZU5" s="394" t="s">
        <v>89</v>
      </c>
      <c r="RZV5" s="394" t="s">
        <v>89</v>
      </c>
      <c r="RZW5" s="394" t="s">
        <v>89</v>
      </c>
      <c r="RZX5" s="394" t="s">
        <v>89</v>
      </c>
      <c r="RZY5" s="394" t="s">
        <v>89</v>
      </c>
      <c r="RZZ5" s="394" t="s">
        <v>89</v>
      </c>
      <c r="SAA5" s="394" t="s">
        <v>89</v>
      </c>
      <c r="SAB5" s="394" t="s">
        <v>89</v>
      </c>
      <c r="SAC5" s="394" t="s">
        <v>89</v>
      </c>
      <c r="SAD5" s="394" t="s">
        <v>89</v>
      </c>
      <c r="SAE5" s="394" t="s">
        <v>89</v>
      </c>
      <c r="SAF5" s="394" t="s">
        <v>89</v>
      </c>
      <c r="SAG5" s="394" t="s">
        <v>89</v>
      </c>
      <c r="SAH5" s="394" t="s">
        <v>89</v>
      </c>
      <c r="SAI5" s="394" t="s">
        <v>89</v>
      </c>
      <c r="SAJ5" s="394" t="s">
        <v>89</v>
      </c>
      <c r="SAK5" s="394" t="s">
        <v>89</v>
      </c>
      <c r="SAL5" s="394" t="s">
        <v>89</v>
      </c>
      <c r="SAM5" s="394" t="s">
        <v>89</v>
      </c>
      <c r="SAN5" s="394" t="s">
        <v>89</v>
      </c>
      <c r="SAO5" s="394" t="s">
        <v>89</v>
      </c>
      <c r="SAP5" s="394" t="s">
        <v>89</v>
      </c>
      <c r="SAQ5" s="394" t="s">
        <v>89</v>
      </c>
      <c r="SAR5" s="394" t="s">
        <v>89</v>
      </c>
      <c r="SAS5" s="394" t="s">
        <v>89</v>
      </c>
      <c r="SAT5" s="394" t="s">
        <v>89</v>
      </c>
      <c r="SAU5" s="394" t="s">
        <v>89</v>
      </c>
      <c r="SAV5" s="394" t="s">
        <v>89</v>
      </c>
      <c r="SAW5" s="394" t="s">
        <v>89</v>
      </c>
      <c r="SAX5" s="394" t="s">
        <v>89</v>
      </c>
      <c r="SAY5" s="394" t="s">
        <v>89</v>
      </c>
      <c r="SAZ5" s="394" t="s">
        <v>89</v>
      </c>
      <c r="SBA5" s="394" t="s">
        <v>89</v>
      </c>
      <c r="SBB5" s="394" t="s">
        <v>89</v>
      </c>
      <c r="SBC5" s="394" t="s">
        <v>89</v>
      </c>
      <c r="SBD5" s="394" t="s">
        <v>89</v>
      </c>
      <c r="SBE5" s="394" t="s">
        <v>89</v>
      </c>
      <c r="SBF5" s="394" t="s">
        <v>89</v>
      </c>
      <c r="SBG5" s="394" t="s">
        <v>89</v>
      </c>
      <c r="SBH5" s="394" t="s">
        <v>89</v>
      </c>
      <c r="SBI5" s="394" t="s">
        <v>89</v>
      </c>
      <c r="SBJ5" s="394" t="s">
        <v>89</v>
      </c>
      <c r="SBK5" s="394" t="s">
        <v>89</v>
      </c>
      <c r="SBL5" s="394" t="s">
        <v>89</v>
      </c>
      <c r="SBM5" s="394" t="s">
        <v>89</v>
      </c>
      <c r="SBN5" s="394" t="s">
        <v>89</v>
      </c>
      <c r="SBO5" s="394" t="s">
        <v>89</v>
      </c>
      <c r="SBP5" s="394" t="s">
        <v>89</v>
      </c>
      <c r="SBQ5" s="394" t="s">
        <v>89</v>
      </c>
      <c r="SBR5" s="394" t="s">
        <v>89</v>
      </c>
      <c r="SBS5" s="394" t="s">
        <v>89</v>
      </c>
      <c r="SBT5" s="394" t="s">
        <v>89</v>
      </c>
      <c r="SBU5" s="394" t="s">
        <v>89</v>
      </c>
      <c r="SBV5" s="394" t="s">
        <v>89</v>
      </c>
      <c r="SBW5" s="394" t="s">
        <v>89</v>
      </c>
      <c r="SBX5" s="394" t="s">
        <v>89</v>
      </c>
      <c r="SBY5" s="394" t="s">
        <v>89</v>
      </c>
      <c r="SBZ5" s="394" t="s">
        <v>89</v>
      </c>
      <c r="SCA5" s="394" t="s">
        <v>89</v>
      </c>
      <c r="SCB5" s="394" t="s">
        <v>89</v>
      </c>
      <c r="SCC5" s="394" t="s">
        <v>89</v>
      </c>
      <c r="SCD5" s="394" t="s">
        <v>89</v>
      </c>
      <c r="SCE5" s="394" t="s">
        <v>89</v>
      </c>
      <c r="SCF5" s="394" t="s">
        <v>89</v>
      </c>
      <c r="SCG5" s="394" t="s">
        <v>89</v>
      </c>
      <c r="SCH5" s="394" t="s">
        <v>89</v>
      </c>
      <c r="SCI5" s="394" t="s">
        <v>89</v>
      </c>
      <c r="SCJ5" s="394" t="s">
        <v>89</v>
      </c>
      <c r="SCK5" s="394" t="s">
        <v>89</v>
      </c>
      <c r="SCL5" s="394" t="s">
        <v>89</v>
      </c>
      <c r="SCM5" s="394" t="s">
        <v>89</v>
      </c>
      <c r="SCN5" s="394" t="s">
        <v>89</v>
      </c>
      <c r="SCO5" s="394" t="s">
        <v>89</v>
      </c>
      <c r="SCP5" s="394" t="s">
        <v>89</v>
      </c>
      <c r="SCQ5" s="394" t="s">
        <v>89</v>
      </c>
      <c r="SCR5" s="394" t="s">
        <v>89</v>
      </c>
      <c r="SCS5" s="394" t="s">
        <v>89</v>
      </c>
      <c r="SCT5" s="394" t="s">
        <v>89</v>
      </c>
      <c r="SCU5" s="394" t="s">
        <v>89</v>
      </c>
      <c r="SCV5" s="394" t="s">
        <v>89</v>
      </c>
      <c r="SCW5" s="394" t="s">
        <v>89</v>
      </c>
      <c r="SCX5" s="394" t="s">
        <v>89</v>
      </c>
      <c r="SCY5" s="394" t="s">
        <v>89</v>
      </c>
      <c r="SCZ5" s="394" t="s">
        <v>89</v>
      </c>
      <c r="SDA5" s="394" t="s">
        <v>89</v>
      </c>
      <c r="SDB5" s="394" t="s">
        <v>89</v>
      </c>
      <c r="SDC5" s="394" t="s">
        <v>89</v>
      </c>
      <c r="SDD5" s="394" t="s">
        <v>89</v>
      </c>
      <c r="SDE5" s="394" t="s">
        <v>89</v>
      </c>
      <c r="SDF5" s="394" t="s">
        <v>89</v>
      </c>
      <c r="SDG5" s="394" t="s">
        <v>89</v>
      </c>
      <c r="SDH5" s="394" t="s">
        <v>89</v>
      </c>
      <c r="SDI5" s="394" t="s">
        <v>89</v>
      </c>
      <c r="SDJ5" s="394" t="s">
        <v>89</v>
      </c>
      <c r="SDK5" s="394" t="s">
        <v>89</v>
      </c>
      <c r="SDL5" s="394" t="s">
        <v>89</v>
      </c>
      <c r="SDM5" s="394" t="s">
        <v>89</v>
      </c>
      <c r="SDN5" s="394" t="s">
        <v>89</v>
      </c>
      <c r="SDO5" s="394" t="s">
        <v>89</v>
      </c>
      <c r="SDP5" s="394" t="s">
        <v>89</v>
      </c>
      <c r="SDQ5" s="394" t="s">
        <v>89</v>
      </c>
      <c r="SDR5" s="394" t="s">
        <v>89</v>
      </c>
      <c r="SDS5" s="394" t="s">
        <v>89</v>
      </c>
      <c r="SDT5" s="394" t="s">
        <v>89</v>
      </c>
      <c r="SDU5" s="394" t="s">
        <v>89</v>
      </c>
      <c r="SDV5" s="394" t="s">
        <v>89</v>
      </c>
      <c r="SDW5" s="394" t="s">
        <v>89</v>
      </c>
      <c r="SDX5" s="394" t="s">
        <v>89</v>
      </c>
      <c r="SDY5" s="394" t="s">
        <v>89</v>
      </c>
      <c r="SDZ5" s="394" t="s">
        <v>89</v>
      </c>
      <c r="SEA5" s="394" t="s">
        <v>89</v>
      </c>
      <c r="SEB5" s="394" t="s">
        <v>89</v>
      </c>
      <c r="SEC5" s="394" t="s">
        <v>89</v>
      </c>
      <c r="SED5" s="394" t="s">
        <v>89</v>
      </c>
      <c r="SEE5" s="394" t="s">
        <v>89</v>
      </c>
      <c r="SEF5" s="394" t="s">
        <v>89</v>
      </c>
      <c r="SEG5" s="394" t="s">
        <v>89</v>
      </c>
      <c r="SEH5" s="394" t="s">
        <v>89</v>
      </c>
      <c r="SEI5" s="394" t="s">
        <v>89</v>
      </c>
      <c r="SEJ5" s="394" t="s">
        <v>89</v>
      </c>
      <c r="SEK5" s="394" t="s">
        <v>89</v>
      </c>
      <c r="SEL5" s="394" t="s">
        <v>89</v>
      </c>
      <c r="SEM5" s="394" t="s">
        <v>89</v>
      </c>
      <c r="SEN5" s="394" t="s">
        <v>89</v>
      </c>
      <c r="SEO5" s="394" t="s">
        <v>89</v>
      </c>
      <c r="SEP5" s="394" t="s">
        <v>89</v>
      </c>
      <c r="SEQ5" s="394" t="s">
        <v>89</v>
      </c>
      <c r="SER5" s="394" t="s">
        <v>89</v>
      </c>
      <c r="SES5" s="394" t="s">
        <v>89</v>
      </c>
      <c r="SET5" s="394" t="s">
        <v>89</v>
      </c>
      <c r="SEU5" s="394" t="s">
        <v>89</v>
      </c>
      <c r="SEV5" s="394" t="s">
        <v>89</v>
      </c>
      <c r="SEW5" s="394" t="s">
        <v>89</v>
      </c>
      <c r="SEX5" s="394" t="s">
        <v>89</v>
      </c>
      <c r="SEY5" s="394" t="s">
        <v>89</v>
      </c>
      <c r="SEZ5" s="394" t="s">
        <v>89</v>
      </c>
      <c r="SFA5" s="394" t="s">
        <v>89</v>
      </c>
      <c r="SFB5" s="394" t="s">
        <v>89</v>
      </c>
      <c r="SFC5" s="394" t="s">
        <v>89</v>
      </c>
      <c r="SFD5" s="394" t="s">
        <v>89</v>
      </c>
      <c r="SFE5" s="394" t="s">
        <v>89</v>
      </c>
      <c r="SFF5" s="394" t="s">
        <v>89</v>
      </c>
      <c r="SFG5" s="394" t="s">
        <v>89</v>
      </c>
      <c r="SFH5" s="394" t="s">
        <v>89</v>
      </c>
      <c r="SFI5" s="394" t="s">
        <v>89</v>
      </c>
      <c r="SFJ5" s="394" t="s">
        <v>89</v>
      </c>
      <c r="SFK5" s="394" t="s">
        <v>89</v>
      </c>
      <c r="SFL5" s="394" t="s">
        <v>89</v>
      </c>
      <c r="SFM5" s="394" t="s">
        <v>89</v>
      </c>
      <c r="SFN5" s="394" t="s">
        <v>89</v>
      </c>
      <c r="SFO5" s="394" t="s">
        <v>89</v>
      </c>
      <c r="SFP5" s="394" t="s">
        <v>89</v>
      </c>
      <c r="SFQ5" s="394" t="s">
        <v>89</v>
      </c>
      <c r="SFR5" s="394" t="s">
        <v>89</v>
      </c>
      <c r="SFS5" s="394" t="s">
        <v>89</v>
      </c>
      <c r="SFT5" s="394" t="s">
        <v>89</v>
      </c>
      <c r="SFU5" s="394" t="s">
        <v>89</v>
      </c>
      <c r="SFV5" s="394" t="s">
        <v>89</v>
      </c>
      <c r="SFW5" s="394" t="s">
        <v>89</v>
      </c>
      <c r="SFX5" s="394" t="s">
        <v>89</v>
      </c>
      <c r="SFY5" s="394" t="s">
        <v>89</v>
      </c>
      <c r="SFZ5" s="394" t="s">
        <v>89</v>
      </c>
      <c r="SGA5" s="394" t="s">
        <v>89</v>
      </c>
      <c r="SGB5" s="394" t="s">
        <v>89</v>
      </c>
      <c r="SGC5" s="394" t="s">
        <v>89</v>
      </c>
      <c r="SGD5" s="394" t="s">
        <v>89</v>
      </c>
      <c r="SGE5" s="394" t="s">
        <v>89</v>
      </c>
      <c r="SGF5" s="394" t="s">
        <v>89</v>
      </c>
      <c r="SGG5" s="394" t="s">
        <v>89</v>
      </c>
      <c r="SGH5" s="394" t="s">
        <v>89</v>
      </c>
      <c r="SGI5" s="394" t="s">
        <v>89</v>
      </c>
      <c r="SGJ5" s="394" t="s">
        <v>89</v>
      </c>
      <c r="SGK5" s="394" t="s">
        <v>89</v>
      </c>
      <c r="SGL5" s="394" t="s">
        <v>89</v>
      </c>
      <c r="SGM5" s="394" t="s">
        <v>89</v>
      </c>
      <c r="SGN5" s="394" t="s">
        <v>89</v>
      </c>
      <c r="SGO5" s="394" t="s">
        <v>89</v>
      </c>
      <c r="SGP5" s="394" t="s">
        <v>89</v>
      </c>
      <c r="SGQ5" s="394" t="s">
        <v>89</v>
      </c>
      <c r="SGR5" s="394" t="s">
        <v>89</v>
      </c>
      <c r="SGS5" s="394" t="s">
        <v>89</v>
      </c>
      <c r="SGT5" s="394" t="s">
        <v>89</v>
      </c>
      <c r="SGU5" s="394" t="s">
        <v>89</v>
      </c>
      <c r="SGV5" s="394" t="s">
        <v>89</v>
      </c>
      <c r="SGW5" s="394" t="s">
        <v>89</v>
      </c>
      <c r="SGX5" s="394" t="s">
        <v>89</v>
      </c>
      <c r="SGY5" s="394" t="s">
        <v>89</v>
      </c>
      <c r="SGZ5" s="394" t="s">
        <v>89</v>
      </c>
      <c r="SHA5" s="394" t="s">
        <v>89</v>
      </c>
      <c r="SHB5" s="394" t="s">
        <v>89</v>
      </c>
      <c r="SHC5" s="394" t="s">
        <v>89</v>
      </c>
      <c r="SHD5" s="394" t="s">
        <v>89</v>
      </c>
      <c r="SHE5" s="394" t="s">
        <v>89</v>
      </c>
      <c r="SHF5" s="394" t="s">
        <v>89</v>
      </c>
      <c r="SHG5" s="394" t="s">
        <v>89</v>
      </c>
      <c r="SHH5" s="394" t="s">
        <v>89</v>
      </c>
      <c r="SHI5" s="394" t="s">
        <v>89</v>
      </c>
      <c r="SHJ5" s="394" t="s">
        <v>89</v>
      </c>
      <c r="SHK5" s="394" t="s">
        <v>89</v>
      </c>
      <c r="SHL5" s="394" t="s">
        <v>89</v>
      </c>
      <c r="SHM5" s="394" t="s">
        <v>89</v>
      </c>
      <c r="SHN5" s="394" t="s">
        <v>89</v>
      </c>
      <c r="SHO5" s="394" t="s">
        <v>89</v>
      </c>
      <c r="SHP5" s="394" t="s">
        <v>89</v>
      </c>
      <c r="SHQ5" s="394" t="s">
        <v>89</v>
      </c>
      <c r="SHR5" s="394" t="s">
        <v>89</v>
      </c>
      <c r="SHS5" s="394" t="s">
        <v>89</v>
      </c>
      <c r="SHT5" s="394" t="s">
        <v>89</v>
      </c>
      <c r="SHU5" s="394" t="s">
        <v>89</v>
      </c>
      <c r="SHV5" s="394" t="s">
        <v>89</v>
      </c>
      <c r="SHW5" s="394" t="s">
        <v>89</v>
      </c>
      <c r="SHX5" s="394" t="s">
        <v>89</v>
      </c>
      <c r="SHY5" s="394" t="s">
        <v>89</v>
      </c>
      <c r="SHZ5" s="394" t="s">
        <v>89</v>
      </c>
      <c r="SIA5" s="394" t="s">
        <v>89</v>
      </c>
      <c r="SIB5" s="394" t="s">
        <v>89</v>
      </c>
      <c r="SIC5" s="394" t="s">
        <v>89</v>
      </c>
      <c r="SID5" s="394" t="s">
        <v>89</v>
      </c>
      <c r="SIE5" s="394" t="s">
        <v>89</v>
      </c>
      <c r="SIF5" s="394" t="s">
        <v>89</v>
      </c>
      <c r="SIG5" s="394" t="s">
        <v>89</v>
      </c>
      <c r="SIH5" s="394" t="s">
        <v>89</v>
      </c>
      <c r="SII5" s="394" t="s">
        <v>89</v>
      </c>
      <c r="SIJ5" s="394" t="s">
        <v>89</v>
      </c>
      <c r="SIK5" s="394" t="s">
        <v>89</v>
      </c>
      <c r="SIL5" s="394" t="s">
        <v>89</v>
      </c>
      <c r="SIM5" s="394" t="s">
        <v>89</v>
      </c>
      <c r="SIN5" s="394" t="s">
        <v>89</v>
      </c>
      <c r="SIO5" s="394" t="s">
        <v>89</v>
      </c>
      <c r="SIP5" s="394" t="s">
        <v>89</v>
      </c>
      <c r="SIQ5" s="394" t="s">
        <v>89</v>
      </c>
      <c r="SIR5" s="394" t="s">
        <v>89</v>
      </c>
      <c r="SIS5" s="394" t="s">
        <v>89</v>
      </c>
      <c r="SIT5" s="394" t="s">
        <v>89</v>
      </c>
      <c r="SIU5" s="394" t="s">
        <v>89</v>
      </c>
      <c r="SIV5" s="394" t="s">
        <v>89</v>
      </c>
      <c r="SIW5" s="394" t="s">
        <v>89</v>
      </c>
      <c r="SIX5" s="394" t="s">
        <v>89</v>
      </c>
      <c r="SIY5" s="394" t="s">
        <v>89</v>
      </c>
      <c r="SIZ5" s="394" t="s">
        <v>89</v>
      </c>
      <c r="SJA5" s="394" t="s">
        <v>89</v>
      </c>
      <c r="SJB5" s="394" t="s">
        <v>89</v>
      </c>
      <c r="SJC5" s="394" t="s">
        <v>89</v>
      </c>
      <c r="SJD5" s="394" t="s">
        <v>89</v>
      </c>
      <c r="SJE5" s="394" t="s">
        <v>89</v>
      </c>
      <c r="SJF5" s="394" t="s">
        <v>89</v>
      </c>
      <c r="SJG5" s="394" t="s">
        <v>89</v>
      </c>
      <c r="SJH5" s="394" t="s">
        <v>89</v>
      </c>
      <c r="SJI5" s="394" t="s">
        <v>89</v>
      </c>
      <c r="SJJ5" s="394" t="s">
        <v>89</v>
      </c>
      <c r="SJK5" s="394" t="s">
        <v>89</v>
      </c>
      <c r="SJL5" s="394" t="s">
        <v>89</v>
      </c>
      <c r="SJM5" s="394" t="s">
        <v>89</v>
      </c>
      <c r="SJN5" s="394" t="s">
        <v>89</v>
      </c>
      <c r="SJO5" s="394" t="s">
        <v>89</v>
      </c>
      <c r="SJP5" s="394" t="s">
        <v>89</v>
      </c>
      <c r="SJQ5" s="394" t="s">
        <v>89</v>
      </c>
      <c r="SJR5" s="394" t="s">
        <v>89</v>
      </c>
      <c r="SJS5" s="394" t="s">
        <v>89</v>
      </c>
      <c r="SJT5" s="394" t="s">
        <v>89</v>
      </c>
      <c r="SJU5" s="394" t="s">
        <v>89</v>
      </c>
      <c r="SJV5" s="394" t="s">
        <v>89</v>
      </c>
      <c r="SJW5" s="394" t="s">
        <v>89</v>
      </c>
      <c r="SJX5" s="394" t="s">
        <v>89</v>
      </c>
      <c r="SJY5" s="394" t="s">
        <v>89</v>
      </c>
      <c r="SJZ5" s="394" t="s">
        <v>89</v>
      </c>
      <c r="SKA5" s="394" t="s">
        <v>89</v>
      </c>
      <c r="SKB5" s="394" t="s">
        <v>89</v>
      </c>
      <c r="SKC5" s="394" t="s">
        <v>89</v>
      </c>
      <c r="SKD5" s="394" t="s">
        <v>89</v>
      </c>
      <c r="SKE5" s="394" t="s">
        <v>89</v>
      </c>
      <c r="SKF5" s="394" t="s">
        <v>89</v>
      </c>
      <c r="SKG5" s="394" t="s">
        <v>89</v>
      </c>
      <c r="SKH5" s="394" t="s">
        <v>89</v>
      </c>
      <c r="SKI5" s="394" t="s">
        <v>89</v>
      </c>
      <c r="SKJ5" s="394" t="s">
        <v>89</v>
      </c>
      <c r="SKK5" s="394" t="s">
        <v>89</v>
      </c>
      <c r="SKL5" s="394" t="s">
        <v>89</v>
      </c>
      <c r="SKM5" s="394" t="s">
        <v>89</v>
      </c>
      <c r="SKN5" s="394" t="s">
        <v>89</v>
      </c>
      <c r="SKO5" s="394" t="s">
        <v>89</v>
      </c>
      <c r="SKP5" s="394" t="s">
        <v>89</v>
      </c>
      <c r="SKQ5" s="394" t="s">
        <v>89</v>
      </c>
      <c r="SKR5" s="394" t="s">
        <v>89</v>
      </c>
      <c r="SKS5" s="394" t="s">
        <v>89</v>
      </c>
      <c r="SKT5" s="394" t="s">
        <v>89</v>
      </c>
      <c r="SKU5" s="394" t="s">
        <v>89</v>
      </c>
      <c r="SKV5" s="394" t="s">
        <v>89</v>
      </c>
      <c r="SKW5" s="394" t="s">
        <v>89</v>
      </c>
      <c r="SKX5" s="394" t="s">
        <v>89</v>
      </c>
      <c r="SKY5" s="394" t="s">
        <v>89</v>
      </c>
      <c r="SKZ5" s="394" t="s">
        <v>89</v>
      </c>
      <c r="SLA5" s="394" t="s">
        <v>89</v>
      </c>
      <c r="SLB5" s="394" t="s">
        <v>89</v>
      </c>
      <c r="SLC5" s="394" t="s">
        <v>89</v>
      </c>
      <c r="SLD5" s="394" t="s">
        <v>89</v>
      </c>
      <c r="SLE5" s="394" t="s">
        <v>89</v>
      </c>
      <c r="SLF5" s="394" t="s">
        <v>89</v>
      </c>
      <c r="SLG5" s="394" t="s">
        <v>89</v>
      </c>
      <c r="SLH5" s="394" t="s">
        <v>89</v>
      </c>
      <c r="SLI5" s="394" t="s">
        <v>89</v>
      </c>
      <c r="SLJ5" s="394" t="s">
        <v>89</v>
      </c>
      <c r="SLK5" s="394" t="s">
        <v>89</v>
      </c>
      <c r="SLL5" s="394" t="s">
        <v>89</v>
      </c>
      <c r="SLM5" s="394" t="s">
        <v>89</v>
      </c>
      <c r="SLN5" s="394" t="s">
        <v>89</v>
      </c>
      <c r="SLO5" s="394" t="s">
        <v>89</v>
      </c>
      <c r="SLP5" s="394" t="s">
        <v>89</v>
      </c>
      <c r="SLQ5" s="394" t="s">
        <v>89</v>
      </c>
      <c r="SLR5" s="394" t="s">
        <v>89</v>
      </c>
      <c r="SLS5" s="394" t="s">
        <v>89</v>
      </c>
      <c r="SLT5" s="394" t="s">
        <v>89</v>
      </c>
      <c r="SLU5" s="394" t="s">
        <v>89</v>
      </c>
      <c r="SLV5" s="394" t="s">
        <v>89</v>
      </c>
      <c r="SLW5" s="394" t="s">
        <v>89</v>
      </c>
      <c r="SLX5" s="394" t="s">
        <v>89</v>
      </c>
      <c r="SLY5" s="394" t="s">
        <v>89</v>
      </c>
      <c r="SLZ5" s="394" t="s">
        <v>89</v>
      </c>
      <c r="SMA5" s="394" t="s">
        <v>89</v>
      </c>
      <c r="SMB5" s="394" t="s">
        <v>89</v>
      </c>
      <c r="SMC5" s="394" t="s">
        <v>89</v>
      </c>
      <c r="SMD5" s="394" t="s">
        <v>89</v>
      </c>
      <c r="SME5" s="394" t="s">
        <v>89</v>
      </c>
      <c r="SMF5" s="394" t="s">
        <v>89</v>
      </c>
      <c r="SMG5" s="394" t="s">
        <v>89</v>
      </c>
      <c r="SMH5" s="394" t="s">
        <v>89</v>
      </c>
      <c r="SMI5" s="394" t="s">
        <v>89</v>
      </c>
      <c r="SMJ5" s="394" t="s">
        <v>89</v>
      </c>
      <c r="SMK5" s="394" t="s">
        <v>89</v>
      </c>
      <c r="SML5" s="394" t="s">
        <v>89</v>
      </c>
      <c r="SMM5" s="394" t="s">
        <v>89</v>
      </c>
      <c r="SMN5" s="394" t="s">
        <v>89</v>
      </c>
      <c r="SMO5" s="394" t="s">
        <v>89</v>
      </c>
      <c r="SMP5" s="394" t="s">
        <v>89</v>
      </c>
      <c r="SMQ5" s="394" t="s">
        <v>89</v>
      </c>
      <c r="SMR5" s="394" t="s">
        <v>89</v>
      </c>
      <c r="SMS5" s="394" t="s">
        <v>89</v>
      </c>
      <c r="SMT5" s="394" t="s">
        <v>89</v>
      </c>
      <c r="SMU5" s="394" t="s">
        <v>89</v>
      </c>
      <c r="SMV5" s="394" t="s">
        <v>89</v>
      </c>
      <c r="SMW5" s="394" t="s">
        <v>89</v>
      </c>
      <c r="SMX5" s="394" t="s">
        <v>89</v>
      </c>
      <c r="SMY5" s="394" t="s">
        <v>89</v>
      </c>
      <c r="SMZ5" s="394" t="s">
        <v>89</v>
      </c>
      <c r="SNA5" s="394" t="s">
        <v>89</v>
      </c>
      <c r="SNB5" s="394" t="s">
        <v>89</v>
      </c>
      <c r="SNC5" s="394" t="s">
        <v>89</v>
      </c>
      <c r="SND5" s="394" t="s">
        <v>89</v>
      </c>
      <c r="SNE5" s="394" t="s">
        <v>89</v>
      </c>
      <c r="SNF5" s="394" t="s">
        <v>89</v>
      </c>
      <c r="SNG5" s="394" t="s">
        <v>89</v>
      </c>
      <c r="SNH5" s="394" t="s">
        <v>89</v>
      </c>
      <c r="SNI5" s="394" t="s">
        <v>89</v>
      </c>
      <c r="SNJ5" s="394" t="s">
        <v>89</v>
      </c>
      <c r="SNK5" s="394" t="s">
        <v>89</v>
      </c>
      <c r="SNL5" s="394" t="s">
        <v>89</v>
      </c>
      <c r="SNM5" s="394" t="s">
        <v>89</v>
      </c>
      <c r="SNN5" s="394" t="s">
        <v>89</v>
      </c>
      <c r="SNO5" s="394" t="s">
        <v>89</v>
      </c>
      <c r="SNP5" s="394" t="s">
        <v>89</v>
      </c>
      <c r="SNQ5" s="394" t="s">
        <v>89</v>
      </c>
      <c r="SNR5" s="394" t="s">
        <v>89</v>
      </c>
      <c r="SNS5" s="394" t="s">
        <v>89</v>
      </c>
      <c r="SNT5" s="394" t="s">
        <v>89</v>
      </c>
      <c r="SNU5" s="394" t="s">
        <v>89</v>
      </c>
      <c r="SNV5" s="394" t="s">
        <v>89</v>
      </c>
      <c r="SNW5" s="394" t="s">
        <v>89</v>
      </c>
      <c r="SNX5" s="394" t="s">
        <v>89</v>
      </c>
      <c r="SNY5" s="394" t="s">
        <v>89</v>
      </c>
      <c r="SNZ5" s="394" t="s">
        <v>89</v>
      </c>
      <c r="SOA5" s="394" t="s">
        <v>89</v>
      </c>
      <c r="SOB5" s="394" t="s">
        <v>89</v>
      </c>
      <c r="SOC5" s="394" t="s">
        <v>89</v>
      </c>
      <c r="SOD5" s="394" t="s">
        <v>89</v>
      </c>
      <c r="SOE5" s="394" t="s">
        <v>89</v>
      </c>
      <c r="SOF5" s="394" t="s">
        <v>89</v>
      </c>
      <c r="SOG5" s="394" t="s">
        <v>89</v>
      </c>
      <c r="SOH5" s="394" t="s">
        <v>89</v>
      </c>
      <c r="SOI5" s="394" t="s">
        <v>89</v>
      </c>
      <c r="SOJ5" s="394" t="s">
        <v>89</v>
      </c>
      <c r="SOK5" s="394" t="s">
        <v>89</v>
      </c>
      <c r="SOL5" s="394" t="s">
        <v>89</v>
      </c>
      <c r="SOM5" s="394" t="s">
        <v>89</v>
      </c>
      <c r="SON5" s="394" t="s">
        <v>89</v>
      </c>
      <c r="SOO5" s="394" t="s">
        <v>89</v>
      </c>
      <c r="SOP5" s="394" t="s">
        <v>89</v>
      </c>
      <c r="SOQ5" s="394" t="s">
        <v>89</v>
      </c>
      <c r="SOR5" s="394" t="s">
        <v>89</v>
      </c>
      <c r="SOS5" s="394" t="s">
        <v>89</v>
      </c>
      <c r="SOT5" s="394" t="s">
        <v>89</v>
      </c>
      <c r="SOU5" s="394" t="s">
        <v>89</v>
      </c>
      <c r="SOV5" s="394" t="s">
        <v>89</v>
      </c>
      <c r="SOW5" s="394" t="s">
        <v>89</v>
      </c>
      <c r="SOX5" s="394" t="s">
        <v>89</v>
      </c>
      <c r="SOY5" s="394" t="s">
        <v>89</v>
      </c>
      <c r="SOZ5" s="394" t="s">
        <v>89</v>
      </c>
      <c r="SPA5" s="394" t="s">
        <v>89</v>
      </c>
      <c r="SPB5" s="394" t="s">
        <v>89</v>
      </c>
      <c r="SPC5" s="394" t="s">
        <v>89</v>
      </c>
      <c r="SPD5" s="394" t="s">
        <v>89</v>
      </c>
      <c r="SPE5" s="394" t="s">
        <v>89</v>
      </c>
      <c r="SPF5" s="394" t="s">
        <v>89</v>
      </c>
      <c r="SPG5" s="394" t="s">
        <v>89</v>
      </c>
      <c r="SPH5" s="394" t="s">
        <v>89</v>
      </c>
      <c r="SPI5" s="394" t="s">
        <v>89</v>
      </c>
      <c r="SPJ5" s="394" t="s">
        <v>89</v>
      </c>
      <c r="SPK5" s="394" t="s">
        <v>89</v>
      </c>
      <c r="SPL5" s="394" t="s">
        <v>89</v>
      </c>
      <c r="SPM5" s="394" t="s">
        <v>89</v>
      </c>
      <c r="SPN5" s="394" t="s">
        <v>89</v>
      </c>
      <c r="SPO5" s="394" t="s">
        <v>89</v>
      </c>
      <c r="SPP5" s="394" t="s">
        <v>89</v>
      </c>
      <c r="SPQ5" s="394" t="s">
        <v>89</v>
      </c>
      <c r="SPR5" s="394" t="s">
        <v>89</v>
      </c>
      <c r="SPS5" s="394" t="s">
        <v>89</v>
      </c>
      <c r="SPT5" s="394" t="s">
        <v>89</v>
      </c>
      <c r="SPU5" s="394" t="s">
        <v>89</v>
      </c>
      <c r="SPV5" s="394" t="s">
        <v>89</v>
      </c>
      <c r="SPW5" s="394" t="s">
        <v>89</v>
      </c>
      <c r="SPX5" s="394" t="s">
        <v>89</v>
      </c>
      <c r="SPY5" s="394" t="s">
        <v>89</v>
      </c>
      <c r="SPZ5" s="394" t="s">
        <v>89</v>
      </c>
      <c r="SQA5" s="394" t="s">
        <v>89</v>
      </c>
      <c r="SQB5" s="394" t="s">
        <v>89</v>
      </c>
      <c r="SQC5" s="394" t="s">
        <v>89</v>
      </c>
      <c r="SQD5" s="394" t="s">
        <v>89</v>
      </c>
      <c r="SQE5" s="394" t="s">
        <v>89</v>
      </c>
      <c r="SQF5" s="394" t="s">
        <v>89</v>
      </c>
      <c r="SQG5" s="394" t="s">
        <v>89</v>
      </c>
      <c r="SQH5" s="394" t="s">
        <v>89</v>
      </c>
      <c r="SQI5" s="394" t="s">
        <v>89</v>
      </c>
      <c r="SQJ5" s="394" t="s">
        <v>89</v>
      </c>
      <c r="SQK5" s="394" t="s">
        <v>89</v>
      </c>
      <c r="SQL5" s="394" t="s">
        <v>89</v>
      </c>
      <c r="SQM5" s="394" t="s">
        <v>89</v>
      </c>
      <c r="SQN5" s="394" t="s">
        <v>89</v>
      </c>
      <c r="SQO5" s="394" t="s">
        <v>89</v>
      </c>
      <c r="SQP5" s="394" t="s">
        <v>89</v>
      </c>
      <c r="SQQ5" s="394" t="s">
        <v>89</v>
      </c>
      <c r="SQR5" s="394" t="s">
        <v>89</v>
      </c>
      <c r="SQS5" s="394" t="s">
        <v>89</v>
      </c>
      <c r="SQT5" s="394" t="s">
        <v>89</v>
      </c>
      <c r="SQU5" s="394" t="s">
        <v>89</v>
      </c>
      <c r="SQV5" s="394" t="s">
        <v>89</v>
      </c>
      <c r="SQW5" s="394" t="s">
        <v>89</v>
      </c>
      <c r="SQX5" s="394" t="s">
        <v>89</v>
      </c>
      <c r="SQY5" s="394" t="s">
        <v>89</v>
      </c>
      <c r="SQZ5" s="394" t="s">
        <v>89</v>
      </c>
      <c r="SRA5" s="394" t="s">
        <v>89</v>
      </c>
      <c r="SRB5" s="394" t="s">
        <v>89</v>
      </c>
      <c r="SRC5" s="394" t="s">
        <v>89</v>
      </c>
      <c r="SRD5" s="394" t="s">
        <v>89</v>
      </c>
      <c r="SRE5" s="394" t="s">
        <v>89</v>
      </c>
      <c r="SRF5" s="394" t="s">
        <v>89</v>
      </c>
      <c r="SRG5" s="394" t="s">
        <v>89</v>
      </c>
      <c r="SRH5" s="394" t="s">
        <v>89</v>
      </c>
      <c r="SRI5" s="394" t="s">
        <v>89</v>
      </c>
      <c r="SRJ5" s="394" t="s">
        <v>89</v>
      </c>
      <c r="SRK5" s="394" t="s">
        <v>89</v>
      </c>
      <c r="SRL5" s="394" t="s">
        <v>89</v>
      </c>
      <c r="SRM5" s="394" t="s">
        <v>89</v>
      </c>
      <c r="SRN5" s="394" t="s">
        <v>89</v>
      </c>
      <c r="SRO5" s="394" t="s">
        <v>89</v>
      </c>
      <c r="SRP5" s="394" t="s">
        <v>89</v>
      </c>
      <c r="SRQ5" s="394" t="s">
        <v>89</v>
      </c>
      <c r="SRR5" s="394" t="s">
        <v>89</v>
      </c>
      <c r="SRS5" s="394" t="s">
        <v>89</v>
      </c>
      <c r="SRT5" s="394" t="s">
        <v>89</v>
      </c>
      <c r="SRU5" s="394" t="s">
        <v>89</v>
      </c>
      <c r="SRV5" s="394" t="s">
        <v>89</v>
      </c>
      <c r="SRW5" s="394" t="s">
        <v>89</v>
      </c>
      <c r="SRX5" s="394" t="s">
        <v>89</v>
      </c>
      <c r="SRY5" s="394" t="s">
        <v>89</v>
      </c>
      <c r="SRZ5" s="394" t="s">
        <v>89</v>
      </c>
      <c r="SSA5" s="394" t="s">
        <v>89</v>
      </c>
      <c r="SSB5" s="394" t="s">
        <v>89</v>
      </c>
      <c r="SSC5" s="394" t="s">
        <v>89</v>
      </c>
      <c r="SSD5" s="394" t="s">
        <v>89</v>
      </c>
      <c r="SSE5" s="394" t="s">
        <v>89</v>
      </c>
      <c r="SSF5" s="394" t="s">
        <v>89</v>
      </c>
      <c r="SSG5" s="394" t="s">
        <v>89</v>
      </c>
      <c r="SSH5" s="394" t="s">
        <v>89</v>
      </c>
      <c r="SSI5" s="394" t="s">
        <v>89</v>
      </c>
      <c r="SSJ5" s="394" t="s">
        <v>89</v>
      </c>
      <c r="SSK5" s="394" t="s">
        <v>89</v>
      </c>
      <c r="SSL5" s="394" t="s">
        <v>89</v>
      </c>
      <c r="SSM5" s="394" t="s">
        <v>89</v>
      </c>
      <c r="SSN5" s="394" t="s">
        <v>89</v>
      </c>
      <c r="SSO5" s="394" t="s">
        <v>89</v>
      </c>
      <c r="SSP5" s="394" t="s">
        <v>89</v>
      </c>
      <c r="SSQ5" s="394" t="s">
        <v>89</v>
      </c>
      <c r="SSR5" s="394" t="s">
        <v>89</v>
      </c>
      <c r="SSS5" s="394" t="s">
        <v>89</v>
      </c>
      <c r="SST5" s="394" t="s">
        <v>89</v>
      </c>
      <c r="SSU5" s="394" t="s">
        <v>89</v>
      </c>
      <c r="SSV5" s="394" t="s">
        <v>89</v>
      </c>
      <c r="SSW5" s="394" t="s">
        <v>89</v>
      </c>
      <c r="SSX5" s="394" t="s">
        <v>89</v>
      </c>
      <c r="SSY5" s="394" t="s">
        <v>89</v>
      </c>
      <c r="SSZ5" s="394" t="s">
        <v>89</v>
      </c>
      <c r="STA5" s="394" t="s">
        <v>89</v>
      </c>
      <c r="STB5" s="394" t="s">
        <v>89</v>
      </c>
      <c r="STC5" s="394" t="s">
        <v>89</v>
      </c>
      <c r="STD5" s="394" t="s">
        <v>89</v>
      </c>
      <c r="STE5" s="394" t="s">
        <v>89</v>
      </c>
      <c r="STF5" s="394" t="s">
        <v>89</v>
      </c>
      <c r="STG5" s="394" t="s">
        <v>89</v>
      </c>
      <c r="STH5" s="394" t="s">
        <v>89</v>
      </c>
      <c r="STI5" s="394" t="s">
        <v>89</v>
      </c>
      <c r="STJ5" s="394" t="s">
        <v>89</v>
      </c>
      <c r="STK5" s="394" t="s">
        <v>89</v>
      </c>
      <c r="STL5" s="394" t="s">
        <v>89</v>
      </c>
      <c r="STM5" s="394" t="s">
        <v>89</v>
      </c>
      <c r="STN5" s="394" t="s">
        <v>89</v>
      </c>
      <c r="STO5" s="394" t="s">
        <v>89</v>
      </c>
      <c r="STP5" s="394" t="s">
        <v>89</v>
      </c>
      <c r="STQ5" s="394" t="s">
        <v>89</v>
      </c>
      <c r="STR5" s="394" t="s">
        <v>89</v>
      </c>
      <c r="STS5" s="394" t="s">
        <v>89</v>
      </c>
      <c r="STT5" s="394" t="s">
        <v>89</v>
      </c>
      <c r="STU5" s="394" t="s">
        <v>89</v>
      </c>
      <c r="STV5" s="394" t="s">
        <v>89</v>
      </c>
      <c r="STW5" s="394" t="s">
        <v>89</v>
      </c>
      <c r="STX5" s="394" t="s">
        <v>89</v>
      </c>
      <c r="STY5" s="394" t="s">
        <v>89</v>
      </c>
      <c r="STZ5" s="394" t="s">
        <v>89</v>
      </c>
      <c r="SUA5" s="394" t="s">
        <v>89</v>
      </c>
      <c r="SUB5" s="394" t="s">
        <v>89</v>
      </c>
      <c r="SUC5" s="394" t="s">
        <v>89</v>
      </c>
      <c r="SUD5" s="394" t="s">
        <v>89</v>
      </c>
      <c r="SUE5" s="394" t="s">
        <v>89</v>
      </c>
      <c r="SUF5" s="394" t="s">
        <v>89</v>
      </c>
      <c r="SUG5" s="394" t="s">
        <v>89</v>
      </c>
      <c r="SUH5" s="394" t="s">
        <v>89</v>
      </c>
      <c r="SUI5" s="394" t="s">
        <v>89</v>
      </c>
      <c r="SUJ5" s="394" t="s">
        <v>89</v>
      </c>
      <c r="SUK5" s="394" t="s">
        <v>89</v>
      </c>
      <c r="SUL5" s="394" t="s">
        <v>89</v>
      </c>
      <c r="SUM5" s="394" t="s">
        <v>89</v>
      </c>
      <c r="SUN5" s="394" t="s">
        <v>89</v>
      </c>
      <c r="SUO5" s="394" t="s">
        <v>89</v>
      </c>
      <c r="SUP5" s="394" t="s">
        <v>89</v>
      </c>
      <c r="SUQ5" s="394" t="s">
        <v>89</v>
      </c>
      <c r="SUR5" s="394" t="s">
        <v>89</v>
      </c>
      <c r="SUS5" s="394" t="s">
        <v>89</v>
      </c>
      <c r="SUT5" s="394" t="s">
        <v>89</v>
      </c>
      <c r="SUU5" s="394" t="s">
        <v>89</v>
      </c>
      <c r="SUV5" s="394" t="s">
        <v>89</v>
      </c>
      <c r="SUW5" s="394" t="s">
        <v>89</v>
      </c>
      <c r="SUX5" s="394" t="s">
        <v>89</v>
      </c>
      <c r="SUY5" s="394" t="s">
        <v>89</v>
      </c>
      <c r="SUZ5" s="394" t="s">
        <v>89</v>
      </c>
      <c r="SVA5" s="394" t="s">
        <v>89</v>
      </c>
      <c r="SVB5" s="394" t="s">
        <v>89</v>
      </c>
      <c r="SVC5" s="394" t="s">
        <v>89</v>
      </c>
      <c r="SVD5" s="394" t="s">
        <v>89</v>
      </c>
      <c r="SVE5" s="394" t="s">
        <v>89</v>
      </c>
      <c r="SVF5" s="394" t="s">
        <v>89</v>
      </c>
      <c r="SVG5" s="394" t="s">
        <v>89</v>
      </c>
      <c r="SVH5" s="394" t="s">
        <v>89</v>
      </c>
      <c r="SVI5" s="394" t="s">
        <v>89</v>
      </c>
      <c r="SVJ5" s="394" t="s">
        <v>89</v>
      </c>
      <c r="SVK5" s="394" t="s">
        <v>89</v>
      </c>
      <c r="SVL5" s="394" t="s">
        <v>89</v>
      </c>
      <c r="SVM5" s="394" t="s">
        <v>89</v>
      </c>
      <c r="SVN5" s="394" t="s">
        <v>89</v>
      </c>
      <c r="SVO5" s="394" t="s">
        <v>89</v>
      </c>
      <c r="SVP5" s="394" t="s">
        <v>89</v>
      </c>
      <c r="SVQ5" s="394" t="s">
        <v>89</v>
      </c>
      <c r="SVR5" s="394" t="s">
        <v>89</v>
      </c>
      <c r="SVS5" s="394" t="s">
        <v>89</v>
      </c>
      <c r="SVT5" s="394" t="s">
        <v>89</v>
      </c>
      <c r="SVU5" s="394" t="s">
        <v>89</v>
      </c>
      <c r="SVV5" s="394" t="s">
        <v>89</v>
      </c>
      <c r="SVW5" s="394" t="s">
        <v>89</v>
      </c>
      <c r="SVX5" s="394" t="s">
        <v>89</v>
      </c>
      <c r="SVY5" s="394" t="s">
        <v>89</v>
      </c>
      <c r="SVZ5" s="394" t="s">
        <v>89</v>
      </c>
      <c r="SWA5" s="394" t="s">
        <v>89</v>
      </c>
      <c r="SWB5" s="394" t="s">
        <v>89</v>
      </c>
      <c r="SWC5" s="394" t="s">
        <v>89</v>
      </c>
      <c r="SWD5" s="394" t="s">
        <v>89</v>
      </c>
      <c r="SWE5" s="394" t="s">
        <v>89</v>
      </c>
      <c r="SWF5" s="394" t="s">
        <v>89</v>
      </c>
      <c r="SWG5" s="394" t="s">
        <v>89</v>
      </c>
      <c r="SWH5" s="394" t="s">
        <v>89</v>
      </c>
      <c r="SWI5" s="394" t="s">
        <v>89</v>
      </c>
      <c r="SWJ5" s="394" t="s">
        <v>89</v>
      </c>
      <c r="SWK5" s="394" t="s">
        <v>89</v>
      </c>
      <c r="SWL5" s="394" t="s">
        <v>89</v>
      </c>
      <c r="SWM5" s="394" t="s">
        <v>89</v>
      </c>
      <c r="SWN5" s="394" t="s">
        <v>89</v>
      </c>
      <c r="SWO5" s="394" t="s">
        <v>89</v>
      </c>
      <c r="SWP5" s="394" t="s">
        <v>89</v>
      </c>
      <c r="SWQ5" s="394" t="s">
        <v>89</v>
      </c>
      <c r="SWR5" s="394" t="s">
        <v>89</v>
      </c>
      <c r="SWS5" s="394" t="s">
        <v>89</v>
      </c>
      <c r="SWT5" s="394" t="s">
        <v>89</v>
      </c>
      <c r="SWU5" s="394" t="s">
        <v>89</v>
      </c>
      <c r="SWV5" s="394" t="s">
        <v>89</v>
      </c>
      <c r="SWW5" s="394" t="s">
        <v>89</v>
      </c>
      <c r="SWX5" s="394" t="s">
        <v>89</v>
      </c>
      <c r="SWY5" s="394" t="s">
        <v>89</v>
      </c>
      <c r="SWZ5" s="394" t="s">
        <v>89</v>
      </c>
      <c r="SXA5" s="394" t="s">
        <v>89</v>
      </c>
      <c r="SXB5" s="394" t="s">
        <v>89</v>
      </c>
      <c r="SXC5" s="394" t="s">
        <v>89</v>
      </c>
      <c r="SXD5" s="394" t="s">
        <v>89</v>
      </c>
      <c r="SXE5" s="394" t="s">
        <v>89</v>
      </c>
      <c r="SXF5" s="394" t="s">
        <v>89</v>
      </c>
      <c r="SXG5" s="394" t="s">
        <v>89</v>
      </c>
      <c r="SXH5" s="394" t="s">
        <v>89</v>
      </c>
      <c r="SXI5" s="394" t="s">
        <v>89</v>
      </c>
      <c r="SXJ5" s="394" t="s">
        <v>89</v>
      </c>
      <c r="SXK5" s="394" t="s">
        <v>89</v>
      </c>
      <c r="SXL5" s="394" t="s">
        <v>89</v>
      </c>
      <c r="SXM5" s="394" t="s">
        <v>89</v>
      </c>
      <c r="SXN5" s="394" t="s">
        <v>89</v>
      </c>
      <c r="SXO5" s="394" t="s">
        <v>89</v>
      </c>
      <c r="SXP5" s="394" t="s">
        <v>89</v>
      </c>
      <c r="SXQ5" s="394" t="s">
        <v>89</v>
      </c>
      <c r="SXR5" s="394" t="s">
        <v>89</v>
      </c>
      <c r="SXS5" s="394" t="s">
        <v>89</v>
      </c>
      <c r="SXT5" s="394" t="s">
        <v>89</v>
      </c>
      <c r="SXU5" s="394" t="s">
        <v>89</v>
      </c>
      <c r="SXV5" s="394" t="s">
        <v>89</v>
      </c>
      <c r="SXW5" s="394" t="s">
        <v>89</v>
      </c>
      <c r="SXX5" s="394" t="s">
        <v>89</v>
      </c>
      <c r="SXY5" s="394" t="s">
        <v>89</v>
      </c>
      <c r="SXZ5" s="394" t="s">
        <v>89</v>
      </c>
      <c r="SYA5" s="394" t="s">
        <v>89</v>
      </c>
      <c r="SYB5" s="394" t="s">
        <v>89</v>
      </c>
      <c r="SYC5" s="394" t="s">
        <v>89</v>
      </c>
      <c r="SYD5" s="394" t="s">
        <v>89</v>
      </c>
      <c r="SYE5" s="394" t="s">
        <v>89</v>
      </c>
      <c r="SYF5" s="394" t="s">
        <v>89</v>
      </c>
      <c r="SYG5" s="394" t="s">
        <v>89</v>
      </c>
      <c r="SYH5" s="394" t="s">
        <v>89</v>
      </c>
      <c r="SYI5" s="394" t="s">
        <v>89</v>
      </c>
      <c r="SYJ5" s="394" t="s">
        <v>89</v>
      </c>
      <c r="SYK5" s="394" t="s">
        <v>89</v>
      </c>
      <c r="SYL5" s="394" t="s">
        <v>89</v>
      </c>
      <c r="SYM5" s="394" t="s">
        <v>89</v>
      </c>
      <c r="SYN5" s="394" t="s">
        <v>89</v>
      </c>
      <c r="SYO5" s="394" t="s">
        <v>89</v>
      </c>
      <c r="SYP5" s="394" t="s">
        <v>89</v>
      </c>
      <c r="SYQ5" s="394" t="s">
        <v>89</v>
      </c>
      <c r="SYR5" s="394" t="s">
        <v>89</v>
      </c>
      <c r="SYS5" s="394" t="s">
        <v>89</v>
      </c>
      <c r="SYT5" s="394" t="s">
        <v>89</v>
      </c>
      <c r="SYU5" s="394" t="s">
        <v>89</v>
      </c>
      <c r="SYV5" s="394" t="s">
        <v>89</v>
      </c>
      <c r="SYW5" s="394" t="s">
        <v>89</v>
      </c>
      <c r="SYX5" s="394" t="s">
        <v>89</v>
      </c>
      <c r="SYY5" s="394" t="s">
        <v>89</v>
      </c>
      <c r="SYZ5" s="394" t="s">
        <v>89</v>
      </c>
      <c r="SZA5" s="394" t="s">
        <v>89</v>
      </c>
      <c r="SZB5" s="394" t="s">
        <v>89</v>
      </c>
      <c r="SZC5" s="394" t="s">
        <v>89</v>
      </c>
      <c r="SZD5" s="394" t="s">
        <v>89</v>
      </c>
      <c r="SZE5" s="394" t="s">
        <v>89</v>
      </c>
      <c r="SZF5" s="394" t="s">
        <v>89</v>
      </c>
      <c r="SZG5" s="394" t="s">
        <v>89</v>
      </c>
      <c r="SZH5" s="394" t="s">
        <v>89</v>
      </c>
      <c r="SZI5" s="394" t="s">
        <v>89</v>
      </c>
      <c r="SZJ5" s="394" t="s">
        <v>89</v>
      </c>
      <c r="SZK5" s="394" t="s">
        <v>89</v>
      </c>
      <c r="SZL5" s="394" t="s">
        <v>89</v>
      </c>
      <c r="SZM5" s="394" t="s">
        <v>89</v>
      </c>
      <c r="SZN5" s="394" t="s">
        <v>89</v>
      </c>
      <c r="SZO5" s="394" t="s">
        <v>89</v>
      </c>
      <c r="SZP5" s="394" t="s">
        <v>89</v>
      </c>
      <c r="SZQ5" s="394" t="s">
        <v>89</v>
      </c>
      <c r="SZR5" s="394" t="s">
        <v>89</v>
      </c>
      <c r="SZS5" s="394" t="s">
        <v>89</v>
      </c>
      <c r="SZT5" s="394" t="s">
        <v>89</v>
      </c>
      <c r="SZU5" s="394" t="s">
        <v>89</v>
      </c>
      <c r="SZV5" s="394" t="s">
        <v>89</v>
      </c>
      <c r="SZW5" s="394" t="s">
        <v>89</v>
      </c>
      <c r="SZX5" s="394" t="s">
        <v>89</v>
      </c>
      <c r="SZY5" s="394" t="s">
        <v>89</v>
      </c>
      <c r="SZZ5" s="394" t="s">
        <v>89</v>
      </c>
      <c r="TAA5" s="394" t="s">
        <v>89</v>
      </c>
      <c r="TAB5" s="394" t="s">
        <v>89</v>
      </c>
      <c r="TAC5" s="394" t="s">
        <v>89</v>
      </c>
      <c r="TAD5" s="394" t="s">
        <v>89</v>
      </c>
      <c r="TAE5" s="394" t="s">
        <v>89</v>
      </c>
      <c r="TAF5" s="394" t="s">
        <v>89</v>
      </c>
      <c r="TAG5" s="394" t="s">
        <v>89</v>
      </c>
      <c r="TAH5" s="394" t="s">
        <v>89</v>
      </c>
      <c r="TAI5" s="394" t="s">
        <v>89</v>
      </c>
      <c r="TAJ5" s="394" t="s">
        <v>89</v>
      </c>
      <c r="TAK5" s="394" t="s">
        <v>89</v>
      </c>
      <c r="TAL5" s="394" t="s">
        <v>89</v>
      </c>
      <c r="TAM5" s="394" t="s">
        <v>89</v>
      </c>
      <c r="TAN5" s="394" t="s">
        <v>89</v>
      </c>
      <c r="TAO5" s="394" t="s">
        <v>89</v>
      </c>
      <c r="TAP5" s="394" t="s">
        <v>89</v>
      </c>
      <c r="TAQ5" s="394" t="s">
        <v>89</v>
      </c>
      <c r="TAR5" s="394" t="s">
        <v>89</v>
      </c>
      <c r="TAS5" s="394" t="s">
        <v>89</v>
      </c>
      <c r="TAT5" s="394" t="s">
        <v>89</v>
      </c>
      <c r="TAU5" s="394" t="s">
        <v>89</v>
      </c>
      <c r="TAV5" s="394" t="s">
        <v>89</v>
      </c>
      <c r="TAW5" s="394" t="s">
        <v>89</v>
      </c>
      <c r="TAX5" s="394" t="s">
        <v>89</v>
      </c>
      <c r="TAY5" s="394" t="s">
        <v>89</v>
      </c>
      <c r="TAZ5" s="394" t="s">
        <v>89</v>
      </c>
      <c r="TBA5" s="394" t="s">
        <v>89</v>
      </c>
      <c r="TBB5" s="394" t="s">
        <v>89</v>
      </c>
      <c r="TBC5" s="394" t="s">
        <v>89</v>
      </c>
      <c r="TBD5" s="394" t="s">
        <v>89</v>
      </c>
      <c r="TBE5" s="394" t="s">
        <v>89</v>
      </c>
      <c r="TBF5" s="394" t="s">
        <v>89</v>
      </c>
      <c r="TBG5" s="394" t="s">
        <v>89</v>
      </c>
      <c r="TBH5" s="394" t="s">
        <v>89</v>
      </c>
      <c r="TBI5" s="394" t="s">
        <v>89</v>
      </c>
      <c r="TBJ5" s="394" t="s">
        <v>89</v>
      </c>
      <c r="TBK5" s="394" t="s">
        <v>89</v>
      </c>
      <c r="TBL5" s="394" t="s">
        <v>89</v>
      </c>
      <c r="TBM5" s="394" t="s">
        <v>89</v>
      </c>
      <c r="TBN5" s="394" t="s">
        <v>89</v>
      </c>
      <c r="TBO5" s="394" t="s">
        <v>89</v>
      </c>
      <c r="TBP5" s="394" t="s">
        <v>89</v>
      </c>
      <c r="TBQ5" s="394" t="s">
        <v>89</v>
      </c>
      <c r="TBR5" s="394" t="s">
        <v>89</v>
      </c>
      <c r="TBS5" s="394" t="s">
        <v>89</v>
      </c>
      <c r="TBT5" s="394" t="s">
        <v>89</v>
      </c>
      <c r="TBU5" s="394" t="s">
        <v>89</v>
      </c>
      <c r="TBV5" s="394" t="s">
        <v>89</v>
      </c>
      <c r="TBW5" s="394" t="s">
        <v>89</v>
      </c>
      <c r="TBX5" s="394" t="s">
        <v>89</v>
      </c>
      <c r="TBY5" s="394" t="s">
        <v>89</v>
      </c>
      <c r="TBZ5" s="394" t="s">
        <v>89</v>
      </c>
      <c r="TCA5" s="394" t="s">
        <v>89</v>
      </c>
      <c r="TCB5" s="394" t="s">
        <v>89</v>
      </c>
      <c r="TCC5" s="394" t="s">
        <v>89</v>
      </c>
      <c r="TCD5" s="394" t="s">
        <v>89</v>
      </c>
      <c r="TCE5" s="394" t="s">
        <v>89</v>
      </c>
      <c r="TCF5" s="394" t="s">
        <v>89</v>
      </c>
      <c r="TCG5" s="394" t="s">
        <v>89</v>
      </c>
      <c r="TCH5" s="394" t="s">
        <v>89</v>
      </c>
      <c r="TCI5" s="394" t="s">
        <v>89</v>
      </c>
      <c r="TCJ5" s="394" t="s">
        <v>89</v>
      </c>
      <c r="TCK5" s="394" t="s">
        <v>89</v>
      </c>
      <c r="TCL5" s="394" t="s">
        <v>89</v>
      </c>
      <c r="TCM5" s="394" t="s">
        <v>89</v>
      </c>
      <c r="TCN5" s="394" t="s">
        <v>89</v>
      </c>
      <c r="TCO5" s="394" t="s">
        <v>89</v>
      </c>
      <c r="TCP5" s="394" t="s">
        <v>89</v>
      </c>
      <c r="TCQ5" s="394" t="s">
        <v>89</v>
      </c>
      <c r="TCR5" s="394" t="s">
        <v>89</v>
      </c>
      <c r="TCS5" s="394" t="s">
        <v>89</v>
      </c>
      <c r="TCT5" s="394" t="s">
        <v>89</v>
      </c>
      <c r="TCU5" s="394" t="s">
        <v>89</v>
      </c>
      <c r="TCV5" s="394" t="s">
        <v>89</v>
      </c>
      <c r="TCW5" s="394" t="s">
        <v>89</v>
      </c>
      <c r="TCX5" s="394" t="s">
        <v>89</v>
      </c>
      <c r="TCY5" s="394" t="s">
        <v>89</v>
      </c>
      <c r="TCZ5" s="394" t="s">
        <v>89</v>
      </c>
      <c r="TDA5" s="394" t="s">
        <v>89</v>
      </c>
      <c r="TDB5" s="394" t="s">
        <v>89</v>
      </c>
      <c r="TDC5" s="394" t="s">
        <v>89</v>
      </c>
      <c r="TDD5" s="394" t="s">
        <v>89</v>
      </c>
      <c r="TDE5" s="394" t="s">
        <v>89</v>
      </c>
      <c r="TDF5" s="394" t="s">
        <v>89</v>
      </c>
      <c r="TDG5" s="394" t="s">
        <v>89</v>
      </c>
      <c r="TDH5" s="394" t="s">
        <v>89</v>
      </c>
      <c r="TDI5" s="394" t="s">
        <v>89</v>
      </c>
      <c r="TDJ5" s="394" t="s">
        <v>89</v>
      </c>
      <c r="TDK5" s="394" t="s">
        <v>89</v>
      </c>
      <c r="TDL5" s="394" t="s">
        <v>89</v>
      </c>
      <c r="TDM5" s="394" t="s">
        <v>89</v>
      </c>
      <c r="TDN5" s="394" t="s">
        <v>89</v>
      </c>
      <c r="TDO5" s="394" t="s">
        <v>89</v>
      </c>
      <c r="TDP5" s="394" t="s">
        <v>89</v>
      </c>
      <c r="TDQ5" s="394" t="s">
        <v>89</v>
      </c>
      <c r="TDR5" s="394" t="s">
        <v>89</v>
      </c>
      <c r="TDS5" s="394" t="s">
        <v>89</v>
      </c>
      <c r="TDT5" s="394" t="s">
        <v>89</v>
      </c>
      <c r="TDU5" s="394" t="s">
        <v>89</v>
      </c>
      <c r="TDV5" s="394" t="s">
        <v>89</v>
      </c>
      <c r="TDW5" s="394" t="s">
        <v>89</v>
      </c>
      <c r="TDX5" s="394" t="s">
        <v>89</v>
      </c>
      <c r="TDY5" s="394" t="s">
        <v>89</v>
      </c>
      <c r="TDZ5" s="394" t="s">
        <v>89</v>
      </c>
      <c r="TEA5" s="394" t="s">
        <v>89</v>
      </c>
      <c r="TEB5" s="394" t="s">
        <v>89</v>
      </c>
      <c r="TEC5" s="394" t="s">
        <v>89</v>
      </c>
      <c r="TED5" s="394" t="s">
        <v>89</v>
      </c>
      <c r="TEE5" s="394" t="s">
        <v>89</v>
      </c>
      <c r="TEF5" s="394" t="s">
        <v>89</v>
      </c>
      <c r="TEG5" s="394" t="s">
        <v>89</v>
      </c>
      <c r="TEH5" s="394" t="s">
        <v>89</v>
      </c>
      <c r="TEI5" s="394" t="s">
        <v>89</v>
      </c>
      <c r="TEJ5" s="394" t="s">
        <v>89</v>
      </c>
      <c r="TEK5" s="394" t="s">
        <v>89</v>
      </c>
      <c r="TEL5" s="394" t="s">
        <v>89</v>
      </c>
      <c r="TEM5" s="394" t="s">
        <v>89</v>
      </c>
      <c r="TEN5" s="394" t="s">
        <v>89</v>
      </c>
      <c r="TEO5" s="394" t="s">
        <v>89</v>
      </c>
      <c r="TEP5" s="394" t="s">
        <v>89</v>
      </c>
      <c r="TEQ5" s="394" t="s">
        <v>89</v>
      </c>
      <c r="TER5" s="394" t="s">
        <v>89</v>
      </c>
      <c r="TES5" s="394" t="s">
        <v>89</v>
      </c>
      <c r="TET5" s="394" t="s">
        <v>89</v>
      </c>
      <c r="TEU5" s="394" t="s">
        <v>89</v>
      </c>
      <c r="TEV5" s="394" t="s">
        <v>89</v>
      </c>
      <c r="TEW5" s="394" t="s">
        <v>89</v>
      </c>
      <c r="TEX5" s="394" t="s">
        <v>89</v>
      </c>
      <c r="TEY5" s="394" t="s">
        <v>89</v>
      </c>
      <c r="TEZ5" s="394" t="s">
        <v>89</v>
      </c>
      <c r="TFA5" s="394" t="s">
        <v>89</v>
      </c>
      <c r="TFB5" s="394" t="s">
        <v>89</v>
      </c>
      <c r="TFC5" s="394" t="s">
        <v>89</v>
      </c>
      <c r="TFD5" s="394" t="s">
        <v>89</v>
      </c>
      <c r="TFE5" s="394" t="s">
        <v>89</v>
      </c>
      <c r="TFF5" s="394" t="s">
        <v>89</v>
      </c>
      <c r="TFG5" s="394" t="s">
        <v>89</v>
      </c>
      <c r="TFH5" s="394" t="s">
        <v>89</v>
      </c>
      <c r="TFI5" s="394" t="s">
        <v>89</v>
      </c>
      <c r="TFJ5" s="394" t="s">
        <v>89</v>
      </c>
      <c r="TFK5" s="394" t="s">
        <v>89</v>
      </c>
      <c r="TFL5" s="394" t="s">
        <v>89</v>
      </c>
      <c r="TFM5" s="394" t="s">
        <v>89</v>
      </c>
      <c r="TFN5" s="394" t="s">
        <v>89</v>
      </c>
      <c r="TFO5" s="394" t="s">
        <v>89</v>
      </c>
      <c r="TFP5" s="394" t="s">
        <v>89</v>
      </c>
      <c r="TFQ5" s="394" t="s">
        <v>89</v>
      </c>
      <c r="TFR5" s="394" t="s">
        <v>89</v>
      </c>
      <c r="TFS5" s="394" t="s">
        <v>89</v>
      </c>
      <c r="TFT5" s="394" t="s">
        <v>89</v>
      </c>
      <c r="TFU5" s="394" t="s">
        <v>89</v>
      </c>
      <c r="TFV5" s="394" t="s">
        <v>89</v>
      </c>
      <c r="TFW5" s="394" t="s">
        <v>89</v>
      </c>
      <c r="TFX5" s="394" t="s">
        <v>89</v>
      </c>
      <c r="TFY5" s="394" t="s">
        <v>89</v>
      </c>
      <c r="TFZ5" s="394" t="s">
        <v>89</v>
      </c>
      <c r="TGA5" s="394" t="s">
        <v>89</v>
      </c>
      <c r="TGB5" s="394" t="s">
        <v>89</v>
      </c>
      <c r="TGC5" s="394" t="s">
        <v>89</v>
      </c>
      <c r="TGD5" s="394" t="s">
        <v>89</v>
      </c>
      <c r="TGE5" s="394" t="s">
        <v>89</v>
      </c>
      <c r="TGF5" s="394" t="s">
        <v>89</v>
      </c>
      <c r="TGG5" s="394" t="s">
        <v>89</v>
      </c>
      <c r="TGH5" s="394" t="s">
        <v>89</v>
      </c>
      <c r="TGI5" s="394" t="s">
        <v>89</v>
      </c>
      <c r="TGJ5" s="394" t="s">
        <v>89</v>
      </c>
      <c r="TGK5" s="394" t="s">
        <v>89</v>
      </c>
      <c r="TGL5" s="394" t="s">
        <v>89</v>
      </c>
      <c r="TGM5" s="394" t="s">
        <v>89</v>
      </c>
      <c r="TGN5" s="394" t="s">
        <v>89</v>
      </c>
      <c r="TGO5" s="394" t="s">
        <v>89</v>
      </c>
      <c r="TGP5" s="394" t="s">
        <v>89</v>
      </c>
      <c r="TGQ5" s="394" t="s">
        <v>89</v>
      </c>
      <c r="TGR5" s="394" t="s">
        <v>89</v>
      </c>
      <c r="TGS5" s="394" t="s">
        <v>89</v>
      </c>
      <c r="TGT5" s="394" t="s">
        <v>89</v>
      </c>
      <c r="TGU5" s="394" t="s">
        <v>89</v>
      </c>
      <c r="TGV5" s="394" t="s">
        <v>89</v>
      </c>
      <c r="TGW5" s="394" t="s">
        <v>89</v>
      </c>
      <c r="TGX5" s="394" t="s">
        <v>89</v>
      </c>
      <c r="TGY5" s="394" t="s">
        <v>89</v>
      </c>
      <c r="TGZ5" s="394" t="s">
        <v>89</v>
      </c>
      <c r="THA5" s="394" t="s">
        <v>89</v>
      </c>
      <c r="THB5" s="394" t="s">
        <v>89</v>
      </c>
      <c r="THC5" s="394" t="s">
        <v>89</v>
      </c>
      <c r="THD5" s="394" t="s">
        <v>89</v>
      </c>
      <c r="THE5" s="394" t="s">
        <v>89</v>
      </c>
      <c r="THF5" s="394" t="s">
        <v>89</v>
      </c>
      <c r="THG5" s="394" t="s">
        <v>89</v>
      </c>
      <c r="THH5" s="394" t="s">
        <v>89</v>
      </c>
      <c r="THI5" s="394" t="s">
        <v>89</v>
      </c>
      <c r="THJ5" s="394" t="s">
        <v>89</v>
      </c>
      <c r="THK5" s="394" t="s">
        <v>89</v>
      </c>
      <c r="THL5" s="394" t="s">
        <v>89</v>
      </c>
      <c r="THM5" s="394" t="s">
        <v>89</v>
      </c>
      <c r="THN5" s="394" t="s">
        <v>89</v>
      </c>
      <c r="THO5" s="394" t="s">
        <v>89</v>
      </c>
      <c r="THP5" s="394" t="s">
        <v>89</v>
      </c>
      <c r="THQ5" s="394" t="s">
        <v>89</v>
      </c>
      <c r="THR5" s="394" t="s">
        <v>89</v>
      </c>
      <c r="THS5" s="394" t="s">
        <v>89</v>
      </c>
      <c r="THT5" s="394" t="s">
        <v>89</v>
      </c>
      <c r="THU5" s="394" t="s">
        <v>89</v>
      </c>
      <c r="THV5" s="394" t="s">
        <v>89</v>
      </c>
      <c r="THW5" s="394" t="s">
        <v>89</v>
      </c>
      <c r="THX5" s="394" t="s">
        <v>89</v>
      </c>
      <c r="THY5" s="394" t="s">
        <v>89</v>
      </c>
      <c r="THZ5" s="394" t="s">
        <v>89</v>
      </c>
      <c r="TIA5" s="394" t="s">
        <v>89</v>
      </c>
      <c r="TIB5" s="394" t="s">
        <v>89</v>
      </c>
      <c r="TIC5" s="394" t="s">
        <v>89</v>
      </c>
      <c r="TID5" s="394" t="s">
        <v>89</v>
      </c>
      <c r="TIE5" s="394" t="s">
        <v>89</v>
      </c>
      <c r="TIF5" s="394" t="s">
        <v>89</v>
      </c>
      <c r="TIG5" s="394" t="s">
        <v>89</v>
      </c>
      <c r="TIH5" s="394" t="s">
        <v>89</v>
      </c>
      <c r="TII5" s="394" t="s">
        <v>89</v>
      </c>
      <c r="TIJ5" s="394" t="s">
        <v>89</v>
      </c>
      <c r="TIK5" s="394" t="s">
        <v>89</v>
      </c>
      <c r="TIL5" s="394" t="s">
        <v>89</v>
      </c>
      <c r="TIM5" s="394" t="s">
        <v>89</v>
      </c>
      <c r="TIN5" s="394" t="s">
        <v>89</v>
      </c>
      <c r="TIO5" s="394" t="s">
        <v>89</v>
      </c>
      <c r="TIP5" s="394" t="s">
        <v>89</v>
      </c>
      <c r="TIQ5" s="394" t="s">
        <v>89</v>
      </c>
      <c r="TIR5" s="394" t="s">
        <v>89</v>
      </c>
      <c r="TIS5" s="394" t="s">
        <v>89</v>
      </c>
      <c r="TIT5" s="394" t="s">
        <v>89</v>
      </c>
      <c r="TIU5" s="394" t="s">
        <v>89</v>
      </c>
      <c r="TIV5" s="394" t="s">
        <v>89</v>
      </c>
      <c r="TIW5" s="394" t="s">
        <v>89</v>
      </c>
      <c r="TIX5" s="394" t="s">
        <v>89</v>
      </c>
      <c r="TIY5" s="394" t="s">
        <v>89</v>
      </c>
      <c r="TIZ5" s="394" t="s">
        <v>89</v>
      </c>
      <c r="TJA5" s="394" t="s">
        <v>89</v>
      </c>
      <c r="TJB5" s="394" t="s">
        <v>89</v>
      </c>
      <c r="TJC5" s="394" t="s">
        <v>89</v>
      </c>
      <c r="TJD5" s="394" t="s">
        <v>89</v>
      </c>
      <c r="TJE5" s="394" t="s">
        <v>89</v>
      </c>
      <c r="TJF5" s="394" t="s">
        <v>89</v>
      </c>
      <c r="TJG5" s="394" t="s">
        <v>89</v>
      </c>
      <c r="TJH5" s="394" t="s">
        <v>89</v>
      </c>
      <c r="TJI5" s="394" t="s">
        <v>89</v>
      </c>
      <c r="TJJ5" s="394" t="s">
        <v>89</v>
      </c>
      <c r="TJK5" s="394" t="s">
        <v>89</v>
      </c>
      <c r="TJL5" s="394" t="s">
        <v>89</v>
      </c>
      <c r="TJM5" s="394" t="s">
        <v>89</v>
      </c>
      <c r="TJN5" s="394" t="s">
        <v>89</v>
      </c>
      <c r="TJO5" s="394" t="s">
        <v>89</v>
      </c>
      <c r="TJP5" s="394" t="s">
        <v>89</v>
      </c>
      <c r="TJQ5" s="394" t="s">
        <v>89</v>
      </c>
      <c r="TJR5" s="394" t="s">
        <v>89</v>
      </c>
      <c r="TJS5" s="394" t="s">
        <v>89</v>
      </c>
      <c r="TJT5" s="394" t="s">
        <v>89</v>
      </c>
      <c r="TJU5" s="394" t="s">
        <v>89</v>
      </c>
      <c r="TJV5" s="394" t="s">
        <v>89</v>
      </c>
      <c r="TJW5" s="394" t="s">
        <v>89</v>
      </c>
      <c r="TJX5" s="394" t="s">
        <v>89</v>
      </c>
      <c r="TJY5" s="394" t="s">
        <v>89</v>
      </c>
      <c r="TJZ5" s="394" t="s">
        <v>89</v>
      </c>
      <c r="TKA5" s="394" t="s">
        <v>89</v>
      </c>
      <c r="TKB5" s="394" t="s">
        <v>89</v>
      </c>
      <c r="TKC5" s="394" t="s">
        <v>89</v>
      </c>
      <c r="TKD5" s="394" t="s">
        <v>89</v>
      </c>
      <c r="TKE5" s="394" t="s">
        <v>89</v>
      </c>
      <c r="TKF5" s="394" t="s">
        <v>89</v>
      </c>
      <c r="TKG5" s="394" t="s">
        <v>89</v>
      </c>
      <c r="TKH5" s="394" t="s">
        <v>89</v>
      </c>
      <c r="TKI5" s="394" t="s">
        <v>89</v>
      </c>
      <c r="TKJ5" s="394" t="s">
        <v>89</v>
      </c>
      <c r="TKK5" s="394" t="s">
        <v>89</v>
      </c>
      <c r="TKL5" s="394" t="s">
        <v>89</v>
      </c>
      <c r="TKM5" s="394" t="s">
        <v>89</v>
      </c>
      <c r="TKN5" s="394" t="s">
        <v>89</v>
      </c>
      <c r="TKO5" s="394" t="s">
        <v>89</v>
      </c>
      <c r="TKP5" s="394" t="s">
        <v>89</v>
      </c>
      <c r="TKQ5" s="394" t="s">
        <v>89</v>
      </c>
      <c r="TKR5" s="394" t="s">
        <v>89</v>
      </c>
      <c r="TKS5" s="394" t="s">
        <v>89</v>
      </c>
      <c r="TKT5" s="394" t="s">
        <v>89</v>
      </c>
      <c r="TKU5" s="394" t="s">
        <v>89</v>
      </c>
      <c r="TKV5" s="394" t="s">
        <v>89</v>
      </c>
      <c r="TKW5" s="394" t="s">
        <v>89</v>
      </c>
      <c r="TKX5" s="394" t="s">
        <v>89</v>
      </c>
      <c r="TKY5" s="394" t="s">
        <v>89</v>
      </c>
      <c r="TKZ5" s="394" t="s">
        <v>89</v>
      </c>
      <c r="TLA5" s="394" t="s">
        <v>89</v>
      </c>
      <c r="TLB5" s="394" t="s">
        <v>89</v>
      </c>
      <c r="TLC5" s="394" t="s">
        <v>89</v>
      </c>
      <c r="TLD5" s="394" t="s">
        <v>89</v>
      </c>
      <c r="TLE5" s="394" t="s">
        <v>89</v>
      </c>
      <c r="TLF5" s="394" t="s">
        <v>89</v>
      </c>
      <c r="TLG5" s="394" t="s">
        <v>89</v>
      </c>
      <c r="TLH5" s="394" t="s">
        <v>89</v>
      </c>
      <c r="TLI5" s="394" t="s">
        <v>89</v>
      </c>
      <c r="TLJ5" s="394" t="s">
        <v>89</v>
      </c>
      <c r="TLK5" s="394" t="s">
        <v>89</v>
      </c>
      <c r="TLL5" s="394" t="s">
        <v>89</v>
      </c>
      <c r="TLM5" s="394" t="s">
        <v>89</v>
      </c>
      <c r="TLN5" s="394" t="s">
        <v>89</v>
      </c>
      <c r="TLO5" s="394" t="s">
        <v>89</v>
      </c>
      <c r="TLP5" s="394" t="s">
        <v>89</v>
      </c>
      <c r="TLQ5" s="394" t="s">
        <v>89</v>
      </c>
      <c r="TLR5" s="394" t="s">
        <v>89</v>
      </c>
      <c r="TLS5" s="394" t="s">
        <v>89</v>
      </c>
      <c r="TLT5" s="394" t="s">
        <v>89</v>
      </c>
      <c r="TLU5" s="394" t="s">
        <v>89</v>
      </c>
      <c r="TLV5" s="394" t="s">
        <v>89</v>
      </c>
      <c r="TLW5" s="394" t="s">
        <v>89</v>
      </c>
      <c r="TLX5" s="394" t="s">
        <v>89</v>
      </c>
      <c r="TLY5" s="394" t="s">
        <v>89</v>
      </c>
      <c r="TLZ5" s="394" t="s">
        <v>89</v>
      </c>
      <c r="TMA5" s="394" t="s">
        <v>89</v>
      </c>
      <c r="TMB5" s="394" t="s">
        <v>89</v>
      </c>
      <c r="TMC5" s="394" t="s">
        <v>89</v>
      </c>
      <c r="TMD5" s="394" t="s">
        <v>89</v>
      </c>
      <c r="TME5" s="394" t="s">
        <v>89</v>
      </c>
      <c r="TMF5" s="394" t="s">
        <v>89</v>
      </c>
      <c r="TMG5" s="394" t="s">
        <v>89</v>
      </c>
      <c r="TMH5" s="394" t="s">
        <v>89</v>
      </c>
      <c r="TMI5" s="394" t="s">
        <v>89</v>
      </c>
      <c r="TMJ5" s="394" t="s">
        <v>89</v>
      </c>
      <c r="TMK5" s="394" t="s">
        <v>89</v>
      </c>
      <c r="TML5" s="394" t="s">
        <v>89</v>
      </c>
      <c r="TMM5" s="394" t="s">
        <v>89</v>
      </c>
      <c r="TMN5" s="394" t="s">
        <v>89</v>
      </c>
      <c r="TMO5" s="394" t="s">
        <v>89</v>
      </c>
      <c r="TMP5" s="394" t="s">
        <v>89</v>
      </c>
      <c r="TMQ5" s="394" t="s">
        <v>89</v>
      </c>
      <c r="TMR5" s="394" t="s">
        <v>89</v>
      </c>
      <c r="TMS5" s="394" t="s">
        <v>89</v>
      </c>
      <c r="TMT5" s="394" t="s">
        <v>89</v>
      </c>
      <c r="TMU5" s="394" t="s">
        <v>89</v>
      </c>
      <c r="TMV5" s="394" t="s">
        <v>89</v>
      </c>
      <c r="TMW5" s="394" t="s">
        <v>89</v>
      </c>
      <c r="TMX5" s="394" t="s">
        <v>89</v>
      </c>
      <c r="TMY5" s="394" t="s">
        <v>89</v>
      </c>
      <c r="TMZ5" s="394" t="s">
        <v>89</v>
      </c>
      <c r="TNA5" s="394" t="s">
        <v>89</v>
      </c>
      <c r="TNB5" s="394" t="s">
        <v>89</v>
      </c>
      <c r="TNC5" s="394" t="s">
        <v>89</v>
      </c>
      <c r="TND5" s="394" t="s">
        <v>89</v>
      </c>
      <c r="TNE5" s="394" t="s">
        <v>89</v>
      </c>
      <c r="TNF5" s="394" t="s">
        <v>89</v>
      </c>
      <c r="TNG5" s="394" t="s">
        <v>89</v>
      </c>
      <c r="TNH5" s="394" t="s">
        <v>89</v>
      </c>
      <c r="TNI5" s="394" t="s">
        <v>89</v>
      </c>
      <c r="TNJ5" s="394" t="s">
        <v>89</v>
      </c>
      <c r="TNK5" s="394" t="s">
        <v>89</v>
      </c>
      <c r="TNL5" s="394" t="s">
        <v>89</v>
      </c>
      <c r="TNM5" s="394" t="s">
        <v>89</v>
      </c>
      <c r="TNN5" s="394" t="s">
        <v>89</v>
      </c>
      <c r="TNO5" s="394" t="s">
        <v>89</v>
      </c>
      <c r="TNP5" s="394" t="s">
        <v>89</v>
      </c>
      <c r="TNQ5" s="394" t="s">
        <v>89</v>
      </c>
      <c r="TNR5" s="394" t="s">
        <v>89</v>
      </c>
      <c r="TNS5" s="394" t="s">
        <v>89</v>
      </c>
      <c r="TNT5" s="394" t="s">
        <v>89</v>
      </c>
      <c r="TNU5" s="394" t="s">
        <v>89</v>
      </c>
      <c r="TNV5" s="394" t="s">
        <v>89</v>
      </c>
      <c r="TNW5" s="394" t="s">
        <v>89</v>
      </c>
      <c r="TNX5" s="394" t="s">
        <v>89</v>
      </c>
      <c r="TNY5" s="394" t="s">
        <v>89</v>
      </c>
      <c r="TNZ5" s="394" t="s">
        <v>89</v>
      </c>
      <c r="TOA5" s="394" t="s">
        <v>89</v>
      </c>
      <c r="TOB5" s="394" t="s">
        <v>89</v>
      </c>
      <c r="TOC5" s="394" t="s">
        <v>89</v>
      </c>
      <c r="TOD5" s="394" t="s">
        <v>89</v>
      </c>
      <c r="TOE5" s="394" t="s">
        <v>89</v>
      </c>
      <c r="TOF5" s="394" t="s">
        <v>89</v>
      </c>
      <c r="TOG5" s="394" t="s">
        <v>89</v>
      </c>
      <c r="TOH5" s="394" t="s">
        <v>89</v>
      </c>
      <c r="TOI5" s="394" t="s">
        <v>89</v>
      </c>
      <c r="TOJ5" s="394" t="s">
        <v>89</v>
      </c>
      <c r="TOK5" s="394" t="s">
        <v>89</v>
      </c>
      <c r="TOL5" s="394" t="s">
        <v>89</v>
      </c>
      <c r="TOM5" s="394" t="s">
        <v>89</v>
      </c>
      <c r="TON5" s="394" t="s">
        <v>89</v>
      </c>
      <c r="TOO5" s="394" t="s">
        <v>89</v>
      </c>
      <c r="TOP5" s="394" t="s">
        <v>89</v>
      </c>
      <c r="TOQ5" s="394" t="s">
        <v>89</v>
      </c>
      <c r="TOR5" s="394" t="s">
        <v>89</v>
      </c>
      <c r="TOS5" s="394" t="s">
        <v>89</v>
      </c>
      <c r="TOT5" s="394" t="s">
        <v>89</v>
      </c>
      <c r="TOU5" s="394" t="s">
        <v>89</v>
      </c>
      <c r="TOV5" s="394" t="s">
        <v>89</v>
      </c>
      <c r="TOW5" s="394" t="s">
        <v>89</v>
      </c>
      <c r="TOX5" s="394" t="s">
        <v>89</v>
      </c>
      <c r="TOY5" s="394" t="s">
        <v>89</v>
      </c>
      <c r="TOZ5" s="394" t="s">
        <v>89</v>
      </c>
      <c r="TPA5" s="394" t="s">
        <v>89</v>
      </c>
      <c r="TPB5" s="394" t="s">
        <v>89</v>
      </c>
      <c r="TPC5" s="394" t="s">
        <v>89</v>
      </c>
      <c r="TPD5" s="394" t="s">
        <v>89</v>
      </c>
      <c r="TPE5" s="394" t="s">
        <v>89</v>
      </c>
      <c r="TPF5" s="394" t="s">
        <v>89</v>
      </c>
      <c r="TPG5" s="394" t="s">
        <v>89</v>
      </c>
      <c r="TPH5" s="394" t="s">
        <v>89</v>
      </c>
      <c r="TPI5" s="394" t="s">
        <v>89</v>
      </c>
      <c r="TPJ5" s="394" t="s">
        <v>89</v>
      </c>
      <c r="TPK5" s="394" t="s">
        <v>89</v>
      </c>
      <c r="TPL5" s="394" t="s">
        <v>89</v>
      </c>
      <c r="TPM5" s="394" t="s">
        <v>89</v>
      </c>
      <c r="TPN5" s="394" t="s">
        <v>89</v>
      </c>
      <c r="TPO5" s="394" t="s">
        <v>89</v>
      </c>
      <c r="TPP5" s="394" t="s">
        <v>89</v>
      </c>
      <c r="TPQ5" s="394" t="s">
        <v>89</v>
      </c>
      <c r="TPR5" s="394" t="s">
        <v>89</v>
      </c>
      <c r="TPS5" s="394" t="s">
        <v>89</v>
      </c>
      <c r="TPT5" s="394" t="s">
        <v>89</v>
      </c>
      <c r="TPU5" s="394" t="s">
        <v>89</v>
      </c>
      <c r="TPV5" s="394" t="s">
        <v>89</v>
      </c>
      <c r="TPW5" s="394" t="s">
        <v>89</v>
      </c>
      <c r="TPX5" s="394" t="s">
        <v>89</v>
      </c>
      <c r="TPY5" s="394" t="s">
        <v>89</v>
      </c>
      <c r="TPZ5" s="394" t="s">
        <v>89</v>
      </c>
      <c r="TQA5" s="394" t="s">
        <v>89</v>
      </c>
      <c r="TQB5" s="394" t="s">
        <v>89</v>
      </c>
      <c r="TQC5" s="394" t="s">
        <v>89</v>
      </c>
      <c r="TQD5" s="394" t="s">
        <v>89</v>
      </c>
      <c r="TQE5" s="394" t="s">
        <v>89</v>
      </c>
      <c r="TQF5" s="394" t="s">
        <v>89</v>
      </c>
      <c r="TQG5" s="394" t="s">
        <v>89</v>
      </c>
      <c r="TQH5" s="394" t="s">
        <v>89</v>
      </c>
      <c r="TQI5" s="394" t="s">
        <v>89</v>
      </c>
      <c r="TQJ5" s="394" t="s">
        <v>89</v>
      </c>
      <c r="TQK5" s="394" t="s">
        <v>89</v>
      </c>
      <c r="TQL5" s="394" t="s">
        <v>89</v>
      </c>
      <c r="TQM5" s="394" t="s">
        <v>89</v>
      </c>
      <c r="TQN5" s="394" t="s">
        <v>89</v>
      </c>
      <c r="TQO5" s="394" t="s">
        <v>89</v>
      </c>
      <c r="TQP5" s="394" t="s">
        <v>89</v>
      </c>
      <c r="TQQ5" s="394" t="s">
        <v>89</v>
      </c>
      <c r="TQR5" s="394" t="s">
        <v>89</v>
      </c>
      <c r="TQS5" s="394" t="s">
        <v>89</v>
      </c>
      <c r="TQT5" s="394" t="s">
        <v>89</v>
      </c>
      <c r="TQU5" s="394" t="s">
        <v>89</v>
      </c>
      <c r="TQV5" s="394" t="s">
        <v>89</v>
      </c>
      <c r="TQW5" s="394" t="s">
        <v>89</v>
      </c>
      <c r="TQX5" s="394" t="s">
        <v>89</v>
      </c>
      <c r="TQY5" s="394" t="s">
        <v>89</v>
      </c>
      <c r="TQZ5" s="394" t="s">
        <v>89</v>
      </c>
      <c r="TRA5" s="394" t="s">
        <v>89</v>
      </c>
      <c r="TRB5" s="394" t="s">
        <v>89</v>
      </c>
      <c r="TRC5" s="394" t="s">
        <v>89</v>
      </c>
      <c r="TRD5" s="394" t="s">
        <v>89</v>
      </c>
      <c r="TRE5" s="394" t="s">
        <v>89</v>
      </c>
      <c r="TRF5" s="394" t="s">
        <v>89</v>
      </c>
      <c r="TRG5" s="394" t="s">
        <v>89</v>
      </c>
      <c r="TRH5" s="394" t="s">
        <v>89</v>
      </c>
      <c r="TRI5" s="394" t="s">
        <v>89</v>
      </c>
      <c r="TRJ5" s="394" t="s">
        <v>89</v>
      </c>
      <c r="TRK5" s="394" t="s">
        <v>89</v>
      </c>
      <c r="TRL5" s="394" t="s">
        <v>89</v>
      </c>
      <c r="TRM5" s="394" t="s">
        <v>89</v>
      </c>
      <c r="TRN5" s="394" t="s">
        <v>89</v>
      </c>
      <c r="TRO5" s="394" t="s">
        <v>89</v>
      </c>
      <c r="TRP5" s="394" t="s">
        <v>89</v>
      </c>
      <c r="TRQ5" s="394" t="s">
        <v>89</v>
      </c>
      <c r="TRR5" s="394" t="s">
        <v>89</v>
      </c>
      <c r="TRS5" s="394" t="s">
        <v>89</v>
      </c>
      <c r="TRT5" s="394" t="s">
        <v>89</v>
      </c>
      <c r="TRU5" s="394" t="s">
        <v>89</v>
      </c>
      <c r="TRV5" s="394" t="s">
        <v>89</v>
      </c>
      <c r="TRW5" s="394" t="s">
        <v>89</v>
      </c>
      <c r="TRX5" s="394" t="s">
        <v>89</v>
      </c>
      <c r="TRY5" s="394" t="s">
        <v>89</v>
      </c>
      <c r="TRZ5" s="394" t="s">
        <v>89</v>
      </c>
      <c r="TSA5" s="394" t="s">
        <v>89</v>
      </c>
      <c r="TSB5" s="394" t="s">
        <v>89</v>
      </c>
      <c r="TSC5" s="394" t="s">
        <v>89</v>
      </c>
      <c r="TSD5" s="394" t="s">
        <v>89</v>
      </c>
      <c r="TSE5" s="394" t="s">
        <v>89</v>
      </c>
      <c r="TSF5" s="394" t="s">
        <v>89</v>
      </c>
      <c r="TSG5" s="394" t="s">
        <v>89</v>
      </c>
      <c r="TSH5" s="394" t="s">
        <v>89</v>
      </c>
      <c r="TSI5" s="394" t="s">
        <v>89</v>
      </c>
      <c r="TSJ5" s="394" t="s">
        <v>89</v>
      </c>
      <c r="TSK5" s="394" t="s">
        <v>89</v>
      </c>
      <c r="TSL5" s="394" t="s">
        <v>89</v>
      </c>
      <c r="TSM5" s="394" t="s">
        <v>89</v>
      </c>
      <c r="TSN5" s="394" t="s">
        <v>89</v>
      </c>
      <c r="TSO5" s="394" t="s">
        <v>89</v>
      </c>
      <c r="TSP5" s="394" t="s">
        <v>89</v>
      </c>
      <c r="TSQ5" s="394" t="s">
        <v>89</v>
      </c>
      <c r="TSR5" s="394" t="s">
        <v>89</v>
      </c>
      <c r="TSS5" s="394" t="s">
        <v>89</v>
      </c>
      <c r="TST5" s="394" t="s">
        <v>89</v>
      </c>
      <c r="TSU5" s="394" t="s">
        <v>89</v>
      </c>
      <c r="TSV5" s="394" t="s">
        <v>89</v>
      </c>
      <c r="TSW5" s="394" t="s">
        <v>89</v>
      </c>
      <c r="TSX5" s="394" t="s">
        <v>89</v>
      </c>
      <c r="TSY5" s="394" t="s">
        <v>89</v>
      </c>
      <c r="TSZ5" s="394" t="s">
        <v>89</v>
      </c>
      <c r="TTA5" s="394" t="s">
        <v>89</v>
      </c>
      <c r="TTB5" s="394" t="s">
        <v>89</v>
      </c>
      <c r="TTC5" s="394" t="s">
        <v>89</v>
      </c>
      <c r="TTD5" s="394" t="s">
        <v>89</v>
      </c>
      <c r="TTE5" s="394" t="s">
        <v>89</v>
      </c>
      <c r="TTF5" s="394" t="s">
        <v>89</v>
      </c>
      <c r="TTG5" s="394" t="s">
        <v>89</v>
      </c>
      <c r="TTH5" s="394" t="s">
        <v>89</v>
      </c>
      <c r="TTI5" s="394" t="s">
        <v>89</v>
      </c>
      <c r="TTJ5" s="394" t="s">
        <v>89</v>
      </c>
      <c r="TTK5" s="394" t="s">
        <v>89</v>
      </c>
      <c r="TTL5" s="394" t="s">
        <v>89</v>
      </c>
      <c r="TTM5" s="394" t="s">
        <v>89</v>
      </c>
      <c r="TTN5" s="394" t="s">
        <v>89</v>
      </c>
      <c r="TTO5" s="394" t="s">
        <v>89</v>
      </c>
      <c r="TTP5" s="394" t="s">
        <v>89</v>
      </c>
      <c r="TTQ5" s="394" t="s">
        <v>89</v>
      </c>
      <c r="TTR5" s="394" t="s">
        <v>89</v>
      </c>
      <c r="TTS5" s="394" t="s">
        <v>89</v>
      </c>
      <c r="TTT5" s="394" t="s">
        <v>89</v>
      </c>
      <c r="TTU5" s="394" t="s">
        <v>89</v>
      </c>
      <c r="TTV5" s="394" t="s">
        <v>89</v>
      </c>
      <c r="TTW5" s="394" t="s">
        <v>89</v>
      </c>
      <c r="TTX5" s="394" t="s">
        <v>89</v>
      </c>
      <c r="TTY5" s="394" t="s">
        <v>89</v>
      </c>
      <c r="TTZ5" s="394" t="s">
        <v>89</v>
      </c>
      <c r="TUA5" s="394" t="s">
        <v>89</v>
      </c>
      <c r="TUB5" s="394" t="s">
        <v>89</v>
      </c>
      <c r="TUC5" s="394" t="s">
        <v>89</v>
      </c>
      <c r="TUD5" s="394" t="s">
        <v>89</v>
      </c>
      <c r="TUE5" s="394" t="s">
        <v>89</v>
      </c>
      <c r="TUF5" s="394" t="s">
        <v>89</v>
      </c>
      <c r="TUG5" s="394" t="s">
        <v>89</v>
      </c>
      <c r="TUH5" s="394" t="s">
        <v>89</v>
      </c>
      <c r="TUI5" s="394" t="s">
        <v>89</v>
      </c>
      <c r="TUJ5" s="394" t="s">
        <v>89</v>
      </c>
      <c r="TUK5" s="394" t="s">
        <v>89</v>
      </c>
      <c r="TUL5" s="394" t="s">
        <v>89</v>
      </c>
      <c r="TUM5" s="394" t="s">
        <v>89</v>
      </c>
      <c r="TUN5" s="394" t="s">
        <v>89</v>
      </c>
      <c r="TUO5" s="394" t="s">
        <v>89</v>
      </c>
      <c r="TUP5" s="394" t="s">
        <v>89</v>
      </c>
      <c r="TUQ5" s="394" t="s">
        <v>89</v>
      </c>
      <c r="TUR5" s="394" t="s">
        <v>89</v>
      </c>
      <c r="TUS5" s="394" t="s">
        <v>89</v>
      </c>
      <c r="TUT5" s="394" t="s">
        <v>89</v>
      </c>
      <c r="TUU5" s="394" t="s">
        <v>89</v>
      </c>
      <c r="TUV5" s="394" t="s">
        <v>89</v>
      </c>
      <c r="TUW5" s="394" t="s">
        <v>89</v>
      </c>
      <c r="TUX5" s="394" t="s">
        <v>89</v>
      </c>
      <c r="TUY5" s="394" t="s">
        <v>89</v>
      </c>
      <c r="TUZ5" s="394" t="s">
        <v>89</v>
      </c>
      <c r="TVA5" s="394" t="s">
        <v>89</v>
      </c>
      <c r="TVB5" s="394" t="s">
        <v>89</v>
      </c>
      <c r="TVC5" s="394" t="s">
        <v>89</v>
      </c>
      <c r="TVD5" s="394" t="s">
        <v>89</v>
      </c>
      <c r="TVE5" s="394" t="s">
        <v>89</v>
      </c>
      <c r="TVF5" s="394" t="s">
        <v>89</v>
      </c>
      <c r="TVG5" s="394" t="s">
        <v>89</v>
      </c>
      <c r="TVH5" s="394" t="s">
        <v>89</v>
      </c>
      <c r="TVI5" s="394" t="s">
        <v>89</v>
      </c>
      <c r="TVJ5" s="394" t="s">
        <v>89</v>
      </c>
      <c r="TVK5" s="394" t="s">
        <v>89</v>
      </c>
      <c r="TVL5" s="394" t="s">
        <v>89</v>
      </c>
      <c r="TVM5" s="394" t="s">
        <v>89</v>
      </c>
      <c r="TVN5" s="394" t="s">
        <v>89</v>
      </c>
      <c r="TVO5" s="394" t="s">
        <v>89</v>
      </c>
      <c r="TVP5" s="394" t="s">
        <v>89</v>
      </c>
      <c r="TVQ5" s="394" t="s">
        <v>89</v>
      </c>
      <c r="TVR5" s="394" t="s">
        <v>89</v>
      </c>
      <c r="TVS5" s="394" t="s">
        <v>89</v>
      </c>
      <c r="TVT5" s="394" t="s">
        <v>89</v>
      </c>
      <c r="TVU5" s="394" t="s">
        <v>89</v>
      </c>
      <c r="TVV5" s="394" t="s">
        <v>89</v>
      </c>
      <c r="TVW5" s="394" t="s">
        <v>89</v>
      </c>
      <c r="TVX5" s="394" t="s">
        <v>89</v>
      </c>
      <c r="TVY5" s="394" t="s">
        <v>89</v>
      </c>
      <c r="TVZ5" s="394" t="s">
        <v>89</v>
      </c>
      <c r="TWA5" s="394" t="s">
        <v>89</v>
      </c>
      <c r="TWB5" s="394" t="s">
        <v>89</v>
      </c>
      <c r="TWC5" s="394" t="s">
        <v>89</v>
      </c>
      <c r="TWD5" s="394" t="s">
        <v>89</v>
      </c>
      <c r="TWE5" s="394" t="s">
        <v>89</v>
      </c>
      <c r="TWF5" s="394" t="s">
        <v>89</v>
      </c>
      <c r="TWG5" s="394" t="s">
        <v>89</v>
      </c>
      <c r="TWH5" s="394" t="s">
        <v>89</v>
      </c>
      <c r="TWI5" s="394" t="s">
        <v>89</v>
      </c>
      <c r="TWJ5" s="394" t="s">
        <v>89</v>
      </c>
      <c r="TWK5" s="394" t="s">
        <v>89</v>
      </c>
      <c r="TWL5" s="394" t="s">
        <v>89</v>
      </c>
      <c r="TWM5" s="394" t="s">
        <v>89</v>
      </c>
      <c r="TWN5" s="394" t="s">
        <v>89</v>
      </c>
      <c r="TWO5" s="394" t="s">
        <v>89</v>
      </c>
      <c r="TWP5" s="394" t="s">
        <v>89</v>
      </c>
      <c r="TWQ5" s="394" t="s">
        <v>89</v>
      </c>
      <c r="TWR5" s="394" t="s">
        <v>89</v>
      </c>
      <c r="TWS5" s="394" t="s">
        <v>89</v>
      </c>
      <c r="TWT5" s="394" t="s">
        <v>89</v>
      </c>
      <c r="TWU5" s="394" t="s">
        <v>89</v>
      </c>
      <c r="TWV5" s="394" t="s">
        <v>89</v>
      </c>
      <c r="TWW5" s="394" t="s">
        <v>89</v>
      </c>
      <c r="TWX5" s="394" t="s">
        <v>89</v>
      </c>
      <c r="TWY5" s="394" t="s">
        <v>89</v>
      </c>
      <c r="TWZ5" s="394" t="s">
        <v>89</v>
      </c>
      <c r="TXA5" s="394" t="s">
        <v>89</v>
      </c>
      <c r="TXB5" s="394" t="s">
        <v>89</v>
      </c>
      <c r="TXC5" s="394" t="s">
        <v>89</v>
      </c>
      <c r="TXD5" s="394" t="s">
        <v>89</v>
      </c>
      <c r="TXE5" s="394" t="s">
        <v>89</v>
      </c>
      <c r="TXF5" s="394" t="s">
        <v>89</v>
      </c>
      <c r="TXG5" s="394" t="s">
        <v>89</v>
      </c>
      <c r="TXH5" s="394" t="s">
        <v>89</v>
      </c>
      <c r="TXI5" s="394" t="s">
        <v>89</v>
      </c>
      <c r="TXJ5" s="394" t="s">
        <v>89</v>
      </c>
      <c r="TXK5" s="394" t="s">
        <v>89</v>
      </c>
      <c r="TXL5" s="394" t="s">
        <v>89</v>
      </c>
      <c r="TXM5" s="394" t="s">
        <v>89</v>
      </c>
      <c r="TXN5" s="394" t="s">
        <v>89</v>
      </c>
      <c r="TXO5" s="394" t="s">
        <v>89</v>
      </c>
      <c r="TXP5" s="394" t="s">
        <v>89</v>
      </c>
      <c r="TXQ5" s="394" t="s">
        <v>89</v>
      </c>
      <c r="TXR5" s="394" t="s">
        <v>89</v>
      </c>
      <c r="TXS5" s="394" t="s">
        <v>89</v>
      </c>
      <c r="TXT5" s="394" t="s">
        <v>89</v>
      </c>
      <c r="TXU5" s="394" t="s">
        <v>89</v>
      </c>
      <c r="TXV5" s="394" t="s">
        <v>89</v>
      </c>
      <c r="TXW5" s="394" t="s">
        <v>89</v>
      </c>
      <c r="TXX5" s="394" t="s">
        <v>89</v>
      </c>
      <c r="TXY5" s="394" t="s">
        <v>89</v>
      </c>
      <c r="TXZ5" s="394" t="s">
        <v>89</v>
      </c>
      <c r="TYA5" s="394" t="s">
        <v>89</v>
      </c>
      <c r="TYB5" s="394" t="s">
        <v>89</v>
      </c>
      <c r="TYC5" s="394" t="s">
        <v>89</v>
      </c>
      <c r="TYD5" s="394" t="s">
        <v>89</v>
      </c>
      <c r="TYE5" s="394" t="s">
        <v>89</v>
      </c>
      <c r="TYF5" s="394" t="s">
        <v>89</v>
      </c>
      <c r="TYG5" s="394" t="s">
        <v>89</v>
      </c>
      <c r="TYH5" s="394" t="s">
        <v>89</v>
      </c>
      <c r="TYI5" s="394" t="s">
        <v>89</v>
      </c>
      <c r="TYJ5" s="394" t="s">
        <v>89</v>
      </c>
      <c r="TYK5" s="394" t="s">
        <v>89</v>
      </c>
      <c r="TYL5" s="394" t="s">
        <v>89</v>
      </c>
      <c r="TYM5" s="394" t="s">
        <v>89</v>
      </c>
      <c r="TYN5" s="394" t="s">
        <v>89</v>
      </c>
      <c r="TYO5" s="394" t="s">
        <v>89</v>
      </c>
      <c r="TYP5" s="394" t="s">
        <v>89</v>
      </c>
      <c r="TYQ5" s="394" t="s">
        <v>89</v>
      </c>
      <c r="TYR5" s="394" t="s">
        <v>89</v>
      </c>
      <c r="TYS5" s="394" t="s">
        <v>89</v>
      </c>
      <c r="TYT5" s="394" t="s">
        <v>89</v>
      </c>
      <c r="TYU5" s="394" t="s">
        <v>89</v>
      </c>
      <c r="TYV5" s="394" t="s">
        <v>89</v>
      </c>
      <c r="TYW5" s="394" t="s">
        <v>89</v>
      </c>
      <c r="TYX5" s="394" t="s">
        <v>89</v>
      </c>
      <c r="TYY5" s="394" t="s">
        <v>89</v>
      </c>
      <c r="TYZ5" s="394" t="s">
        <v>89</v>
      </c>
      <c r="TZA5" s="394" t="s">
        <v>89</v>
      </c>
      <c r="TZB5" s="394" t="s">
        <v>89</v>
      </c>
      <c r="TZC5" s="394" t="s">
        <v>89</v>
      </c>
      <c r="TZD5" s="394" t="s">
        <v>89</v>
      </c>
      <c r="TZE5" s="394" t="s">
        <v>89</v>
      </c>
      <c r="TZF5" s="394" t="s">
        <v>89</v>
      </c>
      <c r="TZG5" s="394" t="s">
        <v>89</v>
      </c>
      <c r="TZH5" s="394" t="s">
        <v>89</v>
      </c>
      <c r="TZI5" s="394" t="s">
        <v>89</v>
      </c>
      <c r="TZJ5" s="394" t="s">
        <v>89</v>
      </c>
      <c r="TZK5" s="394" t="s">
        <v>89</v>
      </c>
      <c r="TZL5" s="394" t="s">
        <v>89</v>
      </c>
      <c r="TZM5" s="394" t="s">
        <v>89</v>
      </c>
      <c r="TZN5" s="394" t="s">
        <v>89</v>
      </c>
      <c r="TZO5" s="394" t="s">
        <v>89</v>
      </c>
      <c r="TZP5" s="394" t="s">
        <v>89</v>
      </c>
      <c r="TZQ5" s="394" t="s">
        <v>89</v>
      </c>
      <c r="TZR5" s="394" t="s">
        <v>89</v>
      </c>
      <c r="TZS5" s="394" t="s">
        <v>89</v>
      </c>
      <c r="TZT5" s="394" t="s">
        <v>89</v>
      </c>
      <c r="TZU5" s="394" t="s">
        <v>89</v>
      </c>
      <c r="TZV5" s="394" t="s">
        <v>89</v>
      </c>
      <c r="TZW5" s="394" t="s">
        <v>89</v>
      </c>
      <c r="TZX5" s="394" t="s">
        <v>89</v>
      </c>
      <c r="TZY5" s="394" t="s">
        <v>89</v>
      </c>
      <c r="TZZ5" s="394" t="s">
        <v>89</v>
      </c>
      <c r="UAA5" s="394" t="s">
        <v>89</v>
      </c>
      <c r="UAB5" s="394" t="s">
        <v>89</v>
      </c>
      <c r="UAC5" s="394" t="s">
        <v>89</v>
      </c>
      <c r="UAD5" s="394" t="s">
        <v>89</v>
      </c>
      <c r="UAE5" s="394" t="s">
        <v>89</v>
      </c>
      <c r="UAF5" s="394" t="s">
        <v>89</v>
      </c>
      <c r="UAG5" s="394" t="s">
        <v>89</v>
      </c>
      <c r="UAH5" s="394" t="s">
        <v>89</v>
      </c>
      <c r="UAI5" s="394" t="s">
        <v>89</v>
      </c>
      <c r="UAJ5" s="394" t="s">
        <v>89</v>
      </c>
      <c r="UAK5" s="394" t="s">
        <v>89</v>
      </c>
      <c r="UAL5" s="394" t="s">
        <v>89</v>
      </c>
      <c r="UAM5" s="394" t="s">
        <v>89</v>
      </c>
      <c r="UAN5" s="394" t="s">
        <v>89</v>
      </c>
      <c r="UAO5" s="394" t="s">
        <v>89</v>
      </c>
      <c r="UAP5" s="394" t="s">
        <v>89</v>
      </c>
      <c r="UAQ5" s="394" t="s">
        <v>89</v>
      </c>
      <c r="UAR5" s="394" t="s">
        <v>89</v>
      </c>
      <c r="UAS5" s="394" t="s">
        <v>89</v>
      </c>
      <c r="UAT5" s="394" t="s">
        <v>89</v>
      </c>
      <c r="UAU5" s="394" t="s">
        <v>89</v>
      </c>
      <c r="UAV5" s="394" t="s">
        <v>89</v>
      </c>
      <c r="UAW5" s="394" t="s">
        <v>89</v>
      </c>
      <c r="UAX5" s="394" t="s">
        <v>89</v>
      </c>
      <c r="UAY5" s="394" t="s">
        <v>89</v>
      </c>
      <c r="UAZ5" s="394" t="s">
        <v>89</v>
      </c>
      <c r="UBA5" s="394" t="s">
        <v>89</v>
      </c>
      <c r="UBB5" s="394" t="s">
        <v>89</v>
      </c>
      <c r="UBC5" s="394" t="s">
        <v>89</v>
      </c>
      <c r="UBD5" s="394" t="s">
        <v>89</v>
      </c>
      <c r="UBE5" s="394" t="s">
        <v>89</v>
      </c>
      <c r="UBF5" s="394" t="s">
        <v>89</v>
      </c>
      <c r="UBG5" s="394" t="s">
        <v>89</v>
      </c>
      <c r="UBH5" s="394" t="s">
        <v>89</v>
      </c>
      <c r="UBI5" s="394" t="s">
        <v>89</v>
      </c>
      <c r="UBJ5" s="394" t="s">
        <v>89</v>
      </c>
      <c r="UBK5" s="394" t="s">
        <v>89</v>
      </c>
      <c r="UBL5" s="394" t="s">
        <v>89</v>
      </c>
      <c r="UBM5" s="394" t="s">
        <v>89</v>
      </c>
      <c r="UBN5" s="394" t="s">
        <v>89</v>
      </c>
      <c r="UBO5" s="394" t="s">
        <v>89</v>
      </c>
      <c r="UBP5" s="394" t="s">
        <v>89</v>
      </c>
      <c r="UBQ5" s="394" t="s">
        <v>89</v>
      </c>
      <c r="UBR5" s="394" t="s">
        <v>89</v>
      </c>
      <c r="UBS5" s="394" t="s">
        <v>89</v>
      </c>
      <c r="UBT5" s="394" t="s">
        <v>89</v>
      </c>
      <c r="UBU5" s="394" t="s">
        <v>89</v>
      </c>
      <c r="UBV5" s="394" t="s">
        <v>89</v>
      </c>
      <c r="UBW5" s="394" t="s">
        <v>89</v>
      </c>
      <c r="UBX5" s="394" t="s">
        <v>89</v>
      </c>
      <c r="UBY5" s="394" t="s">
        <v>89</v>
      </c>
      <c r="UBZ5" s="394" t="s">
        <v>89</v>
      </c>
      <c r="UCA5" s="394" t="s">
        <v>89</v>
      </c>
      <c r="UCB5" s="394" t="s">
        <v>89</v>
      </c>
      <c r="UCC5" s="394" t="s">
        <v>89</v>
      </c>
      <c r="UCD5" s="394" t="s">
        <v>89</v>
      </c>
      <c r="UCE5" s="394" t="s">
        <v>89</v>
      </c>
      <c r="UCF5" s="394" t="s">
        <v>89</v>
      </c>
      <c r="UCG5" s="394" t="s">
        <v>89</v>
      </c>
      <c r="UCH5" s="394" t="s">
        <v>89</v>
      </c>
      <c r="UCI5" s="394" t="s">
        <v>89</v>
      </c>
      <c r="UCJ5" s="394" t="s">
        <v>89</v>
      </c>
      <c r="UCK5" s="394" t="s">
        <v>89</v>
      </c>
      <c r="UCL5" s="394" t="s">
        <v>89</v>
      </c>
      <c r="UCM5" s="394" t="s">
        <v>89</v>
      </c>
      <c r="UCN5" s="394" t="s">
        <v>89</v>
      </c>
      <c r="UCO5" s="394" t="s">
        <v>89</v>
      </c>
      <c r="UCP5" s="394" t="s">
        <v>89</v>
      </c>
      <c r="UCQ5" s="394" t="s">
        <v>89</v>
      </c>
      <c r="UCR5" s="394" t="s">
        <v>89</v>
      </c>
      <c r="UCS5" s="394" t="s">
        <v>89</v>
      </c>
      <c r="UCT5" s="394" t="s">
        <v>89</v>
      </c>
      <c r="UCU5" s="394" t="s">
        <v>89</v>
      </c>
      <c r="UCV5" s="394" t="s">
        <v>89</v>
      </c>
      <c r="UCW5" s="394" t="s">
        <v>89</v>
      </c>
      <c r="UCX5" s="394" t="s">
        <v>89</v>
      </c>
      <c r="UCY5" s="394" t="s">
        <v>89</v>
      </c>
      <c r="UCZ5" s="394" t="s">
        <v>89</v>
      </c>
      <c r="UDA5" s="394" t="s">
        <v>89</v>
      </c>
      <c r="UDB5" s="394" t="s">
        <v>89</v>
      </c>
      <c r="UDC5" s="394" t="s">
        <v>89</v>
      </c>
      <c r="UDD5" s="394" t="s">
        <v>89</v>
      </c>
      <c r="UDE5" s="394" t="s">
        <v>89</v>
      </c>
      <c r="UDF5" s="394" t="s">
        <v>89</v>
      </c>
      <c r="UDG5" s="394" t="s">
        <v>89</v>
      </c>
      <c r="UDH5" s="394" t="s">
        <v>89</v>
      </c>
      <c r="UDI5" s="394" t="s">
        <v>89</v>
      </c>
      <c r="UDJ5" s="394" t="s">
        <v>89</v>
      </c>
      <c r="UDK5" s="394" t="s">
        <v>89</v>
      </c>
      <c r="UDL5" s="394" t="s">
        <v>89</v>
      </c>
      <c r="UDM5" s="394" t="s">
        <v>89</v>
      </c>
      <c r="UDN5" s="394" t="s">
        <v>89</v>
      </c>
      <c r="UDO5" s="394" t="s">
        <v>89</v>
      </c>
      <c r="UDP5" s="394" t="s">
        <v>89</v>
      </c>
      <c r="UDQ5" s="394" t="s">
        <v>89</v>
      </c>
      <c r="UDR5" s="394" t="s">
        <v>89</v>
      </c>
      <c r="UDS5" s="394" t="s">
        <v>89</v>
      </c>
      <c r="UDT5" s="394" t="s">
        <v>89</v>
      </c>
      <c r="UDU5" s="394" t="s">
        <v>89</v>
      </c>
      <c r="UDV5" s="394" t="s">
        <v>89</v>
      </c>
      <c r="UDW5" s="394" t="s">
        <v>89</v>
      </c>
      <c r="UDX5" s="394" t="s">
        <v>89</v>
      </c>
      <c r="UDY5" s="394" t="s">
        <v>89</v>
      </c>
      <c r="UDZ5" s="394" t="s">
        <v>89</v>
      </c>
      <c r="UEA5" s="394" t="s">
        <v>89</v>
      </c>
      <c r="UEB5" s="394" t="s">
        <v>89</v>
      </c>
      <c r="UEC5" s="394" t="s">
        <v>89</v>
      </c>
      <c r="UED5" s="394" t="s">
        <v>89</v>
      </c>
      <c r="UEE5" s="394" t="s">
        <v>89</v>
      </c>
      <c r="UEF5" s="394" t="s">
        <v>89</v>
      </c>
      <c r="UEG5" s="394" t="s">
        <v>89</v>
      </c>
      <c r="UEH5" s="394" t="s">
        <v>89</v>
      </c>
      <c r="UEI5" s="394" t="s">
        <v>89</v>
      </c>
      <c r="UEJ5" s="394" t="s">
        <v>89</v>
      </c>
      <c r="UEK5" s="394" t="s">
        <v>89</v>
      </c>
      <c r="UEL5" s="394" t="s">
        <v>89</v>
      </c>
      <c r="UEM5" s="394" t="s">
        <v>89</v>
      </c>
      <c r="UEN5" s="394" t="s">
        <v>89</v>
      </c>
      <c r="UEO5" s="394" t="s">
        <v>89</v>
      </c>
      <c r="UEP5" s="394" t="s">
        <v>89</v>
      </c>
      <c r="UEQ5" s="394" t="s">
        <v>89</v>
      </c>
      <c r="UER5" s="394" t="s">
        <v>89</v>
      </c>
      <c r="UES5" s="394" t="s">
        <v>89</v>
      </c>
      <c r="UET5" s="394" t="s">
        <v>89</v>
      </c>
      <c r="UEU5" s="394" t="s">
        <v>89</v>
      </c>
      <c r="UEV5" s="394" t="s">
        <v>89</v>
      </c>
      <c r="UEW5" s="394" t="s">
        <v>89</v>
      </c>
      <c r="UEX5" s="394" t="s">
        <v>89</v>
      </c>
      <c r="UEY5" s="394" t="s">
        <v>89</v>
      </c>
      <c r="UEZ5" s="394" t="s">
        <v>89</v>
      </c>
      <c r="UFA5" s="394" t="s">
        <v>89</v>
      </c>
      <c r="UFB5" s="394" t="s">
        <v>89</v>
      </c>
      <c r="UFC5" s="394" t="s">
        <v>89</v>
      </c>
      <c r="UFD5" s="394" t="s">
        <v>89</v>
      </c>
      <c r="UFE5" s="394" t="s">
        <v>89</v>
      </c>
      <c r="UFF5" s="394" t="s">
        <v>89</v>
      </c>
      <c r="UFG5" s="394" t="s">
        <v>89</v>
      </c>
      <c r="UFH5" s="394" t="s">
        <v>89</v>
      </c>
      <c r="UFI5" s="394" t="s">
        <v>89</v>
      </c>
      <c r="UFJ5" s="394" t="s">
        <v>89</v>
      </c>
      <c r="UFK5" s="394" t="s">
        <v>89</v>
      </c>
      <c r="UFL5" s="394" t="s">
        <v>89</v>
      </c>
      <c r="UFM5" s="394" t="s">
        <v>89</v>
      </c>
      <c r="UFN5" s="394" t="s">
        <v>89</v>
      </c>
      <c r="UFO5" s="394" t="s">
        <v>89</v>
      </c>
      <c r="UFP5" s="394" t="s">
        <v>89</v>
      </c>
      <c r="UFQ5" s="394" t="s">
        <v>89</v>
      </c>
      <c r="UFR5" s="394" t="s">
        <v>89</v>
      </c>
      <c r="UFS5" s="394" t="s">
        <v>89</v>
      </c>
      <c r="UFT5" s="394" t="s">
        <v>89</v>
      </c>
      <c r="UFU5" s="394" t="s">
        <v>89</v>
      </c>
      <c r="UFV5" s="394" t="s">
        <v>89</v>
      </c>
      <c r="UFW5" s="394" t="s">
        <v>89</v>
      </c>
      <c r="UFX5" s="394" t="s">
        <v>89</v>
      </c>
      <c r="UFY5" s="394" t="s">
        <v>89</v>
      </c>
      <c r="UFZ5" s="394" t="s">
        <v>89</v>
      </c>
      <c r="UGA5" s="394" t="s">
        <v>89</v>
      </c>
      <c r="UGB5" s="394" t="s">
        <v>89</v>
      </c>
      <c r="UGC5" s="394" t="s">
        <v>89</v>
      </c>
      <c r="UGD5" s="394" t="s">
        <v>89</v>
      </c>
      <c r="UGE5" s="394" t="s">
        <v>89</v>
      </c>
      <c r="UGF5" s="394" t="s">
        <v>89</v>
      </c>
      <c r="UGG5" s="394" t="s">
        <v>89</v>
      </c>
      <c r="UGH5" s="394" t="s">
        <v>89</v>
      </c>
      <c r="UGI5" s="394" t="s">
        <v>89</v>
      </c>
      <c r="UGJ5" s="394" t="s">
        <v>89</v>
      </c>
      <c r="UGK5" s="394" t="s">
        <v>89</v>
      </c>
      <c r="UGL5" s="394" t="s">
        <v>89</v>
      </c>
      <c r="UGM5" s="394" t="s">
        <v>89</v>
      </c>
      <c r="UGN5" s="394" t="s">
        <v>89</v>
      </c>
      <c r="UGO5" s="394" t="s">
        <v>89</v>
      </c>
      <c r="UGP5" s="394" t="s">
        <v>89</v>
      </c>
      <c r="UGQ5" s="394" t="s">
        <v>89</v>
      </c>
      <c r="UGR5" s="394" t="s">
        <v>89</v>
      </c>
      <c r="UGS5" s="394" t="s">
        <v>89</v>
      </c>
      <c r="UGT5" s="394" t="s">
        <v>89</v>
      </c>
      <c r="UGU5" s="394" t="s">
        <v>89</v>
      </c>
      <c r="UGV5" s="394" t="s">
        <v>89</v>
      </c>
      <c r="UGW5" s="394" t="s">
        <v>89</v>
      </c>
      <c r="UGX5" s="394" t="s">
        <v>89</v>
      </c>
      <c r="UGY5" s="394" t="s">
        <v>89</v>
      </c>
      <c r="UGZ5" s="394" t="s">
        <v>89</v>
      </c>
      <c r="UHA5" s="394" t="s">
        <v>89</v>
      </c>
      <c r="UHB5" s="394" t="s">
        <v>89</v>
      </c>
      <c r="UHC5" s="394" t="s">
        <v>89</v>
      </c>
      <c r="UHD5" s="394" t="s">
        <v>89</v>
      </c>
      <c r="UHE5" s="394" t="s">
        <v>89</v>
      </c>
      <c r="UHF5" s="394" t="s">
        <v>89</v>
      </c>
      <c r="UHG5" s="394" t="s">
        <v>89</v>
      </c>
      <c r="UHH5" s="394" t="s">
        <v>89</v>
      </c>
      <c r="UHI5" s="394" t="s">
        <v>89</v>
      </c>
      <c r="UHJ5" s="394" t="s">
        <v>89</v>
      </c>
      <c r="UHK5" s="394" t="s">
        <v>89</v>
      </c>
      <c r="UHL5" s="394" t="s">
        <v>89</v>
      </c>
      <c r="UHM5" s="394" t="s">
        <v>89</v>
      </c>
      <c r="UHN5" s="394" t="s">
        <v>89</v>
      </c>
      <c r="UHO5" s="394" t="s">
        <v>89</v>
      </c>
      <c r="UHP5" s="394" t="s">
        <v>89</v>
      </c>
      <c r="UHQ5" s="394" t="s">
        <v>89</v>
      </c>
      <c r="UHR5" s="394" t="s">
        <v>89</v>
      </c>
      <c r="UHS5" s="394" t="s">
        <v>89</v>
      </c>
      <c r="UHT5" s="394" t="s">
        <v>89</v>
      </c>
      <c r="UHU5" s="394" t="s">
        <v>89</v>
      </c>
      <c r="UHV5" s="394" t="s">
        <v>89</v>
      </c>
      <c r="UHW5" s="394" t="s">
        <v>89</v>
      </c>
      <c r="UHX5" s="394" t="s">
        <v>89</v>
      </c>
      <c r="UHY5" s="394" t="s">
        <v>89</v>
      </c>
      <c r="UHZ5" s="394" t="s">
        <v>89</v>
      </c>
      <c r="UIA5" s="394" t="s">
        <v>89</v>
      </c>
      <c r="UIB5" s="394" t="s">
        <v>89</v>
      </c>
      <c r="UIC5" s="394" t="s">
        <v>89</v>
      </c>
      <c r="UID5" s="394" t="s">
        <v>89</v>
      </c>
      <c r="UIE5" s="394" t="s">
        <v>89</v>
      </c>
      <c r="UIF5" s="394" t="s">
        <v>89</v>
      </c>
      <c r="UIG5" s="394" t="s">
        <v>89</v>
      </c>
      <c r="UIH5" s="394" t="s">
        <v>89</v>
      </c>
      <c r="UII5" s="394" t="s">
        <v>89</v>
      </c>
      <c r="UIJ5" s="394" t="s">
        <v>89</v>
      </c>
      <c r="UIK5" s="394" t="s">
        <v>89</v>
      </c>
      <c r="UIL5" s="394" t="s">
        <v>89</v>
      </c>
      <c r="UIM5" s="394" t="s">
        <v>89</v>
      </c>
      <c r="UIN5" s="394" t="s">
        <v>89</v>
      </c>
      <c r="UIO5" s="394" t="s">
        <v>89</v>
      </c>
      <c r="UIP5" s="394" t="s">
        <v>89</v>
      </c>
      <c r="UIQ5" s="394" t="s">
        <v>89</v>
      </c>
      <c r="UIR5" s="394" t="s">
        <v>89</v>
      </c>
      <c r="UIS5" s="394" t="s">
        <v>89</v>
      </c>
      <c r="UIT5" s="394" t="s">
        <v>89</v>
      </c>
      <c r="UIU5" s="394" t="s">
        <v>89</v>
      </c>
      <c r="UIV5" s="394" t="s">
        <v>89</v>
      </c>
      <c r="UIW5" s="394" t="s">
        <v>89</v>
      </c>
      <c r="UIX5" s="394" t="s">
        <v>89</v>
      </c>
      <c r="UIY5" s="394" t="s">
        <v>89</v>
      </c>
      <c r="UIZ5" s="394" t="s">
        <v>89</v>
      </c>
      <c r="UJA5" s="394" t="s">
        <v>89</v>
      </c>
      <c r="UJB5" s="394" t="s">
        <v>89</v>
      </c>
      <c r="UJC5" s="394" t="s">
        <v>89</v>
      </c>
      <c r="UJD5" s="394" t="s">
        <v>89</v>
      </c>
      <c r="UJE5" s="394" t="s">
        <v>89</v>
      </c>
      <c r="UJF5" s="394" t="s">
        <v>89</v>
      </c>
      <c r="UJG5" s="394" t="s">
        <v>89</v>
      </c>
      <c r="UJH5" s="394" t="s">
        <v>89</v>
      </c>
      <c r="UJI5" s="394" t="s">
        <v>89</v>
      </c>
      <c r="UJJ5" s="394" t="s">
        <v>89</v>
      </c>
      <c r="UJK5" s="394" t="s">
        <v>89</v>
      </c>
      <c r="UJL5" s="394" t="s">
        <v>89</v>
      </c>
      <c r="UJM5" s="394" t="s">
        <v>89</v>
      </c>
      <c r="UJN5" s="394" t="s">
        <v>89</v>
      </c>
      <c r="UJO5" s="394" t="s">
        <v>89</v>
      </c>
      <c r="UJP5" s="394" t="s">
        <v>89</v>
      </c>
      <c r="UJQ5" s="394" t="s">
        <v>89</v>
      </c>
      <c r="UJR5" s="394" t="s">
        <v>89</v>
      </c>
      <c r="UJS5" s="394" t="s">
        <v>89</v>
      </c>
      <c r="UJT5" s="394" t="s">
        <v>89</v>
      </c>
      <c r="UJU5" s="394" t="s">
        <v>89</v>
      </c>
      <c r="UJV5" s="394" t="s">
        <v>89</v>
      </c>
      <c r="UJW5" s="394" t="s">
        <v>89</v>
      </c>
      <c r="UJX5" s="394" t="s">
        <v>89</v>
      </c>
      <c r="UJY5" s="394" t="s">
        <v>89</v>
      </c>
      <c r="UJZ5" s="394" t="s">
        <v>89</v>
      </c>
      <c r="UKA5" s="394" t="s">
        <v>89</v>
      </c>
      <c r="UKB5" s="394" t="s">
        <v>89</v>
      </c>
      <c r="UKC5" s="394" t="s">
        <v>89</v>
      </c>
      <c r="UKD5" s="394" t="s">
        <v>89</v>
      </c>
      <c r="UKE5" s="394" t="s">
        <v>89</v>
      </c>
      <c r="UKF5" s="394" t="s">
        <v>89</v>
      </c>
      <c r="UKG5" s="394" t="s">
        <v>89</v>
      </c>
      <c r="UKH5" s="394" t="s">
        <v>89</v>
      </c>
      <c r="UKI5" s="394" t="s">
        <v>89</v>
      </c>
      <c r="UKJ5" s="394" t="s">
        <v>89</v>
      </c>
      <c r="UKK5" s="394" t="s">
        <v>89</v>
      </c>
      <c r="UKL5" s="394" t="s">
        <v>89</v>
      </c>
      <c r="UKM5" s="394" t="s">
        <v>89</v>
      </c>
      <c r="UKN5" s="394" t="s">
        <v>89</v>
      </c>
      <c r="UKO5" s="394" t="s">
        <v>89</v>
      </c>
      <c r="UKP5" s="394" t="s">
        <v>89</v>
      </c>
      <c r="UKQ5" s="394" t="s">
        <v>89</v>
      </c>
      <c r="UKR5" s="394" t="s">
        <v>89</v>
      </c>
      <c r="UKS5" s="394" t="s">
        <v>89</v>
      </c>
      <c r="UKT5" s="394" t="s">
        <v>89</v>
      </c>
      <c r="UKU5" s="394" t="s">
        <v>89</v>
      </c>
      <c r="UKV5" s="394" t="s">
        <v>89</v>
      </c>
      <c r="UKW5" s="394" t="s">
        <v>89</v>
      </c>
      <c r="UKX5" s="394" t="s">
        <v>89</v>
      </c>
      <c r="UKY5" s="394" t="s">
        <v>89</v>
      </c>
      <c r="UKZ5" s="394" t="s">
        <v>89</v>
      </c>
      <c r="ULA5" s="394" t="s">
        <v>89</v>
      </c>
      <c r="ULB5" s="394" t="s">
        <v>89</v>
      </c>
      <c r="ULC5" s="394" t="s">
        <v>89</v>
      </c>
      <c r="ULD5" s="394" t="s">
        <v>89</v>
      </c>
      <c r="ULE5" s="394" t="s">
        <v>89</v>
      </c>
      <c r="ULF5" s="394" t="s">
        <v>89</v>
      </c>
      <c r="ULG5" s="394" t="s">
        <v>89</v>
      </c>
      <c r="ULH5" s="394" t="s">
        <v>89</v>
      </c>
      <c r="ULI5" s="394" t="s">
        <v>89</v>
      </c>
      <c r="ULJ5" s="394" t="s">
        <v>89</v>
      </c>
      <c r="ULK5" s="394" t="s">
        <v>89</v>
      </c>
      <c r="ULL5" s="394" t="s">
        <v>89</v>
      </c>
      <c r="ULM5" s="394" t="s">
        <v>89</v>
      </c>
      <c r="ULN5" s="394" t="s">
        <v>89</v>
      </c>
      <c r="ULO5" s="394" t="s">
        <v>89</v>
      </c>
      <c r="ULP5" s="394" t="s">
        <v>89</v>
      </c>
      <c r="ULQ5" s="394" t="s">
        <v>89</v>
      </c>
      <c r="ULR5" s="394" t="s">
        <v>89</v>
      </c>
      <c r="ULS5" s="394" t="s">
        <v>89</v>
      </c>
      <c r="ULT5" s="394" t="s">
        <v>89</v>
      </c>
      <c r="ULU5" s="394" t="s">
        <v>89</v>
      </c>
      <c r="ULV5" s="394" t="s">
        <v>89</v>
      </c>
      <c r="ULW5" s="394" t="s">
        <v>89</v>
      </c>
      <c r="ULX5" s="394" t="s">
        <v>89</v>
      </c>
      <c r="ULY5" s="394" t="s">
        <v>89</v>
      </c>
      <c r="ULZ5" s="394" t="s">
        <v>89</v>
      </c>
      <c r="UMA5" s="394" t="s">
        <v>89</v>
      </c>
      <c r="UMB5" s="394" t="s">
        <v>89</v>
      </c>
      <c r="UMC5" s="394" t="s">
        <v>89</v>
      </c>
      <c r="UMD5" s="394" t="s">
        <v>89</v>
      </c>
      <c r="UME5" s="394" t="s">
        <v>89</v>
      </c>
      <c r="UMF5" s="394" t="s">
        <v>89</v>
      </c>
      <c r="UMG5" s="394" t="s">
        <v>89</v>
      </c>
      <c r="UMH5" s="394" t="s">
        <v>89</v>
      </c>
      <c r="UMI5" s="394" t="s">
        <v>89</v>
      </c>
      <c r="UMJ5" s="394" t="s">
        <v>89</v>
      </c>
      <c r="UMK5" s="394" t="s">
        <v>89</v>
      </c>
      <c r="UML5" s="394" t="s">
        <v>89</v>
      </c>
      <c r="UMM5" s="394" t="s">
        <v>89</v>
      </c>
      <c r="UMN5" s="394" t="s">
        <v>89</v>
      </c>
      <c r="UMO5" s="394" t="s">
        <v>89</v>
      </c>
      <c r="UMP5" s="394" t="s">
        <v>89</v>
      </c>
      <c r="UMQ5" s="394" t="s">
        <v>89</v>
      </c>
      <c r="UMR5" s="394" t="s">
        <v>89</v>
      </c>
      <c r="UMS5" s="394" t="s">
        <v>89</v>
      </c>
      <c r="UMT5" s="394" t="s">
        <v>89</v>
      </c>
      <c r="UMU5" s="394" t="s">
        <v>89</v>
      </c>
      <c r="UMV5" s="394" t="s">
        <v>89</v>
      </c>
      <c r="UMW5" s="394" t="s">
        <v>89</v>
      </c>
      <c r="UMX5" s="394" t="s">
        <v>89</v>
      </c>
      <c r="UMY5" s="394" t="s">
        <v>89</v>
      </c>
      <c r="UMZ5" s="394" t="s">
        <v>89</v>
      </c>
      <c r="UNA5" s="394" t="s">
        <v>89</v>
      </c>
      <c r="UNB5" s="394" t="s">
        <v>89</v>
      </c>
      <c r="UNC5" s="394" t="s">
        <v>89</v>
      </c>
      <c r="UND5" s="394" t="s">
        <v>89</v>
      </c>
      <c r="UNE5" s="394" t="s">
        <v>89</v>
      </c>
      <c r="UNF5" s="394" t="s">
        <v>89</v>
      </c>
      <c r="UNG5" s="394" t="s">
        <v>89</v>
      </c>
      <c r="UNH5" s="394" t="s">
        <v>89</v>
      </c>
      <c r="UNI5" s="394" t="s">
        <v>89</v>
      </c>
      <c r="UNJ5" s="394" t="s">
        <v>89</v>
      </c>
      <c r="UNK5" s="394" t="s">
        <v>89</v>
      </c>
      <c r="UNL5" s="394" t="s">
        <v>89</v>
      </c>
      <c r="UNM5" s="394" t="s">
        <v>89</v>
      </c>
      <c r="UNN5" s="394" t="s">
        <v>89</v>
      </c>
      <c r="UNO5" s="394" t="s">
        <v>89</v>
      </c>
      <c r="UNP5" s="394" t="s">
        <v>89</v>
      </c>
      <c r="UNQ5" s="394" t="s">
        <v>89</v>
      </c>
      <c r="UNR5" s="394" t="s">
        <v>89</v>
      </c>
      <c r="UNS5" s="394" t="s">
        <v>89</v>
      </c>
      <c r="UNT5" s="394" t="s">
        <v>89</v>
      </c>
      <c r="UNU5" s="394" t="s">
        <v>89</v>
      </c>
      <c r="UNV5" s="394" t="s">
        <v>89</v>
      </c>
      <c r="UNW5" s="394" t="s">
        <v>89</v>
      </c>
      <c r="UNX5" s="394" t="s">
        <v>89</v>
      </c>
      <c r="UNY5" s="394" t="s">
        <v>89</v>
      </c>
      <c r="UNZ5" s="394" t="s">
        <v>89</v>
      </c>
      <c r="UOA5" s="394" t="s">
        <v>89</v>
      </c>
      <c r="UOB5" s="394" t="s">
        <v>89</v>
      </c>
      <c r="UOC5" s="394" t="s">
        <v>89</v>
      </c>
      <c r="UOD5" s="394" t="s">
        <v>89</v>
      </c>
      <c r="UOE5" s="394" t="s">
        <v>89</v>
      </c>
      <c r="UOF5" s="394" t="s">
        <v>89</v>
      </c>
      <c r="UOG5" s="394" t="s">
        <v>89</v>
      </c>
      <c r="UOH5" s="394" t="s">
        <v>89</v>
      </c>
      <c r="UOI5" s="394" t="s">
        <v>89</v>
      </c>
      <c r="UOJ5" s="394" t="s">
        <v>89</v>
      </c>
      <c r="UOK5" s="394" t="s">
        <v>89</v>
      </c>
      <c r="UOL5" s="394" t="s">
        <v>89</v>
      </c>
      <c r="UOM5" s="394" t="s">
        <v>89</v>
      </c>
      <c r="UON5" s="394" t="s">
        <v>89</v>
      </c>
      <c r="UOO5" s="394" t="s">
        <v>89</v>
      </c>
      <c r="UOP5" s="394" t="s">
        <v>89</v>
      </c>
      <c r="UOQ5" s="394" t="s">
        <v>89</v>
      </c>
      <c r="UOR5" s="394" t="s">
        <v>89</v>
      </c>
      <c r="UOS5" s="394" t="s">
        <v>89</v>
      </c>
      <c r="UOT5" s="394" t="s">
        <v>89</v>
      </c>
      <c r="UOU5" s="394" t="s">
        <v>89</v>
      </c>
      <c r="UOV5" s="394" t="s">
        <v>89</v>
      </c>
      <c r="UOW5" s="394" t="s">
        <v>89</v>
      </c>
      <c r="UOX5" s="394" t="s">
        <v>89</v>
      </c>
      <c r="UOY5" s="394" t="s">
        <v>89</v>
      </c>
      <c r="UOZ5" s="394" t="s">
        <v>89</v>
      </c>
      <c r="UPA5" s="394" t="s">
        <v>89</v>
      </c>
      <c r="UPB5" s="394" t="s">
        <v>89</v>
      </c>
      <c r="UPC5" s="394" t="s">
        <v>89</v>
      </c>
      <c r="UPD5" s="394" t="s">
        <v>89</v>
      </c>
      <c r="UPE5" s="394" t="s">
        <v>89</v>
      </c>
      <c r="UPF5" s="394" t="s">
        <v>89</v>
      </c>
      <c r="UPG5" s="394" t="s">
        <v>89</v>
      </c>
      <c r="UPH5" s="394" t="s">
        <v>89</v>
      </c>
      <c r="UPI5" s="394" t="s">
        <v>89</v>
      </c>
      <c r="UPJ5" s="394" t="s">
        <v>89</v>
      </c>
      <c r="UPK5" s="394" t="s">
        <v>89</v>
      </c>
      <c r="UPL5" s="394" t="s">
        <v>89</v>
      </c>
      <c r="UPM5" s="394" t="s">
        <v>89</v>
      </c>
      <c r="UPN5" s="394" t="s">
        <v>89</v>
      </c>
      <c r="UPO5" s="394" t="s">
        <v>89</v>
      </c>
      <c r="UPP5" s="394" t="s">
        <v>89</v>
      </c>
      <c r="UPQ5" s="394" t="s">
        <v>89</v>
      </c>
      <c r="UPR5" s="394" t="s">
        <v>89</v>
      </c>
      <c r="UPS5" s="394" t="s">
        <v>89</v>
      </c>
      <c r="UPT5" s="394" t="s">
        <v>89</v>
      </c>
      <c r="UPU5" s="394" t="s">
        <v>89</v>
      </c>
      <c r="UPV5" s="394" t="s">
        <v>89</v>
      </c>
      <c r="UPW5" s="394" t="s">
        <v>89</v>
      </c>
      <c r="UPX5" s="394" t="s">
        <v>89</v>
      </c>
      <c r="UPY5" s="394" t="s">
        <v>89</v>
      </c>
      <c r="UPZ5" s="394" t="s">
        <v>89</v>
      </c>
      <c r="UQA5" s="394" t="s">
        <v>89</v>
      </c>
      <c r="UQB5" s="394" t="s">
        <v>89</v>
      </c>
      <c r="UQC5" s="394" t="s">
        <v>89</v>
      </c>
      <c r="UQD5" s="394" t="s">
        <v>89</v>
      </c>
      <c r="UQE5" s="394" t="s">
        <v>89</v>
      </c>
      <c r="UQF5" s="394" t="s">
        <v>89</v>
      </c>
      <c r="UQG5" s="394" t="s">
        <v>89</v>
      </c>
      <c r="UQH5" s="394" t="s">
        <v>89</v>
      </c>
      <c r="UQI5" s="394" t="s">
        <v>89</v>
      </c>
      <c r="UQJ5" s="394" t="s">
        <v>89</v>
      </c>
      <c r="UQK5" s="394" t="s">
        <v>89</v>
      </c>
      <c r="UQL5" s="394" t="s">
        <v>89</v>
      </c>
      <c r="UQM5" s="394" t="s">
        <v>89</v>
      </c>
      <c r="UQN5" s="394" t="s">
        <v>89</v>
      </c>
      <c r="UQO5" s="394" t="s">
        <v>89</v>
      </c>
      <c r="UQP5" s="394" t="s">
        <v>89</v>
      </c>
      <c r="UQQ5" s="394" t="s">
        <v>89</v>
      </c>
      <c r="UQR5" s="394" t="s">
        <v>89</v>
      </c>
      <c r="UQS5" s="394" t="s">
        <v>89</v>
      </c>
      <c r="UQT5" s="394" t="s">
        <v>89</v>
      </c>
      <c r="UQU5" s="394" t="s">
        <v>89</v>
      </c>
      <c r="UQV5" s="394" t="s">
        <v>89</v>
      </c>
      <c r="UQW5" s="394" t="s">
        <v>89</v>
      </c>
      <c r="UQX5" s="394" t="s">
        <v>89</v>
      </c>
      <c r="UQY5" s="394" t="s">
        <v>89</v>
      </c>
      <c r="UQZ5" s="394" t="s">
        <v>89</v>
      </c>
      <c r="URA5" s="394" t="s">
        <v>89</v>
      </c>
      <c r="URB5" s="394" t="s">
        <v>89</v>
      </c>
      <c r="URC5" s="394" t="s">
        <v>89</v>
      </c>
      <c r="URD5" s="394" t="s">
        <v>89</v>
      </c>
      <c r="URE5" s="394" t="s">
        <v>89</v>
      </c>
      <c r="URF5" s="394" t="s">
        <v>89</v>
      </c>
      <c r="URG5" s="394" t="s">
        <v>89</v>
      </c>
      <c r="URH5" s="394" t="s">
        <v>89</v>
      </c>
      <c r="URI5" s="394" t="s">
        <v>89</v>
      </c>
      <c r="URJ5" s="394" t="s">
        <v>89</v>
      </c>
      <c r="URK5" s="394" t="s">
        <v>89</v>
      </c>
      <c r="URL5" s="394" t="s">
        <v>89</v>
      </c>
      <c r="URM5" s="394" t="s">
        <v>89</v>
      </c>
      <c r="URN5" s="394" t="s">
        <v>89</v>
      </c>
      <c r="URO5" s="394" t="s">
        <v>89</v>
      </c>
      <c r="URP5" s="394" t="s">
        <v>89</v>
      </c>
      <c r="URQ5" s="394" t="s">
        <v>89</v>
      </c>
      <c r="URR5" s="394" t="s">
        <v>89</v>
      </c>
      <c r="URS5" s="394" t="s">
        <v>89</v>
      </c>
      <c r="URT5" s="394" t="s">
        <v>89</v>
      </c>
      <c r="URU5" s="394" t="s">
        <v>89</v>
      </c>
      <c r="URV5" s="394" t="s">
        <v>89</v>
      </c>
      <c r="URW5" s="394" t="s">
        <v>89</v>
      </c>
      <c r="URX5" s="394" t="s">
        <v>89</v>
      </c>
      <c r="URY5" s="394" t="s">
        <v>89</v>
      </c>
      <c r="URZ5" s="394" t="s">
        <v>89</v>
      </c>
      <c r="USA5" s="394" t="s">
        <v>89</v>
      </c>
      <c r="USB5" s="394" t="s">
        <v>89</v>
      </c>
      <c r="USC5" s="394" t="s">
        <v>89</v>
      </c>
      <c r="USD5" s="394" t="s">
        <v>89</v>
      </c>
      <c r="USE5" s="394" t="s">
        <v>89</v>
      </c>
      <c r="USF5" s="394" t="s">
        <v>89</v>
      </c>
      <c r="USG5" s="394" t="s">
        <v>89</v>
      </c>
      <c r="USH5" s="394" t="s">
        <v>89</v>
      </c>
      <c r="USI5" s="394" t="s">
        <v>89</v>
      </c>
      <c r="USJ5" s="394" t="s">
        <v>89</v>
      </c>
      <c r="USK5" s="394" t="s">
        <v>89</v>
      </c>
      <c r="USL5" s="394" t="s">
        <v>89</v>
      </c>
      <c r="USM5" s="394" t="s">
        <v>89</v>
      </c>
      <c r="USN5" s="394" t="s">
        <v>89</v>
      </c>
      <c r="USO5" s="394" t="s">
        <v>89</v>
      </c>
      <c r="USP5" s="394" t="s">
        <v>89</v>
      </c>
      <c r="USQ5" s="394" t="s">
        <v>89</v>
      </c>
      <c r="USR5" s="394" t="s">
        <v>89</v>
      </c>
      <c r="USS5" s="394" t="s">
        <v>89</v>
      </c>
      <c r="UST5" s="394" t="s">
        <v>89</v>
      </c>
      <c r="USU5" s="394" t="s">
        <v>89</v>
      </c>
      <c r="USV5" s="394" t="s">
        <v>89</v>
      </c>
      <c r="USW5" s="394" t="s">
        <v>89</v>
      </c>
      <c r="USX5" s="394" t="s">
        <v>89</v>
      </c>
      <c r="USY5" s="394" t="s">
        <v>89</v>
      </c>
      <c r="USZ5" s="394" t="s">
        <v>89</v>
      </c>
      <c r="UTA5" s="394" t="s">
        <v>89</v>
      </c>
      <c r="UTB5" s="394" t="s">
        <v>89</v>
      </c>
      <c r="UTC5" s="394" t="s">
        <v>89</v>
      </c>
      <c r="UTD5" s="394" t="s">
        <v>89</v>
      </c>
      <c r="UTE5" s="394" t="s">
        <v>89</v>
      </c>
      <c r="UTF5" s="394" t="s">
        <v>89</v>
      </c>
      <c r="UTG5" s="394" t="s">
        <v>89</v>
      </c>
      <c r="UTH5" s="394" t="s">
        <v>89</v>
      </c>
      <c r="UTI5" s="394" t="s">
        <v>89</v>
      </c>
      <c r="UTJ5" s="394" t="s">
        <v>89</v>
      </c>
      <c r="UTK5" s="394" t="s">
        <v>89</v>
      </c>
      <c r="UTL5" s="394" t="s">
        <v>89</v>
      </c>
      <c r="UTM5" s="394" t="s">
        <v>89</v>
      </c>
      <c r="UTN5" s="394" t="s">
        <v>89</v>
      </c>
      <c r="UTO5" s="394" t="s">
        <v>89</v>
      </c>
      <c r="UTP5" s="394" t="s">
        <v>89</v>
      </c>
      <c r="UTQ5" s="394" t="s">
        <v>89</v>
      </c>
      <c r="UTR5" s="394" t="s">
        <v>89</v>
      </c>
      <c r="UTS5" s="394" t="s">
        <v>89</v>
      </c>
      <c r="UTT5" s="394" t="s">
        <v>89</v>
      </c>
      <c r="UTU5" s="394" t="s">
        <v>89</v>
      </c>
      <c r="UTV5" s="394" t="s">
        <v>89</v>
      </c>
      <c r="UTW5" s="394" t="s">
        <v>89</v>
      </c>
      <c r="UTX5" s="394" t="s">
        <v>89</v>
      </c>
      <c r="UTY5" s="394" t="s">
        <v>89</v>
      </c>
      <c r="UTZ5" s="394" t="s">
        <v>89</v>
      </c>
      <c r="UUA5" s="394" t="s">
        <v>89</v>
      </c>
      <c r="UUB5" s="394" t="s">
        <v>89</v>
      </c>
      <c r="UUC5" s="394" t="s">
        <v>89</v>
      </c>
      <c r="UUD5" s="394" t="s">
        <v>89</v>
      </c>
      <c r="UUE5" s="394" t="s">
        <v>89</v>
      </c>
      <c r="UUF5" s="394" t="s">
        <v>89</v>
      </c>
      <c r="UUG5" s="394" t="s">
        <v>89</v>
      </c>
      <c r="UUH5" s="394" t="s">
        <v>89</v>
      </c>
      <c r="UUI5" s="394" t="s">
        <v>89</v>
      </c>
      <c r="UUJ5" s="394" t="s">
        <v>89</v>
      </c>
      <c r="UUK5" s="394" t="s">
        <v>89</v>
      </c>
      <c r="UUL5" s="394" t="s">
        <v>89</v>
      </c>
      <c r="UUM5" s="394" t="s">
        <v>89</v>
      </c>
      <c r="UUN5" s="394" t="s">
        <v>89</v>
      </c>
      <c r="UUO5" s="394" t="s">
        <v>89</v>
      </c>
      <c r="UUP5" s="394" t="s">
        <v>89</v>
      </c>
      <c r="UUQ5" s="394" t="s">
        <v>89</v>
      </c>
      <c r="UUR5" s="394" t="s">
        <v>89</v>
      </c>
      <c r="UUS5" s="394" t="s">
        <v>89</v>
      </c>
      <c r="UUT5" s="394" t="s">
        <v>89</v>
      </c>
      <c r="UUU5" s="394" t="s">
        <v>89</v>
      </c>
      <c r="UUV5" s="394" t="s">
        <v>89</v>
      </c>
      <c r="UUW5" s="394" t="s">
        <v>89</v>
      </c>
      <c r="UUX5" s="394" t="s">
        <v>89</v>
      </c>
      <c r="UUY5" s="394" t="s">
        <v>89</v>
      </c>
      <c r="UUZ5" s="394" t="s">
        <v>89</v>
      </c>
      <c r="UVA5" s="394" t="s">
        <v>89</v>
      </c>
      <c r="UVB5" s="394" t="s">
        <v>89</v>
      </c>
      <c r="UVC5" s="394" t="s">
        <v>89</v>
      </c>
      <c r="UVD5" s="394" t="s">
        <v>89</v>
      </c>
      <c r="UVE5" s="394" t="s">
        <v>89</v>
      </c>
      <c r="UVF5" s="394" t="s">
        <v>89</v>
      </c>
      <c r="UVG5" s="394" t="s">
        <v>89</v>
      </c>
      <c r="UVH5" s="394" t="s">
        <v>89</v>
      </c>
      <c r="UVI5" s="394" t="s">
        <v>89</v>
      </c>
      <c r="UVJ5" s="394" t="s">
        <v>89</v>
      </c>
      <c r="UVK5" s="394" t="s">
        <v>89</v>
      </c>
      <c r="UVL5" s="394" t="s">
        <v>89</v>
      </c>
      <c r="UVM5" s="394" t="s">
        <v>89</v>
      </c>
      <c r="UVN5" s="394" t="s">
        <v>89</v>
      </c>
      <c r="UVO5" s="394" t="s">
        <v>89</v>
      </c>
      <c r="UVP5" s="394" t="s">
        <v>89</v>
      </c>
      <c r="UVQ5" s="394" t="s">
        <v>89</v>
      </c>
      <c r="UVR5" s="394" t="s">
        <v>89</v>
      </c>
      <c r="UVS5" s="394" t="s">
        <v>89</v>
      </c>
      <c r="UVT5" s="394" t="s">
        <v>89</v>
      </c>
      <c r="UVU5" s="394" t="s">
        <v>89</v>
      </c>
      <c r="UVV5" s="394" t="s">
        <v>89</v>
      </c>
      <c r="UVW5" s="394" t="s">
        <v>89</v>
      </c>
      <c r="UVX5" s="394" t="s">
        <v>89</v>
      </c>
      <c r="UVY5" s="394" t="s">
        <v>89</v>
      </c>
      <c r="UVZ5" s="394" t="s">
        <v>89</v>
      </c>
      <c r="UWA5" s="394" t="s">
        <v>89</v>
      </c>
      <c r="UWB5" s="394" t="s">
        <v>89</v>
      </c>
      <c r="UWC5" s="394" t="s">
        <v>89</v>
      </c>
      <c r="UWD5" s="394" t="s">
        <v>89</v>
      </c>
      <c r="UWE5" s="394" t="s">
        <v>89</v>
      </c>
      <c r="UWF5" s="394" t="s">
        <v>89</v>
      </c>
      <c r="UWG5" s="394" t="s">
        <v>89</v>
      </c>
      <c r="UWH5" s="394" t="s">
        <v>89</v>
      </c>
      <c r="UWI5" s="394" t="s">
        <v>89</v>
      </c>
      <c r="UWJ5" s="394" t="s">
        <v>89</v>
      </c>
      <c r="UWK5" s="394" t="s">
        <v>89</v>
      </c>
      <c r="UWL5" s="394" t="s">
        <v>89</v>
      </c>
      <c r="UWM5" s="394" t="s">
        <v>89</v>
      </c>
      <c r="UWN5" s="394" t="s">
        <v>89</v>
      </c>
      <c r="UWO5" s="394" t="s">
        <v>89</v>
      </c>
      <c r="UWP5" s="394" t="s">
        <v>89</v>
      </c>
      <c r="UWQ5" s="394" t="s">
        <v>89</v>
      </c>
      <c r="UWR5" s="394" t="s">
        <v>89</v>
      </c>
      <c r="UWS5" s="394" t="s">
        <v>89</v>
      </c>
      <c r="UWT5" s="394" t="s">
        <v>89</v>
      </c>
      <c r="UWU5" s="394" t="s">
        <v>89</v>
      </c>
      <c r="UWV5" s="394" t="s">
        <v>89</v>
      </c>
      <c r="UWW5" s="394" t="s">
        <v>89</v>
      </c>
      <c r="UWX5" s="394" t="s">
        <v>89</v>
      </c>
      <c r="UWY5" s="394" t="s">
        <v>89</v>
      </c>
      <c r="UWZ5" s="394" t="s">
        <v>89</v>
      </c>
      <c r="UXA5" s="394" t="s">
        <v>89</v>
      </c>
      <c r="UXB5" s="394" t="s">
        <v>89</v>
      </c>
      <c r="UXC5" s="394" t="s">
        <v>89</v>
      </c>
      <c r="UXD5" s="394" t="s">
        <v>89</v>
      </c>
      <c r="UXE5" s="394" t="s">
        <v>89</v>
      </c>
      <c r="UXF5" s="394" t="s">
        <v>89</v>
      </c>
      <c r="UXG5" s="394" t="s">
        <v>89</v>
      </c>
      <c r="UXH5" s="394" t="s">
        <v>89</v>
      </c>
      <c r="UXI5" s="394" t="s">
        <v>89</v>
      </c>
      <c r="UXJ5" s="394" t="s">
        <v>89</v>
      </c>
      <c r="UXK5" s="394" t="s">
        <v>89</v>
      </c>
      <c r="UXL5" s="394" t="s">
        <v>89</v>
      </c>
      <c r="UXM5" s="394" t="s">
        <v>89</v>
      </c>
      <c r="UXN5" s="394" t="s">
        <v>89</v>
      </c>
      <c r="UXO5" s="394" t="s">
        <v>89</v>
      </c>
      <c r="UXP5" s="394" t="s">
        <v>89</v>
      </c>
      <c r="UXQ5" s="394" t="s">
        <v>89</v>
      </c>
      <c r="UXR5" s="394" t="s">
        <v>89</v>
      </c>
      <c r="UXS5" s="394" t="s">
        <v>89</v>
      </c>
      <c r="UXT5" s="394" t="s">
        <v>89</v>
      </c>
      <c r="UXU5" s="394" t="s">
        <v>89</v>
      </c>
      <c r="UXV5" s="394" t="s">
        <v>89</v>
      </c>
      <c r="UXW5" s="394" t="s">
        <v>89</v>
      </c>
      <c r="UXX5" s="394" t="s">
        <v>89</v>
      </c>
      <c r="UXY5" s="394" t="s">
        <v>89</v>
      </c>
      <c r="UXZ5" s="394" t="s">
        <v>89</v>
      </c>
      <c r="UYA5" s="394" t="s">
        <v>89</v>
      </c>
      <c r="UYB5" s="394" t="s">
        <v>89</v>
      </c>
      <c r="UYC5" s="394" t="s">
        <v>89</v>
      </c>
      <c r="UYD5" s="394" t="s">
        <v>89</v>
      </c>
      <c r="UYE5" s="394" t="s">
        <v>89</v>
      </c>
      <c r="UYF5" s="394" t="s">
        <v>89</v>
      </c>
      <c r="UYG5" s="394" t="s">
        <v>89</v>
      </c>
      <c r="UYH5" s="394" t="s">
        <v>89</v>
      </c>
      <c r="UYI5" s="394" t="s">
        <v>89</v>
      </c>
      <c r="UYJ5" s="394" t="s">
        <v>89</v>
      </c>
      <c r="UYK5" s="394" t="s">
        <v>89</v>
      </c>
      <c r="UYL5" s="394" t="s">
        <v>89</v>
      </c>
      <c r="UYM5" s="394" t="s">
        <v>89</v>
      </c>
      <c r="UYN5" s="394" t="s">
        <v>89</v>
      </c>
      <c r="UYO5" s="394" t="s">
        <v>89</v>
      </c>
      <c r="UYP5" s="394" t="s">
        <v>89</v>
      </c>
      <c r="UYQ5" s="394" t="s">
        <v>89</v>
      </c>
      <c r="UYR5" s="394" t="s">
        <v>89</v>
      </c>
      <c r="UYS5" s="394" t="s">
        <v>89</v>
      </c>
      <c r="UYT5" s="394" t="s">
        <v>89</v>
      </c>
      <c r="UYU5" s="394" t="s">
        <v>89</v>
      </c>
      <c r="UYV5" s="394" t="s">
        <v>89</v>
      </c>
      <c r="UYW5" s="394" t="s">
        <v>89</v>
      </c>
      <c r="UYX5" s="394" t="s">
        <v>89</v>
      </c>
      <c r="UYY5" s="394" t="s">
        <v>89</v>
      </c>
      <c r="UYZ5" s="394" t="s">
        <v>89</v>
      </c>
      <c r="UZA5" s="394" t="s">
        <v>89</v>
      </c>
      <c r="UZB5" s="394" t="s">
        <v>89</v>
      </c>
      <c r="UZC5" s="394" t="s">
        <v>89</v>
      </c>
      <c r="UZD5" s="394" t="s">
        <v>89</v>
      </c>
      <c r="UZE5" s="394" t="s">
        <v>89</v>
      </c>
      <c r="UZF5" s="394" t="s">
        <v>89</v>
      </c>
      <c r="UZG5" s="394" t="s">
        <v>89</v>
      </c>
      <c r="UZH5" s="394" t="s">
        <v>89</v>
      </c>
      <c r="UZI5" s="394" t="s">
        <v>89</v>
      </c>
      <c r="UZJ5" s="394" t="s">
        <v>89</v>
      </c>
      <c r="UZK5" s="394" t="s">
        <v>89</v>
      </c>
      <c r="UZL5" s="394" t="s">
        <v>89</v>
      </c>
      <c r="UZM5" s="394" t="s">
        <v>89</v>
      </c>
      <c r="UZN5" s="394" t="s">
        <v>89</v>
      </c>
      <c r="UZO5" s="394" t="s">
        <v>89</v>
      </c>
      <c r="UZP5" s="394" t="s">
        <v>89</v>
      </c>
      <c r="UZQ5" s="394" t="s">
        <v>89</v>
      </c>
      <c r="UZR5" s="394" t="s">
        <v>89</v>
      </c>
      <c r="UZS5" s="394" t="s">
        <v>89</v>
      </c>
      <c r="UZT5" s="394" t="s">
        <v>89</v>
      </c>
      <c r="UZU5" s="394" t="s">
        <v>89</v>
      </c>
      <c r="UZV5" s="394" t="s">
        <v>89</v>
      </c>
      <c r="UZW5" s="394" t="s">
        <v>89</v>
      </c>
      <c r="UZX5" s="394" t="s">
        <v>89</v>
      </c>
      <c r="UZY5" s="394" t="s">
        <v>89</v>
      </c>
      <c r="UZZ5" s="394" t="s">
        <v>89</v>
      </c>
      <c r="VAA5" s="394" t="s">
        <v>89</v>
      </c>
      <c r="VAB5" s="394" t="s">
        <v>89</v>
      </c>
      <c r="VAC5" s="394" t="s">
        <v>89</v>
      </c>
      <c r="VAD5" s="394" t="s">
        <v>89</v>
      </c>
      <c r="VAE5" s="394" t="s">
        <v>89</v>
      </c>
      <c r="VAF5" s="394" t="s">
        <v>89</v>
      </c>
      <c r="VAG5" s="394" t="s">
        <v>89</v>
      </c>
      <c r="VAH5" s="394" t="s">
        <v>89</v>
      </c>
      <c r="VAI5" s="394" t="s">
        <v>89</v>
      </c>
      <c r="VAJ5" s="394" t="s">
        <v>89</v>
      </c>
      <c r="VAK5" s="394" t="s">
        <v>89</v>
      </c>
      <c r="VAL5" s="394" t="s">
        <v>89</v>
      </c>
      <c r="VAM5" s="394" t="s">
        <v>89</v>
      </c>
      <c r="VAN5" s="394" t="s">
        <v>89</v>
      </c>
      <c r="VAO5" s="394" t="s">
        <v>89</v>
      </c>
      <c r="VAP5" s="394" t="s">
        <v>89</v>
      </c>
      <c r="VAQ5" s="394" t="s">
        <v>89</v>
      </c>
      <c r="VAR5" s="394" t="s">
        <v>89</v>
      </c>
      <c r="VAS5" s="394" t="s">
        <v>89</v>
      </c>
      <c r="VAT5" s="394" t="s">
        <v>89</v>
      </c>
      <c r="VAU5" s="394" t="s">
        <v>89</v>
      </c>
      <c r="VAV5" s="394" t="s">
        <v>89</v>
      </c>
      <c r="VAW5" s="394" t="s">
        <v>89</v>
      </c>
      <c r="VAX5" s="394" t="s">
        <v>89</v>
      </c>
      <c r="VAY5" s="394" t="s">
        <v>89</v>
      </c>
      <c r="VAZ5" s="394" t="s">
        <v>89</v>
      </c>
      <c r="VBA5" s="394" t="s">
        <v>89</v>
      </c>
      <c r="VBB5" s="394" t="s">
        <v>89</v>
      </c>
      <c r="VBC5" s="394" t="s">
        <v>89</v>
      </c>
      <c r="VBD5" s="394" t="s">
        <v>89</v>
      </c>
      <c r="VBE5" s="394" t="s">
        <v>89</v>
      </c>
      <c r="VBF5" s="394" t="s">
        <v>89</v>
      </c>
      <c r="VBG5" s="394" t="s">
        <v>89</v>
      </c>
      <c r="VBH5" s="394" t="s">
        <v>89</v>
      </c>
      <c r="VBI5" s="394" t="s">
        <v>89</v>
      </c>
      <c r="VBJ5" s="394" t="s">
        <v>89</v>
      </c>
      <c r="VBK5" s="394" t="s">
        <v>89</v>
      </c>
      <c r="VBL5" s="394" t="s">
        <v>89</v>
      </c>
      <c r="VBM5" s="394" t="s">
        <v>89</v>
      </c>
      <c r="VBN5" s="394" t="s">
        <v>89</v>
      </c>
      <c r="VBO5" s="394" t="s">
        <v>89</v>
      </c>
      <c r="VBP5" s="394" t="s">
        <v>89</v>
      </c>
      <c r="VBQ5" s="394" t="s">
        <v>89</v>
      </c>
      <c r="VBR5" s="394" t="s">
        <v>89</v>
      </c>
      <c r="VBS5" s="394" t="s">
        <v>89</v>
      </c>
      <c r="VBT5" s="394" t="s">
        <v>89</v>
      </c>
      <c r="VBU5" s="394" t="s">
        <v>89</v>
      </c>
      <c r="VBV5" s="394" t="s">
        <v>89</v>
      </c>
      <c r="VBW5" s="394" t="s">
        <v>89</v>
      </c>
      <c r="VBX5" s="394" t="s">
        <v>89</v>
      </c>
      <c r="VBY5" s="394" t="s">
        <v>89</v>
      </c>
      <c r="VBZ5" s="394" t="s">
        <v>89</v>
      </c>
      <c r="VCA5" s="394" t="s">
        <v>89</v>
      </c>
      <c r="VCB5" s="394" t="s">
        <v>89</v>
      </c>
      <c r="VCC5" s="394" t="s">
        <v>89</v>
      </c>
      <c r="VCD5" s="394" t="s">
        <v>89</v>
      </c>
      <c r="VCE5" s="394" t="s">
        <v>89</v>
      </c>
      <c r="VCF5" s="394" t="s">
        <v>89</v>
      </c>
      <c r="VCG5" s="394" t="s">
        <v>89</v>
      </c>
      <c r="VCH5" s="394" t="s">
        <v>89</v>
      </c>
      <c r="VCI5" s="394" t="s">
        <v>89</v>
      </c>
      <c r="VCJ5" s="394" t="s">
        <v>89</v>
      </c>
      <c r="VCK5" s="394" t="s">
        <v>89</v>
      </c>
      <c r="VCL5" s="394" t="s">
        <v>89</v>
      </c>
      <c r="VCM5" s="394" t="s">
        <v>89</v>
      </c>
      <c r="VCN5" s="394" t="s">
        <v>89</v>
      </c>
      <c r="VCO5" s="394" t="s">
        <v>89</v>
      </c>
      <c r="VCP5" s="394" t="s">
        <v>89</v>
      </c>
      <c r="VCQ5" s="394" t="s">
        <v>89</v>
      </c>
      <c r="VCR5" s="394" t="s">
        <v>89</v>
      </c>
      <c r="VCS5" s="394" t="s">
        <v>89</v>
      </c>
      <c r="VCT5" s="394" t="s">
        <v>89</v>
      </c>
      <c r="VCU5" s="394" t="s">
        <v>89</v>
      </c>
      <c r="VCV5" s="394" t="s">
        <v>89</v>
      </c>
      <c r="VCW5" s="394" t="s">
        <v>89</v>
      </c>
      <c r="VCX5" s="394" t="s">
        <v>89</v>
      </c>
      <c r="VCY5" s="394" t="s">
        <v>89</v>
      </c>
      <c r="VCZ5" s="394" t="s">
        <v>89</v>
      </c>
      <c r="VDA5" s="394" t="s">
        <v>89</v>
      </c>
      <c r="VDB5" s="394" t="s">
        <v>89</v>
      </c>
      <c r="VDC5" s="394" t="s">
        <v>89</v>
      </c>
      <c r="VDD5" s="394" t="s">
        <v>89</v>
      </c>
      <c r="VDE5" s="394" t="s">
        <v>89</v>
      </c>
      <c r="VDF5" s="394" t="s">
        <v>89</v>
      </c>
      <c r="VDG5" s="394" t="s">
        <v>89</v>
      </c>
      <c r="VDH5" s="394" t="s">
        <v>89</v>
      </c>
      <c r="VDI5" s="394" t="s">
        <v>89</v>
      </c>
      <c r="VDJ5" s="394" t="s">
        <v>89</v>
      </c>
      <c r="VDK5" s="394" t="s">
        <v>89</v>
      </c>
      <c r="VDL5" s="394" t="s">
        <v>89</v>
      </c>
      <c r="VDM5" s="394" t="s">
        <v>89</v>
      </c>
      <c r="VDN5" s="394" t="s">
        <v>89</v>
      </c>
      <c r="VDO5" s="394" t="s">
        <v>89</v>
      </c>
      <c r="VDP5" s="394" t="s">
        <v>89</v>
      </c>
      <c r="VDQ5" s="394" t="s">
        <v>89</v>
      </c>
      <c r="VDR5" s="394" t="s">
        <v>89</v>
      </c>
      <c r="VDS5" s="394" t="s">
        <v>89</v>
      </c>
      <c r="VDT5" s="394" t="s">
        <v>89</v>
      </c>
      <c r="VDU5" s="394" t="s">
        <v>89</v>
      </c>
      <c r="VDV5" s="394" t="s">
        <v>89</v>
      </c>
      <c r="VDW5" s="394" t="s">
        <v>89</v>
      </c>
      <c r="VDX5" s="394" t="s">
        <v>89</v>
      </c>
      <c r="VDY5" s="394" t="s">
        <v>89</v>
      </c>
      <c r="VDZ5" s="394" t="s">
        <v>89</v>
      </c>
      <c r="VEA5" s="394" t="s">
        <v>89</v>
      </c>
      <c r="VEB5" s="394" t="s">
        <v>89</v>
      </c>
      <c r="VEC5" s="394" t="s">
        <v>89</v>
      </c>
      <c r="VED5" s="394" t="s">
        <v>89</v>
      </c>
      <c r="VEE5" s="394" t="s">
        <v>89</v>
      </c>
      <c r="VEF5" s="394" t="s">
        <v>89</v>
      </c>
      <c r="VEG5" s="394" t="s">
        <v>89</v>
      </c>
      <c r="VEH5" s="394" t="s">
        <v>89</v>
      </c>
      <c r="VEI5" s="394" t="s">
        <v>89</v>
      </c>
      <c r="VEJ5" s="394" t="s">
        <v>89</v>
      </c>
      <c r="VEK5" s="394" t="s">
        <v>89</v>
      </c>
      <c r="VEL5" s="394" t="s">
        <v>89</v>
      </c>
      <c r="VEM5" s="394" t="s">
        <v>89</v>
      </c>
      <c r="VEN5" s="394" t="s">
        <v>89</v>
      </c>
      <c r="VEO5" s="394" t="s">
        <v>89</v>
      </c>
      <c r="VEP5" s="394" t="s">
        <v>89</v>
      </c>
      <c r="VEQ5" s="394" t="s">
        <v>89</v>
      </c>
      <c r="VER5" s="394" t="s">
        <v>89</v>
      </c>
      <c r="VES5" s="394" t="s">
        <v>89</v>
      </c>
      <c r="VET5" s="394" t="s">
        <v>89</v>
      </c>
      <c r="VEU5" s="394" t="s">
        <v>89</v>
      </c>
      <c r="VEV5" s="394" t="s">
        <v>89</v>
      </c>
      <c r="VEW5" s="394" t="s">
        <v>89</v>
      </c>
      <c r="VEX5" s="394" t="s">
        <v>89</v>
      </c>
      <c r="VEY5" s="394" t="s">
        <v>89</v>
      </c>
      <c r="VEZ5" s="394" t="s">
        <v>89</v>
      </c>
      <c r="VFA5" s="394" t="s">
        <v>89</v>
      </c>
      <c r="VFB5" s="394" t="s">
        <v>89</v>
      </c>
      <c r="VFC5" s="394" t="s">
        <v>89</v>
      </c>
      <c r="VFD5" s="394" t="s">
        <v>89</v>
      </c>
      <c r="VFE5" s="394" t="s">
        <v>89</v>
      </c>
      <c r="VFF5" s="394" t="s">
        <v>89</v>
      </c>
      <c r="VFG5" s="394" t="s">
        <v>89</v>
      </c>
      <c r="VFH5" s="394" t="s">
        <v>89</v>
      </c>
      <c r="VFI5" s="394" t="s">
        <v>89</v>
      </c>
      <c r="VFJ5" s="394" t="s">
        <v>89</v>
      </c>
      <c r="VFK5" s="394" t="s">
        <v>89</v>
      </c>
      <c r="VFL5" s="394" t="s">
        <v>89</v>
      </c>
      <c r="VFM5" s="394" t="s">
        <v>89</v>
      </c>
      <c r="VFN5" s="394" t="s">
        <v>89</v>
      </c>
      <c r="VFO5" s="394" t="s">
        <v>89</v>
      </c>
      <c r="VFP5" s="394" t="s">
        <v>89</v>
      </c>
      <c r="VFQ5" s="394" t="s">
        <v>89</v>
      </c>
      <c r="VFR5" s="394" t="s">
        <v>89</v>
      </c>
      <c r="VFS5" s="394" t="s">
        <v>89</v>
      </c>
      <c r="VFT5" s="394" t="s">
        <v>89</v>
      </c>
      <c r="VFU5" s="394" t="s">
        <v>89</v>
      </c>
      <c r="VFV5" s="394" t="s">
        <v>89</v>
      </c>
      <c r="VFW5" s="394" t="s">
        <v>89</v>
      </c>
      <c r="VFX5" s="394" t="s">
        <v>89</v>
      </c>
      <c r="VFY5" s="394" t="s">
        <v>89</v>
      </c>
      <c r="VFZ5" s="394" t="s">
        <v>89</v>
      </c>
      <c r="VGA5" s="394" t="s">
        <v>89</v>
      </c>
      <c r="VGB5" s="394" t="s">
        <v>89</v>
      </c>
      <c r="VGC5" s="394" t="s">
        <v>89</v>
      </c>
      <c r="VGD5" s="394" t="s">
        <v>89</v>
      </c>
      <c r="VGE5" s="394" t="s">
        <v>89</v>
      </c>
      <c r="VGF5" s="394" t="s">
        <v>89</v>
      </c>
      <c r="VGG5" s="394" t="s">
        <v>89</v>
      </c>
      <c r="VGH5" s="394" t="s">
        <v>89</v>
      </c>
      <c r="VGI5" s="394" t="s">
        <v>89</v>
      </c>
      <c r="VGJ5" s="394" t="s">
        <v>89</v>
      </c>
      <c r="VGK5" s="394" t="s">
        <v>89</v>
      </c>
      <c r="VGL5" s="394" t="s">
        <v>89</v>
      </c>
      <c r="VGM5" s="394" t="s">
        <v>89</v>
      </c>
      <c r="VGN5" s="394" t="s">
        <v>89</v>
      </c>
      <c r="VGO5" s="394" t="s">
        <v>89</v>
      </c>
      <c r="VGP5" s="394" t="s">
        <v>89</v>
      </c>
      <c r="VGQ5" s="394" t="s">
        <v>89</v>
      </c>
      <c r="VGR5" s="394" t="s">
        <v>89</v>
      </c>
      <c r="VGS5" s="394" t="s">
        <v>89</v>
      </c>
      <c r="VGT5" s="394" t="s">
        <v>89</v>
      </c>
      <c r="VGU5" s="394" t="s">
        <v>89</v>
      </c>
      <c r="VGV5" s="394" t="s">
        <v>89</v>
      </c>
      <c r="VGW5" s="394" t="s">
        <v>89</v>
      </c>
      <c r="VGX5" s="394" t="s">
        <v>89</v>
      </c>
      <c r="VGY5" s="394" t="s">
        <v>89</v>
      </c>
      <c r="VGZ5" s="394" t="s">
        <v>89</v>
      </c>
      <c r="VHA5" s="394" t="s">
        <v>89</v>
      </c>
      <c r="VHB5" s="394" t="s">
        <v>89</v>
      </c>
      <c r="VHC5" s="394" t="s">
        <v>89</v>
      </c>
      <c r="VHD5" s="394" t="s">
        <v>89</v>
      </c>
      <c r="VHE5" s="394" t="s">
        <v>89</v>
      </c>
      <c r="VHF5" s="394" t="s">
        <v>89</v>
      </c>
      <c r="VHG5" s="394" t="s">
        <v>89</v>
      </c>
      <c r="VHH5" s="394" t="s">
        <v>89</v>
      </c>
      <c r="VHI5" s="394" t="s">
        <v>89</v>
      </c>
      <c r="VHJ5" s="394" t="s">
        <v>89</v>
      </c>
      <c r="VHK5" s="394" t="s">
        <v>89</v>
      </c>
      <c r="VHL5" s="394" t="s">
        <v>89</v>
      </c>
      <c r="VHM5" s="394" t="s">
        <v>89</v>
      </c>
      <c r="VHN5" s="394" t="s">
        <v>89</v>
      </c>
      <c r="VHO5" s="394" t="s">
        <v>89</v>
      </c>
      <c r="VHP5" s="394" t="s">
        <v>89</v>
      </c>
      <c r="VHQ5" s="394" t="s">
        <v>89</v>
      </c>
      <c r="VHR5" s="394" t="s">
        <v>89</v>
      </c>
      <c r="VHS5" s="394" t="s">
        <v>89</v>
      </c>
      <c r="VHT5" s="394" t="s">
        <v>89</v>
      </c>
      <c r="VHU5" s="394" t="s">
        <v>89</v>
      </c>
      <c r="VHV5" s="394" t="s">
        <v>89</v>
      </c>
      <c r="VHW5" s="394" t="s">
        <v>89</v>
      </c>
      <c r="VHX5" s="394" t="s">
        <v>89</v>
      </c>
      <c r="VHY5" s="394" t="s">
        <v>89</v>
      </c>
      <c r="VHZ5" s="394" t="s">
        <v>89</v>
      </c>
      <c r="VIA5" s="394" t="s">
        <v>89</v>
      </c>
      <c r="VIB5" s="394" t="s">
        <v>89</v>
      </c>
      <c r="VIC5" s="394" t="s">
        <v>89</v>
      </c>
      <c r="VID5" s="394" t="s">
        <v>89</v>
      </c>
      <c r="VIE5" s="394" t="s">
        <v>89</v>
      </c>
      <c r="VIF5" s="394" t="s">
        <v>89</v>
      </c>
      <c r="VIG5" s="394" t="s">
        <v>89</v>
      </c>
      <c r="VIH5" s="394" t="s">
        <v>89</v>
      </c>
      <c r="VII5" s="394" t="s">
        <v>89</v>
      </c>
      <c r="VIJ5" s="394" t="s">
        <v>89</v>
      </c>
      <c r="VIK5" s="394" t="s">
        <v>89</v>
      </c>
      <c r="VIL5" s="394" t="s">
        <v>89</v>
      </c>
      <c r="VIM5" s="394" t="s">
        <v>89</v>
      </c>
      <c r="VIN5" s="394" t="s">
        <v>89</v>
      </c>
      <c r="VIO5" s="394" t="s">
        <v>89</v>
      </c>
      <c r="VIP5" s="394" t="s">
        <v>89</v>
      </c>
      <c r="VIQ5" s="394" t="s">
        <v>89</v>
      </c>
      <c r="VIR5" s="394" t="s">
        <v>89</v>
      </c>
      <c r="VIS5" s="394" t="s">
        <v>89</v>
      </c>
      <c r="VIT5" s="394" t="s">
        <v>89</v>
      </c>
      <c r="VIU5" s="394" t="s">
        <v>89</v>
      </c>
      <c r="VIV5" s="394" t="s">
        <v>89</v>
      </c>
      <c r="VIW5" s="394" t="s">
        <v>89</v>
      </c>
      <c r="VIX5" s="394" t="s">
        <v>89</v>
      </c>
      <c r="VIY5" s="394" t="s">
        <v>89</v>
      </c>
      <c r="VIZ5" s="394" t="s">
        <v>89</v>
      </c>
      <c r="VJA5" s="394" t="s">
        <v>89</v>
      </c>
      <c r="VJB5" s="394" t="s">
        <v>89</v>
      </c>
      <c r="VJC5" s="394" t="s">
        <v>89</v>
      </c>
      <c r="VJD5" s="394" t="s">
        <v>89</v>
      </c>
      <c r="VJE5" s="394" t="s">
        <v>89</v>
      </c>
      <c r="VJF5" s="394" t="s">
        <v>89</v>
      </c>
      <c r="VJG5" s="394" t="s">
        <v>89</v>
      </c>
      <c r="VJH5" s="394" t="s">
        <v>89</v>
      </c>
      <c r="VJI5" s="394" t="s">
        <v>89</v>
      </c>
      <c r="VJJ5" s="394" t="s">
        <v>89</v>
      </c>
      <c r="VJK5" s="394" t="s">
        <v>89</v>
      </c>
      <c r="VJL5" s="394" t="s">
        <v>89</v>
      </c>
      <c r="VJM5" s="394" t="s">
        <v>89</v>
      </c>
      <c r="VJN5" s="394" t="s">
        <v>89</v>
      </c>
      <c r="VJO5" s="394" t="s">
        <v>89</v>
      </c>
      <c r="VJP5" s="394" t="s">
        <v>89</v>
      </c>
      <c r="VJQ5" s="394" t="s">
        <v>89</v>
      </c>
      <c r="VJR5" s="394" t="s">
        <v>89</v>
      </c>
      <c r="VJS5" s="394" t="s">
        <v>89</v>
      </c>
      <c r="VJT5" s="394" t="s">
        <v>89</v>
      </c>
      <c r="VJU5" s="394" t="s">
        <v>89</v>
      </c>
      <c r="VJV5" s="394" t="s">
        <v>89</v>
      </c>
      <c r="VJW5" s="394" t="s">
        <v>89</v>
      </c>
      <c r="VJX5" s="394" t="s">
        <v>89</v>
      </c>
      <c r="VJY5" s="394" t="s">
        <v>89</v>
      </c>
      <c r="VJZ5" s="394" t="s">
        <v>89</v>
      </c>
      <c r="VKA5" s="394" t="s">
        <v>89</v>
      </c>
      <c r="VKB5" s="394" t="s">
        <v>89</v>
      </c>
      <c r="VKC5" s="394" t="s">
        <v>89</v>
      </c>
      <c r="VKD5" s="394" t="s">
        <v>89</v>
      </c>
      <c r="VKE5" s="394" t="s">
        <v>89</v>
      </c>
      <c r="VKF5" s="394" t="s">
        <v>89</v>
      </c>
      <c r="VKG5" s="394" t="s">
        <v>89</v>
      </c>
      <c r="VKH5" s="394" t="s">
        <v>89</v>
      </c>
      <c r="VKI5" s="394" t="s">
        <v>89</v>
      </c>
      <c r="VKJ5" s="394" t="s">
        <v>89</v>
      </c>
      <c r="VKK5" s="394" t="s">
        <v>89</v>
      </c>
      <c r="VKL5" s="394" t="s">
        <v>89</v>
      </c>
      <c r="VKM5" s="394" t="s">
        <v>89</v>
      </c>
      <c r="VKN5" s="394" t="s">
        <v>89</v>
      </c>
      <c r="VKO5" s="394" t="s">
        <v>89</v>
      </c>
      <c r="VKP5" s="394" t="s">
        <v>89</v>
      </c>
      <c r="VKQ5" s="394" t="s">
        <v>89</v>
      </c>
      <c r="VKR5" s="394" t="s">
        <v>89</v>
      </c>
      <c r="VKS5" s="394" t="s">
        <v>89</v>
      </c>
      <c r="VKT5" s="394" t="s">
        <v>89</v>
      </c>
      <c r="VKU5" s="394" t="s">
        <v>89</v>
      </c>
      <c r="VKV5" s="394" t="s">
        <v>89</v>
      </c>
      <c r="VKW5" s="394" t="s">
        <v>89</v>
      </c>
      <c r="VKX5" s="394" t="s">
        <v>89</v>
      </c>
      <c r="VKY5" s="394" t="s">
        <v>89</v>
      </c>
      <c r="VKZ5" s="394" t="s">
        <v>89</v>
      </c>
      <c r="VLA5" s="394" t="s">
        <v>89</v>
      </c>
      <c r="VLB5" s="394" t="s">
        <v>89</v>
      </c>
      <c r="VLC5" s="394" t="s">
        <v>89</v>
      </c>
      <c r="VLD5" s="394" t="s">
        <v>89</v>
      </c>
      <c r="VLE5" s="394" t="s">
        <v>89</v>
      </c>
      <c r="VLF5" s="394" t="s">
        <v>89</v>
      </c>
      <c r="VLG5" s="394" t="s">
        <v>89</v>
      </c>
      <c r="VLH5" s="394" t="s">
        <v>89</v>
      </c>
      <c r="VLI5" s="394" t="s">
        <v>89</v>
      </c>
      <c r="VLJ5" s="394" t="s">
        <v>89</v>
      </c>
      <c r="VLK5" s="394" t="s">
        <v>89</v>
      </c>
      <c r="VLL5" s="394" t="s">
        <v>89</v>
      </c>
      <c r="VLM5" s="394" t="s">
        <v>89</v>
      </c>
      <c r="VLN5" s="394" t="s">
        <v>89</v>
      </c>
      <c r="VLO5" s="394" t="s">
        <v>89</v>
      </c>
      <c r="VLP5" s="394" t="s">
        <v>89</v>
      </c>
      <c r="VLQ5" s="394" t="s">
        <v>89</v>
      </c>
      <c r="VLR5" s="394" t="s">
        <v>89</v>
      </c>
      <c r="VLS5" s="394" t="s">
        <v>89</v>
      </c>
      <c r="VLT5" s="394" t="s">
        <v>89</v>
      </c>
      <c r="VLU5" s="394" t="s">
        <v>89</v>
      </c>
      <c r="VLV5" s="394" t="s">
        <v>89</v>
      </c>
      <c r="VLW5" s="394" t="s">
        <v>89</v>
      </c>
      <c r="VLX5" s="394" t="s">
        <v>89</v>
      </c>
      <c r="VLY5" s="394" t="s">
        <v>89</v>
      </c>
      <c r="VLZ5" s="394" t="s">
        <v>89</v>
      </c>
      <c r="VMA5" s="394" t="s">
        <v>89</v>
      </c>
      <c r="VMB5" s="394" t="s">
        <v>89</v>
      </c>
      <c r="VMC5" s="394" t="s">
        <v>89</v>
      </c>
      <c r="VMD5" s="394" t="s">
        <v>89</v>
      </c>
      <c r="VME5" s="394" t="s">
        <v>89</v>
      </c>
      <c r="VMF5" s="394" t="s">
        <v>89</v>
      </c>
      <c r="VMG5" s="394" t="s">
        <v>89</v>
      </c>
      <c r="VMH5" s="394" t="s">
        <v>89</v>
      </c>
      <c r="VMI5" s="394" t="s">
        <v>89</v>
      </c>
      <c r="VMJ5" s="394" t="s">
        <v>89</v>
      </c>
      <c r="VMK5" s="394" t="s">
        <v>89</v>
      </c>
      <c r="VML5" s="394" t="s">
        <v>89</v>
      </c>
      <c r="VMM5" s="394" t="s">
        <v>89</v>
      </c>
      <c r="VMN5" s="394" t="s">
        <v>89</v>
      </c>
      <c r="VMO5" s="394" t="s">
        <v>89</v>
      </c>
      <c r="VMP5" s="394" t="s">
        <v>89</v>
      </c>
      <c r="VMQ5" s="394" t="s">
        <v>89</v>
      </c>
      <c r="VMR5" s="394" t="s">
        <v>89</v>
      </c>
      <c r="VMS5" s="394" t="s">
        <v>89</v>
      </c>
      <c r="VMT5" s="394" t="s">
        <v>89</v>
      </c>
      <c r="VMU5" s="394" t="s">
        <v>89</v>
      </c>
      <c r="VMV5" s="394" t="s">
        <v>89</v>
      </c>
      <c r="VMW5" s="394" t="s">
        <v>89</v>
      </c>
      <c r="VMX5" s="394" t="s">
        <v>89</v>
      </c>
      <c r="VMY5" s="394" t="s">
        <v>89</v>
      </c>
      <c r="VMZ5" s="394" t="s">
        <v>89</v>
      </c>
      <c r="VNA5" s="394" t="s">
        <v>89</v>
      </c>
      <c r="VNB5" s="394" t="s">
        <v>89</v>
      </c>
      <c r="VNC5" s="394" t="s">
        <v>89</v>
      </c>
      <c r="VND5" s="394" t="s">
        <v>89</v>
      </c>
      <c r="VNE5" s="394" t="s">
        <v>89</v>
      </c>
      <c r="VNF5" s="394" t="s">
        <v>89</v>
      </c>
      <c r="VNG5" s="394" t="s">
        <v>89</v>
      </c>
      <c r="VNH5" s="394" t="s">
        <v>89</v>
      </c>
      <c r="VNI5" s="394" t="s">
        <v>89</v>
      </c>
      <c r="VNJ5" s="394" t="s">
        <v>89</v>
      </c>
      <c r="VNK5" s="394" t="s">
        <v>89</v>
      </c>
      <c r="VNL5" s="394" t="s">
        <v>89</v>
      </c>
      <c r="VNM5" s="394" t="s">
        <v>89</v>
      </c>
      <c r="VNN5" s="394" t="s">
        <v>89</v>
      </c>
      <c r="VNO5" s="394" t="s">
        <v>89</v>
      </c>
      <c r="VNP5" s="394" t="s">
        <v>89</v>
      </c>
      <c r="VNQ5" s="394" t="s">
        <v>89</v>
      </c>
      <c r="VNR5" s="394" t="s">
        <v>89</v>
      </c>
      <c r="VNS5" s="394" t="s">
        <v>89</v>
      </c>
      <c r="VNT5" s="394" t="s">
        <v>89</v>
      </c>
      <c r="VNU5" s="394" t="s">
        <v>89</v>
      </c>
      <c r="VNV5" s="394" t="s">
        <v>89</v>
      </c>
      <c r="VNW5" s="394" t="s">
        <v>89</v>
      </c>
      <c r="VNX5" s="394" t="s">
        <v>89</v>
      </c>
      <c r="VNY5" s="394" t="s">
        <v>89</v>
      </c>
      <c r="VNZ5" s="394" t="s">
        <v>89</v>
      </c>
      <c r="VOA5" s="394" t="s">
        <v>89</v>
      </c>
      <c r="VOB5" s="394" t="s">
        <v>89</v>
      </c>
      <c r="VOC5" s="394" t="s">
        <v>89</v>
      </c>
      <c r="VOD5" s="394" t="s">
        <v>89</v>
      </c>
      <c r="VOE5" s="394" t="s">
        <v>89</v>
      </c>
      <c r="VOF5" s="394" t="s">
        <v>89</v>
      </c>
      <c r="VOG5" s="394" t="s">
        <v>89</v>
      </c>
      <c r="VOH5" s="394" t="s">
        <v>89</v>
      </c>
      <c r="VOI5" s="394" t="s">
        <v>89</v>
      </c>
      <c r="VOJ5" s="394" t="s">
        <v>89</v>
      </c>
      <c r="VOK5" s="394" t="s">
        <v>89</v>
      </c>
      <c r="VOL5" s="394" t="s">
        <v>89</v>
      </c>
      <c r="VOM5" s="394" t="s">
        <v>89</v>
      </c>
      <c r="VON5" s="394" t="s">
        <v>89</v>
      </c>
      <c r="VOO5" s="394" t="s">
        <v>89</v>
      </c>
      <c r="VOP5" s="394" t="s">
        <v>89</v>
      </c>
      <c r="VOQ5" s="394" t="s">
        <v>89</v>
      </c>
      <c r="VOR5" s="394" t="s">
        <v>89</v>
      </c>
      <c r="VOS5" s="394" t="s">
        <v>89</v>
      </c>
      <c r="VOT5" s="394" t="s">
        <v>89</v>
      </c>
      <c r="VOU5" s="394" t="s">
        <v>89</v>
      </c>
      <c r="VOV5" s="394" t="s">
        <v>89</v>
      </c>
      <c r="VOW5" s="394" t="s">
        <v>89</v>
      </c>
      <c r="VOX5" s="394" t="s">
        <v>89</v>
      </c>
      <c r="VOY5" s="394" t="s">
        <v>89</v>
      </c>
      <c r="VOZ5" s="394" t="s">
        <v>89</v>
      </c>
      <c r="VPA5" s="394" t="s">
        <v>89</v>
      </c>
      <c r="VPB5" s="394" t="s">
        <v>89</v>
      </c>
      <c r="VPC5" s="394" t="s">
        <v>89</v>
      </c>
      <c r="VPD5" s="394" t="s">
        <v>89</v>
      </c>
      <c r="VPE5" s="394" t="s">
        <v>89</v>
      </c>
      <c r="VPF5" s="394" t="s">
        <v>89</v>
      </c>
      <c r="VPG5" s="394" t="s">
        <v>89</v>
      </c>
      <c r="VPH5" s="394" t="s">
        <v>89</v>
      </c>
      <c r="VPI5" s="394" t="s">
        <v>89</v>
      </c>
      <c r="VPJ5" s="394" t="s">
        <v>89</v>
      </c>
      <c r="VPK5" s="394" t="s">
        <v>89</v>
      </c>
      <c r="VPL5" s="394" t="s">
        <v>89</v>
      </c>
      <c r="VPM5" s="394" t="s">
        <v>89</v>
      </c>
      <c r="VPN5" s="394" t="s">
        <v>89</v>
      </c>
      <c r="VPO5" s="394" t="s">
        <v>89</v>
      </c>
      <c r="VPP5" s="394" t="s">
        <v>89</v>
      </c>
      <c r="VPQ5" s="394" t="s">
        <v>89</v>
      </c>
      <c r="VPR5" s="394" t="s">
        <v>89</v>
      </c>
      <c r="VPS5" s="394" t="s">
        <v>89</v>
      </c>
      <c r="VPT5" s="394" t="s">
        <v>89</v>
      </c>
      <c r="VPU5" s="394" t="s">
        <v>89</v>
      </c>
      <c r="VPV5" s="394" t="s">
        <v>89</v>
      </c>
      <c r="VPW5" s="394" t="s">
        <v>89</v>
      </c>
      <c r="VPX5" s="394" t="s">
        <v>89</v>
      </c>
      <c r="VPY5" s="394" t="s">
        <v>89</v>
      </c>
      <c r="VPZ5" s="394" t="s">
        <v>89</v>
      </c>
      <c r="VQA5" s="394" t="s">
        <v>89</v>
      </c>
      <c r="VQB5" s="394" t="s">
        <v>89</v>
      </c>
      <c r="VQC5" s="394" t="s">
        <v>89</v>
      </c>
      <c r="VQD5" s="394" t="s">
        <v>89</v>
      </c>
      <c r="VQE5" s="394" t="s">
        <v>89</v>
      </c>
      <c r="VQF5" s="394" t="s">
        <v>89</v>
      </c>
      <c r="VQG5" s="394" t="s">
        <v>89</v>
      </c>
      <c r="VQH5" s="394" t="s">
        <v>89</v>
      </c>
      <c r="VQI5" s="394" t="s">
        <v>89</v>
      </c>
      <c r="VQJ5" s="394" t="s">
        <v>89</v>
      </c>
      <c r="VQK5" s="394" t="s">
        <v>89</v>
      </c>
      <c r="VQL5" s="394" t="s">
        <v>89</v>
      </c>
      <c r="VQM5" s="394" t="s">
        <v>89</v>
      </c>
      <c r="VQN5" s="394" t="s">
        <v>89</v>
      </c>
      <c r="VQO5" s="394" t="s">
        <v>89</v>
      </c>
      <c r="VQP5" s="394" t="s">
        <v>89</v>
      </c>
      <c r="VQQ5" s="394" t="s">
        <v>89</v>
      </c>
      <c r="VQR5" s="394" t="s">
        <v>89</v>
      </c>
      <c r="VQS5" s="394" t="s">
        <v>89</v>
      </c>
      <c r="VQT5" s="394" t="s">
        <v>89</v>
      </c>
      <c r="VQU5" s="394" t="s">
        <v>89</v>
      </c>
      <c r="VQV5" s="394" t="s">
        <v>89</v>
      </c>
      <c r="VQW5" s="394" t="s">
        <v>89</v>
      </c>
      <c r="VQX5" s="394" t="s">
        <v>89</v>
      </c>
      <c r="VQY5" s="394" t="s">
        <v>89</v>
      </c>
      <c r="VQZ5" s="394" t="s">
        <v>89</v>
      </c>
      <c r="VRA5" s="394" t="s">
        <v>89</v>
      </c>
      <c r="VRB5" s="394" t="s">
        <v>89</v>
      </c>
      <c r="VRC5" s="394" t="s">
        <v>89</v>
      </c>
      <c r="VRD5" s="394" t="s">
        <v>89</v>
      </c>
      <c r="VRE5" s="394" t="s">
        <v>89</v>
      </c>
      <c r="VRF5" s="394" t="s">
        <v>89</v>
      </c>
      <c r="VRG5" s="394" t="s">
        <v>89</v>
      </c>
      <c r="VRH5" s="394" t="s">
        <v>89</v>
      </c>
      <c r="VRI5" s="394" t="s">
        <v>89</v>
      </c>
      <c r="VRJ5" s="394" t="s">
        <v>89</v>
      </c>
      <c r="VRK5" s="394" t="s">
        <v>89</v>
      </c>
      <c r="VRL5" s="394" t="s">
        <v>89</v>
      </c>
      <c r="VRM5" s="394" t="s">
        <v>89</v>
      </c>
      <c r="VRN5" s="394" t="s">
        <v>89</v>
      </c>
      <c r="VRO5" s="394" t="s">
        <v>89</v>
      </c>
      <c r="VRP5" s="394" t="s">
        <v>89</v>
      </c>
      <c r="VRQ5" s="394" t="s">
        <v>89</v>
      </c>
      <c r="VRR5" s="394" t="s">
        <v>89</v>
      </c>
      <c r="VRS5" s="394" t="s">
        <v>89</v>
      </c>
      <c r="VRT5" s="394" t="s">
        <v>89</v>
      </c>
      <c r="VRU5" s="394" t="s">
        <v>89</v>
      </c>
      <c r="VRV5" s="394" t="s">
        <v>89</v>
      </c>
      <c r="VRW5" s="394" t="s">
        <v>89</v>
      </c>
      <c r="VRX5" s="394" t="s">
        <v>89</v>
      </c>
      <c r="VRY5" s="394" t="s">
        <v>89</v>
      </c>
      <c r="VRZ5" s="394" t="s">
        <v>89</v>
      </c>
      <c r="VSA5" s="394" t="s">
        <v>89</v>
      </c>
      <c r="VSB5" s="394" t="s">
        <v>89</v>
      </c>
      <c r="VSC5" s="394" t="s">
        <v>89</v>
      </c>
      <c r="VSD5" s="394" t="s">
        <v>89</v>
      </c>
      <c r="VSE5" s="394" t="s">
        <v>89</v>
      </c>
      <c r="VSF5" s="394" t="s">
        <v>89</v>
      </c>
      <c r="VSG5" s="394" t="s">
        <v>89</v>
      </c>
      <c r="VSH5" s="394" t="s">
        <v>89</v>
      </c>
      <c r="VSI5" s="394" t="s">
        <v>89</v>
      </c>
      <c r="VSJ5" s="394" t="s">
        <v>89</v>
      </c>
      <c r="VSK5" s="394" t="s">
        <v>89</v>
      </c>
      <c r="VSL5" s="394" t="s">
        <v>89</v>
      </c>
      <c r="VSM5" s="394" t="s">
        <v>89</v>
      </c>
      <c r="VSN5" s="394" t="s">
        <v>89</v>
      </c>
      <c r="VSO5" s="394" t="s">
        <v>89</v>
      </c>
      <c r="VSP5" s="394" t="s">
        <v>89</v>
      </c>
      <c r="VSQ5" s="394" t="s">
        <v>89</v>
      </c>
      <c r="VSR5" s="394" t="s">
        <v>89</v>
      </c>
      <c r="VSS5" s="394" t="s">
        <v>89</v>
      </c>
      <c r="VST5" s="394" t="s">
        <v>89</v>
      </c>
      <c r="VSU5" s="394" t="s">
        <v>89</v>
      </c>
      <c r="VSV5" s="394" t="s">
        <v>89</v>
      </c>
      <c r="VSW5" s="394" t="s">
        <v>89</v>
      </c>
      <c r="VSX5" s="394" t="s">
        <v>89</v>
      </c>
      <c r="VSY5" s="394" t="s">
        <v>89</v>
      </c>
      <c r="VSZ5" s="394" t="s">
        <v>89</v>
      </c>
      <c r="VTA5" s="394" t="s">
        <v>89</v>
      </c>
      <c r="VTB5" s="394" t="s">
        <v>89</v>
      </c>
      <c r="VTC5" s="394" t="s">
        <v>89</v>
      </c>
      <c r="VTD5" s="394" t="s">
        <v>89</v>
      </c>
      <c r="VTE5" s="394" t="s">
        <v>89</v>
      </c>
      <c r="VTF5" s="394" t="s">
        <v>89</v>
      </c>
      <c r="VTG5" s="394" t="s">
        <v>89</v>
      </c>
      <c r="VTH5" s="394" t="s">
        <v>89</v>
      </c>
      <c r="VTI5" s="394" t="s">
        <v>89</v>
      </c>
      <c r="VTJ5" s="394" t="s">
        <v>89</v>
      </c>
      <c r="VTK5" s="394" t="s">
        <v>89</v>
      </c>
      <c r="VTL5" s="394" t="s">
        <v>89</v>
      </c>
      <c r="VTM5" s="394" t="s">
        <v>89</v>
      </c>
      <c r="VTN5" s="394" t="s">
        <v>89</v>
      </c>
      <c r="VTO5" s="394" t="s">
        <v>89</v>
      </c>
      <c r="VTP5" s="394" t="s">
        <v>89</v>
      </c>
      <c r="VTQ5" s="394" t="s">
        <v>89</v>
      </c>
      <c r="VTR5" s="394" t="s">
        <v>89</v>
      </c>
      <c r="VTS5" s="394" t="s">
        <v>89</v>
      </c>
      <c r="VTT5" s="394" t="s">
        <v>89</v>
      </c>
      <c r="VTU5" s="394" t="s">
        <v>89</v>
      </c>
      <c r="VTV5" s="394" t="s">
        <v>89</v>
      </c>
      <c r="VTW5" s="394" t="s">
        <v>89</v>
      </c>
      <c r="VTX5" s="394" t="s">
        <v>89</v>
      </c>
      <c r="VTY5" s="394" t="s">
        <v>89</v>
      </c>
      <c r="VTZ5" s="394" t="s">
        <v>89</v>
      </c>
      <c r="VUA5" s="394" t="s">
        <v>89</v>
      </c>
      <c r="VUB5" s="394" t="s">
        <v>89</v>
      </c>
      <c r="VUC5" s="394" t="s">
        <v>89</v>
      </c>
      <c r="VUD5" s="394" t="s">
        <v>89</v>
      </c>
      <c r="VUE5" s="394" t="s">
        <v>89</v>
      </c>
      <c r="VUF5" s="394" t="s">
        <v>89</v>
      </c>
      <c r="VUG5" s="394" t="s">
        <v>89</v>
      </c>
      <c r="VUH5" s="394" t="s">
        <v>89</v>
      </c>
      <c r="VUI5" s="394" t="s">
        <v>89</v>
      </c>
      <c r="VUJ5" s="394" t="s">
        <v>89</v>
      </c>
      <c r="VUK5" s="394" t="s">
        <v>89</v>
      </c>
      <c r="VUL5" s="394" t="s">
        <v>89</v>
      </c>
      <c r="VUM5" s="394" t="s">
        <v>89</v>
      </c>
      <c r="VUN5" s="394" t="s">
        <v>89</v>
      </c>
      <c r="VUO5" s="394" t="s">
        <v>89</v>
      </c>
      <c r="VUP5" s="394" t="s">
        <v>89</v>
      </c>
      <c r="VUQ5" s="394" t="s">
        <v>89</v>
      </c>
      <c r="VUR5" s="394" t="s">
        <v>89</v>
      </c>
      <c r="VUS5" s="394" t="s">
        <v>89</v>
      </c>
      <c r="VUT5" s="394" t="s">
        <v>89</v>
      </c>
      <c r="VUU5" s="394" t="s">
        <v>89</v>
      </c>
      <c r="VUV5" s="394" t="s">
        <v>89</v>
      </c>
      <c r="VUW5" s="394" t="s">
        <v>89</v>
      </c>
      <c r="VUX5" s="394" t="s">
        <v>89</v>
      </c>
      <c r="VUY5" s="394" t="s">
        <v>89</v>
      </c>
      <c r="VUZ5" s="394" t="s">
        <v>89</v>
      </c>
      <c r="VVA5" s="394" t="s">
        <v>89</v>
      </c>
      <c r="VVB5" s="394" t="s">
        <v>89</v>
      </c>
      <c r="VVC5" s="394" t="s">
        <v>89</v>
      </c>
      <c r="VVD5" s="394" t="s">
        <v>89</v>
      </c>
      <c r="VVE5" s="394" t="s">
        <v>89</v>
      </c>
      <c r="VVF5" s="394" t="s">
        <v>89</v>
      </c>
      <c r="VVG5" s="394" t="s">
        <v>89</v>
      </c>
      <c r="VVH5" s="394" t="s">
        <v>89</v>
      </c>
      <c r="VVI5" s="394" t="s">
        <v>89</v>
      </c>
      <c r="VVJ5" s="394" t="s">
        <v>89</v>
      </c>
      <c r="VVK5" s="394" t="s">
        <v>89</v>
      </c>
      <c r="VVL5" s="394" t="s">
        <v>89</v>
      </c>
      <c r="VVM5" s="394" t="s">
        <v>89</v>
      </c>
      <c r="VVN5" s="394" t="s">
        <v>89</v>
      </c>
      <c r="VVO5" s="394" t="s">
        <v>89</v>
      </c>
      <c r="VVP5" s="394" t="s">
        <v>89</v>
      </c>
      <c r="VVQ5" s="394" t="s">
        <v>89</v>
      </c>
      <c r="VVR5" s="394" t="s">
        <v>89</v>
      </c>
      <c r="VVS5" s="394" t="s">
        <v>89</v>
      </c>
      <c r="VVT5" s="394" t="s">
        <v>89</v>
      </c>
      <c r="VVU5" s="394" t="s">
        <v>89</v>
      </c>
      <c r="VVV5" s="394" t="s">
        <v>89</v>
      </c>
      <c r="VVW5" s="394" t="s">
        <v>89</v>
      </c>
      <c r="VVX5" s="394" t="s">
        <v>89</v>
      </c>
      <c r="VVY5" s="394" t="s">
        <v>89</v>
      </c>
      <c r="VVZ5" s="394" t="s">
        <v>89</v>
      </c>
      <c r="VWA5" s="394" t="s">
        <v>89</v>
      </c>
      <c r="VWB5" s="394" t="s">
        <v>89</v>
      </c>
      <c r="VWC5" s="394" t="s">
        <v>89</v>
      </c>
      <c r="VWD5" s="394" t="s">
        <v>89</v>
      </c>
      <c r="VWE5" s="394" t="s">
        <v>89</v>
      </c>
      <c r="VWF5" s="394" t="s">
        <v>89</v>
      </c>
      <c r="VWG5" s="394" t="s">
        <v>89</v>
      </c>
      <c r="VWH5" s="394" t="s">
        <v>89</v>
      </c>
      <c r="VWI5" s="394" t="s">
        <v>89</v>
      </c>
      <c r="VWJ5" s="394" t="s">
        <v>89</v>
      </c>
      <c r="VWK5" s="394" t="s">
        <v>89</v>
      </c>
      <c r="VWL5" s="394" t="s">
        <v>89</v>
      </c>
      <c r="VWM5" s="394" t="s">
        <v>89</v>
      </c>
      <c r="VWN5" s="394" t="s">
        <v>89</v>
      </c>
      <c r="VWO5" s="394" t="s">
        <v>89</v>
      </c>
      <c r="VWP5" s="394" t="s">
        <v>89</v>
      </c>
      <c r="VWQ5" s="394" t="s">
        <v>89</v>
      </c>
      <c r="VWR5" s="394" t="s">
        <v>89</v>
      </c>
      <c r="VWS5" s="394" t="s">
        <v>89</v>
      </c>
      <c r="VWT5" s="394" t="s">
        <v>89</v>
      </c>
      <c r="VWU5" s="394" t="s">
        <v>89</v>
      </c>
      <c r="VWV5" s="394" t="s">
        <v>89</v>
      </c>
      <c r="VWW5" s="394" t="s">
        <v>89</v>
      </c>
      <c r="VWX5" s="394" t="s">
        <v>89</v>
      </c>
      <c r="VWY5" s="394" t="s">
        <v>89</v>
      </c>
      <c r="VWZ5" s="394" t="s">
        <v>89</v>
      </c>
      <c r="VXA5" s="394" t="s">
        <v>89</v>
      </c>
      <c r="VXB5" s="394" t="s">
        <v>89</v>
      </c>
      <c r="VXC5" s="394" t="s">
        <v>89</v>
      </c>
      <c r="VXD5" s="394" t="s">
        <v>89</v>
      </c>
      <c r="VXE5" s="394" t="s">
        <v>89</v>
      </c>
      <c r="VXF5" s="394" t="s">
        <v>89</v>
      </c>
      <c r="VXG5" s="394" t="s">
        <v>89</v>
      </c>
      <c r="VXH5" s="394" t="s">
        <v>89</v>
      </c>
      <c r="VXI5" s="394" t="s">
        <v>89</v>
      </c>
      <c r="VXJ5" s="394" t="s">
        <v>89</v>
      </c>
      <c r="VXK5" s="394" t="s">
        <v>89</v>
      </c>
      <c r="VXL5" s="394" t="s">
        <v>89</v>
      </c>
      <c r="VXM5" s="394" t="s">
        <v>89</v>
      </c>
      <c r="VXN5" s="394" t="s">
        <v>89</v>
      </c>
      <c r="VXO5" s="394" t="s">
        <v>89</v>
      </c>
      <c r="VXP5" s="394" t="s">
        <v>89</v>
      </c>
      <c r="VXQ5" s="394" t="s">
        <v>89</v>
      </c>
      <c r="VXR5" s="394" t="s">
        <v>89</v>
      </c>
      <c r="VXS5" s="394" t="s">
        <v>89</v>
      </c>
      <c r="VXT5" s="394" t="s">
        <v>89</v>
      </c>
      <c r="VXU5" s="394" t="s">
        <v>89</v>
      </c>
      <c r="VXV5" s="394" t="s">
        <v>89</v>
      </c>
      <c r="VXW5" s="394" t="s">
        <v>89</v>
      </c>
      <c r="VXX5" s="394" t="s">
        <v>89</v>
      </c>
      <c r="VXY5" s="394" t="s">
        <v>89</v>
      </c>
      <c r="VXZ5" s="394" t="s">
        <v>89</v>
      </c>
      <c r="VYA5" s="394" t="s">
        <v>89</v>
      </c>
      <c r="VYB5" s="394" t="s">
        <v>89</v>
      </c>
      <c r="VYC5" s="394" t="s">
        <v>89</v>
      </c>
      <c r="VYD5" s="394" t="s">
        <v>89</v>
      </c>
      <c r="VYE5" s="394" t="s">
        <v>89</v>
      </c>
      <c r="VYF5" s="394" t="s">
        <v>89</v>
      </c>
      <c r="VYG5" s="394" t="s">
        <v>89</v>
      </c>
      <c r="VYH5" s="394" t="s">
        <v>89</v>
      </c>
      <c r="VYI5" s="394" t="s">
        <v>89</v>
      </c>
      <c r="VYJ5" s="394" t="s">
        <v>89</v>
      </c>
      <c r="VYK5" s="394" t="s">
        <v>89</v>
      </c>
      <c r="VYL5" s="394" t="s">
        <v>89</v>
      </c>
      <c r="VYM5" s="394" t="s">
        <v>89</v>
      </c>
      <c r="VYN5" s="394" t="s">
        <v>89</v>
      </c>
      <c r="VYO5" s="394" t="s">
        <v>89</v>
      </c>
      <c r="VYP5" s="394" t="s">
        <v>89</v>
      </c>
      <c r="VYQ5" s="394" t="s">
        <v>89</v>
      </c>
      <c r="VYR5" s="394" t="s">
        <v>89</v>
      </c>
      <c r="VYS5" s="394" t="s">
        <v>89</v>
      </c>
      <c r="VYT5" s="394" t="s">
        <v>89</v>
      </c>
      <c r="VYU5" s="394" t="s">
        <v>89</v>
      </c>
      <c r="VYV5" s="394" t="s">
        <v>89</v>
      </c>
      <c r="VYW5" s="394" t="s">
        <v>89</v>
      </c>
      <c r="VYX5" s="394" t="s">
        <v>89</v>
      </c>
      <c r="VYY5" s="394" t="s">
        <v>89</v>
      </c>
      <c r="VYZ5" s="394" t="s">
        <v>89</v>
      </c>
      <c r="VZA5" s="394" t="s">
        <v>89</v>
      </c>
      <c r="VZB5" s="394" t="s">
        <v>89</v>
      </c>
      <c r="VZC5" s="394" t="s">
        <v>89</v>
      </c>
      <c r="VZD5" s="394" t="s">
        <v>89</v>
      </c>
      <c r="VZE5" s="394" t="s">
        <v>89</v>
      </c>
      <c r="VZF5" s="394" t="s">
        <v>89</v>
      </c>
      <c r="VZG5" s="394" t="s">
        <v>89</v>
      </c>
      <c r="VZH5" s="394" t="s">
        <v>89</v>
      </c>
      <c r="VZI5" s="394" t="s">
        <v>89</v>
      </c>
      <c r="VZJ5" s="394" t="s">
        <v>89</v>
      </c>
      <c r="VZK5" s="394" t="s">
        <v>89</v>
      </c>
      <c r="VZL5" s="394" t="s">
        <v>89</v>
      </c>
      <c r="VZM5" s="394" t="s">
        <v>89</v>
      </c>
      <c r="VZN5" s="394" t="s">
        <v>89</v>
      </c>
      <c r="VZO5" s="394" t="s">
        <v>89</v>
      </c>
      <c r="VZP5" s="394" t="s">
        <v>89</v>
      </c>
      <c r="VZQ5" s="394" t="s">
        <v>89</v>
      </c>
      <c r="VZR5" s="394" t="s">
        <v>89</v>
      </c>
      <c r="VZS5" s="394" t="s">
        <v>89</v>
      </c>
      <c r="VZT5" s="394" t="s">
        <v>89</v>
      </c>
      <c r="VZU5" s="394" t="s">
        <v>89</v>
      </c>
      <c r="VZV5" s="394" t="s">
        <v>89</v>
      </c>
      <c r="VZW5" s="394" t="s">
        <v>89</v>
      </c>
      <c r="VZX5" s="394" t="s">
        <v>89</v>
      </c>
      <c r="VZY5" s="394" t="s">
        <v>89</v>
      </c>
      <c r="VZZ5" s="394" t="s">
        <v>89</v>
      </c>
      <c r="WAA5" s="394" t="s">
        <v>89</v>
      </c>
      <c r="WAB5" s="394" t="s">
        <v>89</v>
      </c>
      <c r="WAC5" s="394" t="s">
        <v>89</v>
      </c>
      <c r="WAD5" s="394" t="s">
        <v>89</v>
      </c>
      <c r="WAE5" s="394" t="s">
        <v>89</v>
      </c>
      <c r="WAF5" s="394" t="s">
        <v>89</v>
      </c>
      <c r="WAG5" s="394" t="s">
        <v>89</v>
      </c>
      <c r="WAH5" s="394" t="s">
        <v>89</v>
      </c>
      <c r="WAI5" s="394" t="s">
        <v>89</v>
      </c>
      <c r="WAJ5" s="394" t="s">
        <v>89</v>
      </c>
      <c r="WAK5" s="394" t="s">
        <v>89</v>
      </c>
      <c r="WAL5" s="394" t="s">
        <v>89</v>
      </c>
      <c r="WAM5" s="394" t="s">
        <v>89</v>
      </c>
      <c r="WAN5" s="394" t="s">
        <v>89</v>
      </c>
      <c r="WAO5" s="394" t="s">
        <v>89</v>
      </c>
      <c r="WAP5" s="394" t="s">
        <v>89</v>
      </c>
      <c r="WAQ5" s="394" t="s">
        <v>89</v>
      </c>
      <c r="WAR5" s="394" t="s">
        <v>89</v>
      </c>
      <c r="WAS5" s="394" t="s">
        <v>89</v>
      </c>
      <c r="WAT5" s="394" t="s">
        <v>89</v>
      </c>
      <c r="WAU5" s="394" t="s">
        <v>89</v>
      </c>
      <c r="WAV5" s="394" t="s">
        <v>89</v>
      </c>
      <c r="WAW5" s="394" t="s">
        <v>89</v>
      </c>
      <c r="WAX5" s="394" t="s">
        <v>89</v>
      </c>
      <c r="WAY5" s="394" t="s">
        <v>89</v>
      </c>
      <c r="WAZ5" s="394" t="s">
        <v>89</v>
      </c>
      <c r="WBA5" s="394" t="s">
        <v>89</v>
      </c>
      <c r="WBB5" s="394" t="s">
        <v>89</v>
      </c>
      <c r="WBC5" s="394" t="s">
        <v>89</v>
      </c>
      <c r="WBD5" s="394" t="s">
        <v>89</v>
      </c>
      <c r="WBE5" s="394" t="s">
        <v>89</v>
      </c>
      <c r="WBF5" s="394" t="s">
        <v>89</v>
      </c>
      <c r="WBG5" s="394" t="s">
        <v>89</v>
      </c>
      <c r="WBH5" s="394" t="s">
        <v>89</v>
      </c>
      <c r="WBI5" s="394" t="s">
        <v>89</v>
      </c>
      <c r="WBJ5" s="394" t="s">
        <v>89</v>
      </c>
      <c r="WBK5" s="394" t="s">
        <v>89</v>
      </c>
      <c r="WBL5" s="394" t="s">
        <v>89</v>
      </c>
      <c r="WBM5" s="394" t="s">
        <v>89</v>
      </c>
      <c r="WBN5" s="394" t="s">
        <v>89</v>
      </c>
      <c r="WBO5" s="394" t="s">
        <v>89</v>
      </c>
      <c r="WBP5" s="394" t="s">
        <v>89</v>
      </c>
      <c r="WBQ5" s="394" t="s">
        <v>89</v>
      </c>
      <c r="WBR5" s="394" t="s">
        <v>89</v>
      </c>
      <c r="WBS5" s="394" t="s">
        <v>89</v>
      </c>
      <c r="WBT5" s="394" t="s">
        <v>89</v>
      </c>
      <c r="WBU5" s="394" t="s">
        <v>89</v>
      </c>
      <c r="WBV5" s="394" t="s">
        <v>89</v>
      </c>
      <c r="WBW5" s="394" t="s">
        <v>89</v>
      </c>
      <c r="WBX5" s="394" t="s">
        <v>89</v>
      </c>
      <c r="WBY5" s="394" t="s">
        <v>89</v>
      </c>
      <c r="WBZ5" s="394" t="s">
        <v>89</v>
      </c>
      <c r="WCA5" s="394" t="s">
        <v>89</v>
      </c>
      <c r="WCB5" s="394" t="s">
        <v>89</v>
      </c>
      <c r="WCC5" s="394" t="s">
        <v>89</v>
      </c>
      <c r="WCD5" s="394" t="s">
        <v>89</v>
      </c>
      <c r="WCE5" s="394" t="s">
        <v>89</v>
      </c>
      <c r="WCF5" s="394" t="s">
        <v>89</v>
      </c>
      <c r="WCG5" s="394" t="s">
        <v>89</v>
      </c>
      <c r="WCH5" s="394" t="s">
        <v>89</v>
      </c>
      <c r="WCI5" s="394" t="s">
        <v>89</v>
      </c>
      <c r="WCJ5" s="394" t="s">
        <v>89</v>
      </c>
      <c r="WCK5" s="394" t="s">
        <v>89</v>
      </c>
      <c r="WCL5" s="394" t="s">
        <v>89</v>
      </c>
      <c r="WCM5" s="394" t="s">
        <v>89</v>
      </c>
      <c r="WCN5" s="394" t="s">
        <v>89</v>
      </c>
      <c r="WCO5" s="394" t="s">
        <v>89</v>
      </c>
      <c r="WCP5" s="394" t="s">
        <v>89</v>
      </c>
      <c r="WCQ5" s="394" t="s">
        <v>89</v>
      </c>
      <c r="WCR5" s="394" t="s">
        <v>89</v>
      </c>
      <c r="WCS5" s="394" t="s">
        <v>89</v>
      </c>
      <c r="WCT5" s="394" t="s">
        <v>89</v>
      </c>
      <c r="WCU5" s="394" t="s">
        <v>89</v>
      </c>
      <c r="WCV5" s="394" t="s">
        <v>89</v>
      </c>
      <c r="WCW5" s="394" t="s">
        <v>89</v>
      </c>
      <c r="WCX5" s="394" t="s">
        <v>89</v>
      </c>
      <c r="WCY5" s="394" t="s">
        <v>89</v>
      </c>
      <c r="WCZ5" s="394" t="s">
        <v>89</v>
      </c>
      <c r="WDA5" s="394" t="s">
        <v>89</v>
      </c>
      <c r="WDB5" s="394" t="s">
        <v>89</v>
      </c>
      <c r="WDC5" s="394" t="s">
        <v>89</v>
      </c>
      <c r="WDD5" s="394" t="s">
        <v>89</v>
      </c>
      <c r="WDE5" s="394" t="s">
        <v>89</v>
      </c>
      <c r="WDF5" s="394" t="s">
        <v>89</v>
      </c>
      <c r="WDG5" s="394" t="s">
        <v>89</v>
      </c>
      <c r="WDH5" s="394" t="s">
        <v>89</v>
      </c>
      <c r="WDI5" s="394" t="s">
        <v>89</v>
      </c>
      <c r="WDJ5" s="394" t="s">
        <v>89</v>
      </c>
      <c r="WDK5" s="394" t="s">
        <v>89</v>
      </c>
      <c r="WDL5" s="394" t="s">
        <v>89</v>
      </c>
      <c r="WDM5" s="394" t="s">
        <v>89</v>
      </c>
      <c r="WDN5" s="394" t="s">
        <v>89</v>
      </c>
      <c r="WDO5" s="394" t="s">
        <v>89</v>
      </c>
      <c r="WDP5" s="394" t="s">
        <v>89</v>
      </c>
      <c r="WDQ5" s="394" t="s">
        <v>89</v>
      </c>
      <c r="WDR5" s="394" t="s">
        <v>89</v>
      </c>
      <c r="WDS5" s="394" t="s">
        <v>89</v>
      </c>
      <c r="WDT5" s="394" t="s">
        <v>89</v>
      </c>
      <c r="WDU5" s="394" t="s">
        <v>89</v>
      </c>
      <c r="WDV5" s="394" t="s">
        <v>89</v>
      </c>
      <c r="WDW5" s="394" t="s">
        <v>89</v>
      </c>
      <c r="WDX5" s="394" t="s">
        <v>89</v>
      </c>
      <c r="WDY5" s="394" t="s">
        <v>89</v>
      </c>
      <c r="WDZ5" s="394" t="s">
        <v>89</v>
      </c>
      <c r="WEA5" s="394" t="s">
        <v>89</v>
      </c>
      <c r="WEB5" s="394" t="s">
        <v>89</v>
      </c>
      <c r="WEC5" s="394" t="s">
        <v>89</v>
      </c>
      <c r="WED5" s="394" t="s">
        <v>89</v>
      </c>
      <c r="WEE5" s="394" t="s">
        <v>89</v>
      </c>
      <c r="WEF5" s="394" t="s">
        <v>89</v>
      </c>
      <c r="WEG5" s="394" t="s">
        <v>89</v>
      </c>
      <c r="WEH5" s="394" t="s">
        <v>89</v>
      </c>
      <c r="WEI5" s="394" t="s">
        <v>89</v>
      </c>
      <c r="WEJ5" s="394" t="s">
        <v>89</v>
      </c>
      <c r="WEK5" s="394" t="s">
        <v>89</v>
      </c>
      <c r="WEL5" s="394" t="s">
        <v>89</v>
      </c>
      <c r="WEM5" s="394" t="s">
        <v>89</v>
      </c>
      <c r="WEN5" s="394" t="s">
        <v>89</v>
      </c>
      <c r="WEO5" s="394" t="s">
        <v>89</v>
      </c>
      <c r="WEP5" s="394" t="s">
        <v>89</v>
      </c>
      <c r="WEQ5" s="394" t="s">
        <v>89</v>
      </c>
      <c r="WER5" s="394" t="s">
        <v>89</v>
      </c>
      <c r="WES5" s="394" t="s">
        <v>89</v>
      </c>
      <c r="WET5" s="394" t="s">
        <v>89</v>
      </c>
      <c r="WEU5" s="394" t="s">
        <v>89</v>
      </c>
      <c r="WEV5" s="394" t="s">
        <v>89</v>
      </c>
      <c r="WEW5" s="394" t="s">
        <v>89</v>
      </c>
      <c r="WEX5" s="394" t="s">
        <v>89</v>
      </c>
      <c r="WEY5" s="394" t="s">
        <v>89</v>
      </c>
      <c r="WEZ5" s="394" t="s">
        <v>89</v>
      </c>
      <c r="WFA5" s="394" t="s">
        <v>89</v>
      </c>
      <c r="WFB5" s="394" t="s">
        <v>89</v>
      </c>
      <c r="WFC5" s="394" t="s">
        <v>89</v>
      </c>
      <c r="WFD5" s="394" t="s">
        <v>89</v>
      </c>
      <c r="WFE5" s="394" t="s">
        <v>89</v>
      </c>
      <c r="WFF5" s="394" t="s">
        <v>89</v>
      </c>
      <c r="WFG5" s="394" t="s">
        <v>89</v>
      </c>
      <c r="WFH5" s="394" t="s">
        <v>89</v>
      </c>
      <c r="WFI5" s="394" t="s">
        <v>89</v>
      </c>
      <c r="WFJ5" s="394" t="s">
        <v>89</v>
      </c>
      <c r="WFK5" s="394" t="s">
        <v>89</v>
      </c>
      <c r="WFL5" s="394" t="s">
        <v>89</v>
      </c>
      <c r="WFM5" s="394" t="s">
        <v>89</v>
      </c>
      <c r="WFN5" s="394" t="s">
        <v>89</v>
      </c>
      <c r="WFO5" s="394" t="s">
        <v>89</v>
      </c>
      <c r="WFP5" s="394" t="s">
        <v>89</v>
      </c>
      <c r="WFQ5" s="394" t="s">
        <v>89</v>
      </c>
      <c r="WFR5" s="394" t="s">
        <v>89</v>
      </c>
      <c r="WFS5" s="394" t="s">
        <v>89</v>
      </c>
      <c r="WFT5" s="394" t="s">
        <v>89</v>
      </c>
      <c r="WFU5" s="394" t="s">
        <v>89</v>
      </c>
      <c r="WFV5" s="394" t="s">
        <v>89</v>
      </c>
      <c r="WFW5" s="394" t="s">
        <v>89</v>
      </c>
      <c r="WFX5" s="394" t="s">
        <v>89</v>
      </c>
      <c r="WFY5" s="394" t="s">
        <v>89</v>
      </c>
      <c r="WFZ5" s="394" t="s">
        <v>89</v>
      </c>
      <c r="WGA5" s="394" t="s">
        <v>89</v>
      </c>
      <c r="WGB5" s="394" t="s">
        <v>89</v>
      </c>
      <c r="WGC5" s="394" t="s">
        <v>89</v>
      </c>
      <c r="WGD5" s="394" t="s">
        <v>89</v>
      </c>
      <c r="WGE5" s="394" t="s">
        <v>89</v>
      </c>
      <c r="WGF5" s="394" t="s">
        <v>89</v>
      </c>
      <c r="WGG5" s="394" t="s">
        <v>89</v>
      </c>
      <c r="WGH5" s="394" t="s">
        <v>89</v>
      </c>
      <c r="WGI5" s="394" t="s">
        <v>89</v>
      </c>
      <c r="WGJ5" s="394" t="s">
        <v>89</v>
      </c>
      <c r="WGK5" s="394" t="s">
        <v>89</v>
      </c>
      <c r="WGL5" s="394" t="s">
        <v>89</v>
      </c>
      <c r="WGM5" s="394" t="s">
        <v>89</v>
      </c>
      <c r="WGN5" s="394" t="s">
        <v>89</v>
      </c>
      <c r="WGO5" s="394" t="s">
        <v>89</v>
      </c>
      <c r="WGP5" s="394" t="s">
        <v>89</v>
      </c>
      <c r="WGQ5" s="394" t="s">
        <v>89</v>
      </c>
      <c r="WGR5" s="394" t="s">
        <v>89</v>
      </c>
      <c r="WGS5" s="394" t="s">
        <v>89</v>
      </c>
      <c r="WGT5" s="394" t="s">
        <v>89</v>
      </c>
      <c r="WGU5" s="394" t="s">
        <v>89</v>
      </c>
      <c r="WGV5" s="394" t="s">
        <v>89</v>
      </c>
      <c r="WGW5" s="394" t="s">
        <v>89</v>
      </c>
      <c r="WGX5" s="394" t="s">
        <v>89</v>
      </c>
      <c r="WGY5" s="394" t="s">
        <v>89</v>
      </c>
      <c r="WGZ5" s="394" t="s">
        <v>89</v>
      </c>
      <c r="WHA5" s="394" t="s">
        <v>89</v>
      </c>
      <c r="WHB5" s="394" t="s">
        <v>89</v>
      </c>
      <c r="WHC5" s="394" t="s">
        <v>89</v>
      </c>
      <c r="WHD5" s="394" t="s">
        <v>89</v>
      </c>
      <c r="WHE5" s="394" t="s">
        <v>89</v>
      </c>
      <c r="WHF5" s="394" t="s">
        <v>89</v>
      </c>
      <c r="WHG5" s="394" t="s">
        <v>89</v>
      </c>
      <c r="WHH5" s="394" t="s">
        <v>89</v>
      </c>
      <c r="WHI5" s="394" t="s">
        <v>89</v>
      </c>
      <c r="WHJ5" s="394" t="s">
        <v>89</v>
      </c>
      <c r="WHK5" s="394" t="s">
        <v>89</v>
      </c>
      <c r="WHL5" s="394" t="s">
        <v>89</v>
      </c>
      <c r="WHM5" s="394" t="s">
        <v>89</v>
      </c>
      <c r="WHN5" s="394" t="s">
        <v>89</v>
      </c>
      <c r="WHO5" s="394" t="s">
        <v>89</v>
      </c>
      <c r="WHP5" s="394" t="s">
        <v>89</v>
      </c>
      <c r="WHQ5" s="394" t="s">
        <v>89</v>
      </c>
      <c r="WHR5" s="394" t="s">
        <v>89</v>
      </c>
      <c r="WHS5" s="394" t="s">
        <v>89</v>
      </c>
      <c r="WHT5" s="394" t="s">
        <v>89</v>
      </c>
      <c r="WHU5" s="394" t="s">
        <v>89</v>
      </c>
      <c r="WHV5" s="394" t="s">
        <v>89</v>
      </c>
      <c r="WHW5" s="394" t="s">
        <v>89</v>
      </c>
      <c r="WHX5" s="394" t="s">
        <v>89</v>
      </c>
      <c r="WHY5" s="394" t="s">
        <v>89</v>
      </c>
      <c r="WHZ5" s="394" t="s">
        <v>89</v>
      </c>
      <c r="WIA5" s="394" t="s">
        <v>89</v>
      </c>
      <c r="WIB5" s="394" t="s">
        <v>89</v>
      </c>
      <c r="WIC5" s="394" t="s">
        <v>89</v>
      </c>
      <c r="WID5" s="394" t="s">
        <v>89</v>
      </c>
      <c r="WIE5" s="394" t="s">
        <v>89</v>
      </c>
      <c r="WIF5" s="394" t="s">
        <v>89</v>
      </c>
      <c r="WIG5" s="394" t="s">
        <v>89</v>
      </c>
      <c r="WIH5" s="394" t="s">
        <v>89</v>
      </c>
      <c r="WII5" s="394" t="s">
        <v>89</v>
      </c>
      <c r="WIJ5" s="394" t="s">
        <v>89</v>
      </c>
      <c r="WIK5" s="394" t="s">
        <v>89</v>
      </c>
      <c r="WIL5" s="394" t="s">
        <v>89</v>
      </c>
      <c r="WIM5" s="394" t="s">
        <v>89</v>
      </c>
      <c r="WIN5" s="394" t="s">
        <v>89</v>
      </c>
      <c r="WIO5" s="394" t="s">
        <v>89</v>
      </c>
      <c r="WIP5" s="394" t="s">
        <v>89</v>
      </c>
      <c r="WIQ5" s="394" t="s">
        <v>89</v>
      </c>
      <c r="WIR5" s="394" t="s">
        <v>89</v>
      </c>
      <c r="WIS5" s="394" t="s">
        <v>89</v>
      </c>
      <c r="WIT5" s="394" t="s">
        <v>89</v>
      </c>
      <c r="WIU5" s="394" t="s">
        <v>89</v>
      </c>
      <c r="WIV5" s="394" t="s">
        <v>89</v>
      </c>
      <c r="WIW5" s="394" t="s">
        <v>89</v>
      </c>
      <c r="WIX5" s="394" t="s">
        <v>89</v>
      </c>
      <c r="WIY5" s="394" t="s">
        <v>89</v>
      </c>
      <c r="WIZ5" s="394" t="s">
        <v>89</v>
      </c>
      <c r="WJA5" s="394" t="s">
        <v>89</v>
      </c>
      <c r="WJB5" s="394" t="s">
        <v>89</v>
      </c>
      <c r="WJC5" s="394" t="s">
        <v>89</v>
      </c>
      <c r="WJD5" s="394" t="s">
        <v>89</v>
      </c>
      <c r="WJE5" s="394" t="s">
        <v>89</v>
      </c>
      <c r="WJF5" s="394" t="s">
        <v>89</v>
      </c>
      <c r="WJG5" s="394" t="s">
        <v>89</v>
      </c>
      <c r="WJH5" s="394" t="s">
        <v>89</v>
      </c>
      <c r="WJI5" s="394" t="s">
        <v>89</v>
      </c>
      <c r="WJJ5" s="394" t="s">
        <v>89</v>
      </c>
      <c r="WJK5" s="394" t="s">
        <v>89</v>
      </c>
      <c r="WJL5" s="394" t="s">
        <v>89</v>
      </c>
      <c r="WJM5" s="394" t="s">
        <v>89</v>
      </c>
      <c r="WJN5" s="394" t="s">
        <v>89</v>
      </c>
      <c r="WJO5" s="394" t="s">
        <v>89</v>
      </c>
      <c r="WJP5" s="394" t="s">
        <v>89</v>
      </c>
      <c r="WJQ5" s="394" t="s">
        <v>89</v>
      </c>
      <c r="WJR5" s="394" t="s">
        <v>89</v>
      </c>
      <c r="WJS5" s="394" t="s">
        <v>89</v>
      </c>
      <c r="WJT5" s="394" t="s">
        <v>89</v>
      </c>
      <c r="WJU5" s="394" t="s">
        <v>89</v>
      </c>
      <c r="WJV5" s="394" t="s">
        <v>89</v>
      </c>
      <c r="WJW5" s="394" t="s">
        <v>89</v>
      </c>
      <c r="WJX5" s="394" t="s">
        <v>89</v>
      </c>
      <c r="WJY5" s="394" t="s">
        <v>89</v>
      </c>
      <c r="WJZ5" s="394" t="s">
        <v>89</v>
      </c>
      <c r="WKA5" s="394" t="s">
        <v>89</v>
      </c>
      <c r="WKB5" s="394" t="s">
        <v>89</v>
      </c>
      <c r="WKC5" s="394" t="s">
        <v>89</v>
      </c>
      <c r="WKD5" s="394" t="s">
        <v>89</v>
      </c>
      <c r="WKE5" s="394" t="s">
        <v>89</v>
      </c>
      <c r="WKF5" s="394" t="s">
        <v>89</v>
      </c>
      <c r="WKG5" s="394" t="s">
        <v>89</v>
      </c>
      <c r="WKH5" s="394" t="s">
        <v>89</v>
      </c>
      <c r="WKI5" s="394" t="s">
        <v>89</v>
      </c>
      <c r="WKJ5" s="394" t="s">
        <v>89</v>
      </c>
      <c r="WKK5" s="394" t="s">
        <v>89</v>
      </c>
      <c r="WKL5" s="394" t="s">
        <v>89</v>
      </c>
      <c r="WKM5" s="394" t="s">
        <v>89</v>
      </c>
      <c r="WKN5" s="394" t="s">
        <v>89</v>
      </c>
      <c r="WKO5" s="394" t="s">
        <v>89</v>
      </c>
      <c r="WKP5" s="394" t="s">
        <v>89</v>
      </c>
      <c r="WKQ5" s="394" t="s">
        <v>89</v>
      </c>
      <c r="WKR5" s="394" t="s">
        <v>89</v>
      </c>
      <c r="WKS5" s="394" t="s">
        <v>89</v>
      </c>
      <c r="WKT5" s="394" t="s">
        <v>89</v>
      </c>
      <c r="WKU5" s="394" t="s">
        <v>89</v>
      </c>
      <c r="WKV5" s="394" t="s">
        <v>89</v>
      </c>
      <c r="WKW5" s="394" t="s">
        <v>89</v>
      </c>
      <c r="WKX5" s="394" t="s">
        <v>89</v>
      </c>
      <c r="WKY5" s="394" t="s">
        <v>89</v>
      </c>
      <c r="WKZ5" s="394" t="s">
        <v>89</v>
      </c>
      <c r="WLA5" s="394" t="s">
        <v>89</v>
      </c>
      <c r="WLB5" s="394" t="s">
        <v>89</v>
      </c>
      <c r="WLC5" s="394" t="s">
        <v>89</v>
      </c>
      <c r="WLD5" s="394" t="s">
        <v>89</v>
      </c>
      <c r="WLE5" s="394" t="s">
        <v>89</v>
      </c>
      <c r="WLF5" s="394" t="s">
        <v>89</v>
      </c>
      <c r="WLG5" s="394" t="s">
        <v>89</v>
      </c>
      <c r="WLH5" s="394" t="s">
        <v>89</v>
      </c>
      <c r="WLI5" s="394" t="s">
        <v>89</v>
      </c>
      <c r="WLJ5" s="394" t="s">
        <v>89</v>
      </c>
      <c r="WLK5" s="394" t="s">
        <v>89</v>
      </c>
      <c r="WLL5" s="394" t="s">
        <v>89</v>
      </c>
      <c r="WLM5" s="394" t="s">
        <v>89</v>
      </c>
      <c r="WLN5" s="394" t="s">
        <v>89</v>
      </c>
      <c r="WLO5" s="394" t="s">
        <v>89</v>
      </c>
      <c r="WLP5" s="394" t="s">
        <v>89</v>
      </c>
      <c r="WLQ5" s="394" t="s">
        <v>89</v>
      </c>
      <c r="WLR5" s="394" t="s">
        <v>89</v>
      </c>
      <c r="WLS5" s="394" t="s">
        <v>89</v>
      </c>
      <c r="WLT5" s="394" t="s">
        <v>89</v>
      </c>
      <c r="WLU5" s="394" t="s">
        <v>89</v>
      </c>
      <c r="WLV5" s="394" t="s">
        <v>89</v>
      </c>
      <c r="WLW5" s="394" t="s">
        <v>89</v>
      </c>
      <c r="WLX5" s="394" t="s">
        <v>89</v>
      </c>
      <c r="WLY5" s="394" t="s">
        <v>89</v>
      </c>
      <c r="WLZ5" s="394" t="s">
        <v>89</v>
      </c>
      <c r="WMA5" s="394" t="s">
        <v>89</v>
      </c>
      <c r="WMB5" s="394" t="s">
        <v>89</v>
      </c>
      <c r="WMC5" s="394" t="s">
        <v>89</v>
      </c>
      <c r="WMD5" s="394" t="s">
        <v>89</v>
      </c>
      <c r="WME5" s="394" t="s">
        <v>89</v>
      </c>
      <c r="WMF5" s="394" t="s">
        <v>89</v>
      </c>
      <c r="WMG5" s="394" t="s">
        <v>89</v>
      </c>
      <c r="WMH5" s="394" t="s">
        <v>89</v>
      </c>
      <c r="WMI5" s="394" t="s">
        <v>89</v>
      </c>
      <c r="WMJ5" s="394" t="s">
        <v>89</v>
      </c>
      <c r="WMK5" s="394" t="s">
        <v>89</v>
      </c>
      <c r="WML5" s="394" t="s">
        <v>89</v>
      </c>
      <c r="WMM5" s="394" t="s">
        <v>89</v>
      </c>
      <c r="WMN5" s="394" t="s">
        <v>89</v>
      </c>
      <c r="WMO5" s="394" t="s">
        <v>89</v>
      </c>
      <c r="WMP5" s="394" t="s">
        <v>89</v>
      </c>
      <c r="WMQ5" s="394" t="s">
        <v>89</v>
      </c>
      <c r="WMR5" s="394" t="s">
        <v>89</v>
      </c>
      <c r="WMS5" s="394" t="s">
        <v>89</v>
      </c>
      <c r="WMT5" s="394" t="s">
        <v>89</v>
      </c>
      <c r="WMU5" s="394" t="s">
        <v>89</v>
      </c>
      <c r="WMV5" s="394" t="s">
        <v>89</v>
      </c>
      <c r="WMW5" s="394" t="s">
        <v>89</v>
      </c>
      <c r="WMX5" s="394" t="s">
        <v>89</v>
      </c>
      <c r="WMY5" s="394" t="s">
        <v>89</v>
      </c>
      <c r="WMZ5" s="394" t="s">
        <v>89</v>
      </c>
      <c r="WNA5" s="394" t="s">
        <v>89</v>
      </c>
      <c r="WNB5" s="394" t="s">
        <v>89</v>
      </c>
      <c r="WNC5" s="394" t="s">
        <v>89</v>
      </c>
      <c r="WND5" s="394" t="s">
        <v>89</v>
      </c>
      <c r="WNE5" s="394" t="s">
        <v>89</v>
      </c>
      <c r="WNF5" s="394" t="s">
        <v>89</v>
      </c>
      <c r="WNG5" s="394" t="s">
        <v>89</v>
      </c>
      <c r="WNH5" s="394" t="s">
        <v>89</v>
      </c>
      <c r="WNI5" s="394" t="s">
        <v>89</v>
      </c>
      <c r="WNJ5" s="394" t="s">
        <v>89</v>
      </c>
      <c r="WNK5" s="394" t="s">
        <v>89</v>
      </c>
      <c r="WNL5" s="394" t="s">
        <v>89</v>
      </c>
      <c r="WNM5" s="394" t="s">
        <v>89</v>
      </c>
      <c r="WNN5" s="394" t="s">
        <v>89</v>
      </c>
      <c r="WNO5" s="394" t="s">
        <v>89</v>
      </c>
      <c r="WNP5" s="394" t="s">
        <v>89</v>
      </c>
      <c r="WNQ5" s="394" t="s">
        <v>89</v>
      </c>
      <c r="WNR5" s="394" t="s">
        <v>89</v>
      </c>
      <c r="WNS5" s="394" t="s">
        <v>89</v>
      </c>
      <c r="WNT5" s="394" t="s">
        <v>89</v>
      </c>
      <c r="WNU5" s="394" t="s">
        <v>89</v>
      </c>
      <c r="WNV5" s="394" t="s">
        <v>89</v>
      </c>
      <c r="WNW5" s="394" t="s">
        <v>89</v>
      </c>
      <c r="WNX5" s="394" t="s">
        <v>89</v>
      </c>
      <c r="WNY5" s="394" t="s">
        <v>89</v>
      </c>
      <c r="WNZ5" s="394" t="s">
        <v>89</v>
      </c>
      <c r="WOA5" s="394" t="s">
        <v>89</v>
      </c>
      <c r="WOB5" s="394" t="s">
        <v>89</v>
      </c>
      <c r="WOC5" s="394" t="s">
        <v>89</v>
      </c>
      <c r="WOD5" s="394" t="s">
        <v>89</v>
      </c>
      <c r="WOE5" s="394" t="s">
        <v>89</v>
      </c>
      <c r="WOF5" s="394" t="s">
        <v>89</v>
      </c>
      <c r="WOG5" s="394" t="s">
        <v>89</v>
      </c>
      <c r="WOH5" s="394" t="s">
        <v>89</v>
      </c>
      <c r="WOI5" s="394" t="s">
        <v>89</v>
      </c>
      <c r="WOJ5" s="394" t="s">
        <v>89</v>
      </c>
      <c r="WOK5" s="394" t="s">
        <v>89</v>
      </c>
      <c r="WOL5" s="394" t="s">
        <v>89</v>
      </c>
      <c r="WOM5" s="394" t="s">
        <v>89</v>
      </c>
      <c r="WON5" s="394" t="s">
        <v>89</v>
      </c>
      <c r="WOO5" s="394" t="s">
        <v>89</v>
      </c>
      <c r="WOP5" s="394" t="s">
        <v>89</v>
      </c>
      <c r="WOQ5" s="394" t="s">
        <v>89</v>
      </c>
      <c r="WOR5" s="394" t="s">
        <v>89</v>
      </c>
      <c r="WOS5" s="394" t="s">
        <v>89</v>
      </c>
      <c r="WOT5" s="394" t="s">
        <v>89</v>
      </c>
      <c r="WOU5" s="394" t="s">
        <v>89</v>
      </c>
      <c r="WOV5" s="394" t="s">
        <v>89</v>
      </c>
      <c r="WOW5" s="394" t="s">
        <v>89</v>
      </c>
      <c r="WOX5" s="394" t="s">
        <v>89</v>
      </c>
      <c r="WOY5" s="394" t="s">
        <v>89</v>
      </c>
      <c r="WOZ5" s="394" t="s">
        <v>89</v>
      </c>
      <c r="WPA5" s="394" t="s">
        <v>89</v>
      </c>
      <c r="WPB5" s="394" t="s">
        <v>89</v>
      </c>
      <c r="WPC5" s="394" t="s">
        <v>89</v>
      </c>
      <c r="WPD5" s="394" t="s">
        <v>89</v>
      </c>
      <c r="WPE5" s="394" t="s">
        <v>89</v>
      </c>
      <c r="WPF5" s="394" t="s">
        <v>89</v>
      </c>
      <c r="WPG5" s="394" t="s">
        <v>89</v>
      </c>
      <c r="WPH5" s="394" t="s">
        <v>89</v>
      </c>
      <c r="WPI5" s="394" t="s">
        <v>89</v>
      </c>
      <c r="WPJ5" s="394" t="s">
        <v>89</v>
      </c>
      <c r="WPK5" s="394" t="s">
        <v>89</v>
      </c>
      <c r="WPL5" s="394" t="s">
        <v>89</v>
      </c>
      <c r="WPM5" s="394" t="s">
        <v>89</v>
      </c>
      <c r="WPN5" s="394" t="s">
        <v>89</v>
      </c>
      <c r="WPO5" s="394" t="s">
        <v>89</v>
      </c>
      <c r="WPP5" s="394" t="s">
        <v>89</v>
      </c>
      <c r="WPQ5" s="394" t="s">
        <v>89</v>
      </c>
      <c r="WPR5" s="394" t="s">
        <v>89</v>
      </c>
      <c r="WPS5" s="394" t="s">
        <v>89</v>
      </c>
      <c r="WPT5" s="394" t="s">
        <v>89</v>
      </c>
      <c r="WPU5" s="394" t="s">
        <v>89</v>
      </c>
      <c r="WPV5" s="394" t="s">
        <v>89</v>
      </c>
      <c r="WPW5" s="394" t="s">
        <v>89</v>
      </c>
      <c r="WPX5" s="394" t="s">
        <v>89</v>
      </c>
      <c r="WPY5" s="394" t="s">
        <v>89</v>
      </c>
      <c r="WPZ5" s="394" t="s">
        <v>89</v>
      </c>
      <c r="WQA5" s="394" t="s">
        <v>89</v>
      </c>
      <c r="WQB5" s="394" t="s">
        <v>89</v>
      </c>
      <c r="WQC5" s="394" t="s">
        <v>89</v>
      </c>
      <c r="WQD5" s="394" t="s">
        <v>89</v>
      </c>
      <c r="WQE5" s="394" t="s">
        <v>89</v>
      </c>
      <c r="WQF5" s="394" t="s">
        <v>89</v>
      </c>
      <c r="WQG5" s="394" t="s">
        <v>89</v>
      </c>
      <c r="WQH5" s="394" t="s">
        <v>89</v>
      </c>
      <c r="WQI5" s="394" t="s">
        <v>89</v>
      </c>
      <c r="WQJ5" s="394" t="s">
        <v>89</v>
      </c>
      <c r="WQK5" s="394" t="s">
        <v>89</v>
      </c>
      <c r="WQL5" s="394" t="s">
        <v>89</v>
      </c>
      <c r="WQM5" s="394" t="s">
        <v>89</v>
      </c>
      <c r="WQN5" s="394" t="s">
        <v>89</v>
      </c>
      <c r="WQO5" s="394" t="s">
        <v>89</v>
      </c>
      <c r="WQP5" s="394" t="s">
        <v>89</v>
      </c>
      <c r="WQQ5" s="394" t="s">
        <v>89</v>
      </c>
      <c r="WQR5" s="394" t="s">
        <v>89</v>
      </c>
      <c r="WQS5" s="394" t="s">
        <v>89</v>
      </c>
      <c r="WQT5" s="394" t="s">
        <v>89</v>
      </c>
      <c r="WQU5" s="394" t="s">
        <v>89</v>
      </c>
      <c r="WQV5" s="394" t="s">
        <v>89</v>
      </c>
      <c r="WQW5" s="394" t="s">
        <v>89</v>
      </c>
      <c r="WQX5" s="394" t="s">
        <v>89</v>
      </c>
      <c r="WQY5" s="394" t="s">
        <v>89</v>
      </c>
      <c r="WQZ5" s="394" t="s">
        <v>89</v>
      </c>
      <c r="WRA5" s="394" t="s">
        <v>89</v>
      </c>
      <c r="WRB5" s="394" t="s">
        <v>89</v>
      </c>
      <c r="WRC5" s="394" t="s">
        <v>89</v>
      </c>
      <c r="WRD5" s="394" t="s">
        <v>89</v>
      </c>
      <c r="WRE5" s="394" t="s">
        <v>89</v>
      </c>
      <c r="WRF5" s="394" t="s">
        <v>89</v>
      </c>
      <c r="WRG5" s="394" t="s">
        <v>89</v>
      </c>
      <c r="WRH5" s="394" t="s">
        <v>89</v>
      </c>
      <c r="WRI5" s="394" t="s">
        <v>89</v>
      </c>
      <c r="WRJ5" s="394" t="s">
        <v>89</v>
      </c>
      <c r="WRK5" s="394" t="s">
        <v>89</v>
      </c>
      <c r="WRL5" s="394" t="s">
        <v>89</v>
      </c>
      <c r="WRM5" s="394" t="s">
        <v>89</v>
      </c>
      <c r="WRN5" s="394" t="s">
        <v>89</v>
      </c>
      <c r="WRO5" s="394" t="s">
        <v>89</v>
      </c>
      <c r="WRP5" s="394" t="s">
        <v>89</v>
      </c>
      <c r="WRQ5" s="394" t="s">
        <v>89</v>
      </c>
      <c r="WRR5" s="394" t="s">
        <v>89</v>
      </c>
      <c r="WRS5" s="394" t="s">
        <v>89</v>
      </c>
      <c r="WRT5" s="394" t="s">
        <v>89</v>
      </c>
      <c r="WRU5" s="394" t="s">
        <v>89</v>
      </c>
      <c r="WRV5" s="394" t="s">
        <v>89</v>
      </c>
      <c r="WRW5" s="394" t="s">
        <v>89</v>
      </c>
      <c r="WRX5" s="394" t="s">
        <v>89</v>
      </c>
      <c r="WRY5" s="394" t="s">
        <v>89</v>
      </c>
      <c r="WRZ5" s="394" t="s">
        <v>89</v>
      </c>
      <c r="WSA5" s="394" t="s">
        <v>89</v>
      </c>
      <c r="WSB5" s="394" t="s">
        <v>89</v>
      </c>
      <c r="WSC5" s="394" t="s">
        <v>89</v>
      </c>
      <c r="WSD5" s="394" t="s">
        <v>89</v>
      </c>
      <c r="WSE5" s="394" t="s">
        <v>89</v>
      </c>
      <c r="WSF5" s="394" t="s">
        <v>89</v>
      </c>
      <c r="WSG5" s="394" t="s">
        <v>89</v>
      </c>
      <c r="WSH5" s="394" t="s">
        <v>89</v>
      </c>
      <c r="WSI5" s="394" t="s">
        <v>89</v>
      </c>
      <c r="WSJ5" s="394" t="s">
        <v>89</v>
      </c>
      <c r="WSK5" s="394" t="s">
        <v>89</v>
      </c>
      <c r="WSL5" s="394" t="s">
        <v>89</v>
      </c>
      <c r="WSM5" s="394" t="s">
        <v>89</v>
      </c>
      <c r="WSN5" s="394" t="s">
        <v>89</v>
      </c>
      <c r="WSO5" s="394" t="s">
        <v>89</v>
      </c>
      <c r="WSP5" s="394" t="s">
        <v>89</v>
      </c>
      <c r="WSQ5" s="394" t="s">
        <v>89</v>
      </c>
      <c r="WSR5" s="394" t="s">
        <v>89</v>
      </c>
      <c r="WSS5" s="394" t="s">
        <v>89</v>
      </c>
      <c r="WST5" s="394" t="s">
        <v>89</v>
      </c>
      <c r="WSU5" s="394" t="s">
        <v>89</v>
      </c>
      <c r="WSV5" s="394" t="s">
        <v>89</v>
      </c>
      <c r="WSW5" s="394" t="s">
        <v>89</v>
      </c>
      <c r="WSX5" s="394" t="s">
        <v>89</v>
      </c>
      <c r="WSY5" s="394" t="s">
        <v>89</v>
      </c>
      <c r="WSZ5" s="394" t="s">
        <v>89</v>
      </c>
      <c r="WTA5" s="394" t="s">
        <v>89</v>
      </c>
      <c r="WTB5" s="394" t="s">
        <v>89</v>
      </c>
      <c r="WTC5" s="394" t="s">
        <v>89</v>
      </c>
      <c r="WTD5" s="394" t="s">
        <v>89</v>
      </c>
      <c r="WTE5" s="394" t="s">
        <v>89</v>
      </c>
      <c r="WTF5" s="394" t="s">
        <v>89</v>
      </c>
      <c r="WTG5" s="394" t="s">
        <v>89</v>
      </c>
      <c r="WTH5" s="394" t="s">
        <v>89</v>
      </c>
      <c r="WTI5" s="394" t="s">
        <v>89</v>
      </c>
      <c r="WTJ5" s="394" t="s">
        <v>89</v>
      </c>
      <c r="WTK5" s="394" t="s">
        <v>89</v>
      </c>
      <c r="WTL5" s="394" t="s">
        <v>89</v>
      </c>
      <c r="WTM5" s="394" t="s">
        <v>89</v>
      </c>
      <c r="WTN5" s="394" t="s">
        <v>89</v>
      </c>
      <c r="WTO5" s="394" t="s">
        <v>89</v>
      </c>
      <c r="WTP5" s="394" t="s">
        <v>89</v>
      </c>
      <c r="WTQ5" s="394" t="s">
        <v>89</v>
      </c>
      <c r="WTR5" s="394" t="s">
        <v>89</v>
      </c>
      <c r="WTS5" s="394" t="s">
        <v>89</v>
      </c>
      <c r="WTT5" s="394" t="s">
        <v>89</v>
      </c>
      <c r="WTU5" s="394" t="s">
        <v>89</v>
      </c>
      <c r="WTV5" s="394" t="s">
        <v>89</v>
      </c>
      <c r="WTW5" s="394" t="s">
        <v>89</v>
      </c>
      <c r="WTX5" s="394" t="s">
        <v>89</v>
      </c>
      <c r="WTY5" s="394" t="s">
        <v>89</v>
      </c>
      <c r="WTZ5" s="394" t="s">
        <v>89</v>
      </c>
      <c r="WUA5" s="394" t="s">
        <v>89</v>
      </c>
      <c r="WUB5" s="394" t="s">
        <v>89</v>
      </c>
      <c r="WUC5" s="394" t="s">
        <v>89</v>
      </c>
      <c r="WUD5" s="394" t="s">
        <v>89</v>
      </c>
      <c r="WUE5" s="394" t="s">
        <v>89</v>
      </c>
      <c r="WUF5" s="394" t="s">
        <v>89</v>
      </c>
      <c r="WUG5" s="394" t="s">
        <v>89</v>
      </c>
      <c r="WUH5" s="394" t="s">
        <v>89</v>
      </c>
      <c r="WUI5" s="394" t="s">
        <v>89</v>
      </c>
      <c r="WUJ5" s="394" t="s">
        <v>89</v>
      </c>
      <c r="WUK5" s="394" t="s">
        <v>89</v>
      </c>
      <c r="WUL5" s="394" t="s">
        <v>89</v>
      </c>
      <c r="WUM5" s="394" t="s">
        <v>89</v>
      </c>
      <c r="WUN5" s="394" t="s">
        <v>89</v>
      </c>
      <c r="WUO5" s="394" t="s">
        <v>89</v>
      </c>
      <c r="WUP5" s="394" t="s">
        <v>89</v>
      </c>
      <c r="WUQ5" s="394" t="s">
        <v>89</v>
      </c>
      <c r="WUR5" s="394" t="s">
        <v>89</v>
      </c>
      <c r="WUS5" s="394" t="s">
        <v>89</v>
      </c>
      <c r="WUT5" s="394" t="s">
        <v>89</v>
      </c>
      <c r="WUU5" s="394" t="s">
        <v>89</v>
      </c>
      <c r="WUV5" s="394" t="s">
        <v>89</v>
      </c>
      <c r="WUW5" s="394" t="s">
        <v>89</v>
      </c>
      <c r="WUX5" s="394" t="s">
        <v>89</v>
      </c>
      <c r="WUY5" s="394" t="s">
        <v>89</v>
      </c>
      <c r="WUZ5" s="394" t="s">
        <v>89</v>
      </c>
      <c r="WVA5" s="394" t="s">
        <v>89</v>
      </c>
      <c r="WVB5" s="394" t="s">
        <v>89</v>
      </c>
      <c r="WVC5" s="394" t="s">
        <v>89</v>
      </c>
      <c r="WVD5" s="394" t="s">
        <v>89</v>
      </c>
      <c r="WVE5" s="394" t="s">
        <v>89</v>
      </c>
      <c r="WVF5" s="394" t="s">
        <v>89</v>
      </c>
      <c r="WVG5" s="394" t="s">
        <v>89</v>
      </c>
      <c r="WVH5" s="394" t="s">
        <v>89</v>
      </c>
      <c r="WVI5" s="394" t="s">
        <v>89</v>
      </c>
      <c r="WVJ5" s="394" t="s">
        <v>89</v>
      </c>
      <c r="WVK5" s="394" t="s">
        <v>89</v>
      </c>
      <c r="WVL5" s="394" t="s">
        <v>89</v>
      </c>
      <c r="WVM5" s="394" t="s">
        <v>89</v>
      </c>
      <c r="WVN5" s="394" t="s">
        <v>89</v>
      </c>
      <c r="WVO5" s="394" t="s">
        <v>89</v>
      </c>
      <c r="WVP5" s="394" t="s">
        <v>89</v>
      </c>
      <c r="WVQ5" s="394" t="s">
        <v>89</v>
      </c>
      <c r="WVR5" s="394" t="s">
        <v>89</v>
      </c>
      <c r="WVS5" s="394" t="s">
        <v>89</v>
      </c>
      <c r="WVT5" s="394" t="s">
        <v>89</v>
      </c>
      <c r="WVU5" s="394" t="s">
        <v>89</v>
      </c>
      <c r="WVV5" s="394" t="s">
        <v>89</v>
      </c>
      <c r="WVW5" s="394" t="s">
        <v>89</v>
      </c>
      <c r="WVX5" s="394" t="s">
        <v>89</v>
      </c>
      <c r="WVY5" s="394" t="s">
        <v>89</v>
      </c>
      <c r="WVZ5" s="394" t="s">
        <v>89</v>
      </c>
      <c r="WWA5" s="394" t="s">
        <v>89</v>
      </c>
      <c r="WWB5" s="394" t="s">
        <v>89</v>
      </c>
      <c r="WWC5" s="394" t="s">
        <v>89</v>
      </c>
      <c r="WWD5" s="394" t="s">
        <v>89</v>
      </c>
      <c r="WWE5" s="394" t="s">
        <v>89</v>
      </c>
      <c r="WWF5" s="394" t="s">
        <v>89</v>
      </c>
      <c r="WWG5" s="394" t="s">
        <v>89</v>
      </c>
      <c r="WWH5" s="394" t="s">
        <v>89</v>
      </c>
      <c r="WWI5" s="394" t="s">
        <v>89</v>
      </c>
      <c r="WWJ5" s="394" t="s">
        <v>89</v>
      </c>
      <c r="WWK5" s="394" t="s">
        <v>89</v>
      </c>
      <c r="WWL5" s="394" t="s">
        <v>89</v>
      </c>
      <c r="WWM5" s="394" t="s">
        <v>89</v>
      </c>
      <c r="WWN5" s="394" t="s">
        <v>89</v>
      </c>
      <c r="WWO5" s="394" t="s">
        <v>89</v>
      </c>
      <c r="WWP5" s="394" t="s">
        <v>89</v>
      </c>
      <c r="WWQ5" s="394" t="s">
        <v>89</v>
      </c>
      <c r="WWR5" s="394" t="s">
        <v>89</v>
      </c>
      <c r="WWS5" s="394" t="s">
        <v>89</v>
      </c>
      <c r="WWT5" s="394" t="s">
        <v>89</v>
      </c>
      <c r="WWU5" s="394" t="s">
        <v>89</v>
      </c>
      <c r="WWV5" s="394" t="s">
        <v>89</v>
      </c>
      <c r="WWW5" s="394" t="s">
        <v>89</v>
      </c>
      <c r="WWX5" s="394" t="s">
        <v>89</v>
      </c>
      <c r="WWY5" s="394" t="s">
        <v>89</v>
      </c>
      <c r="WWZ5" s="394" t="s">
        <v>89</v>
      </c>
      <c r="WXA5" s="394" t="s">
        <v>89</v>
      </c>
      <c r="WXB5" s="394" t="s">
        <v>89</v>
      </c>
      <c r="WXC5" s="394" t="s">
        <v>89</v>
      </c>
      <c r="WXD5" s="394" t="s">
        <v>89</v>
      </c>
      <c r="WXE5" s="394" t="s">
        <v>89</v>
      </c>
      <c r="WXF5" s="394" t="s">
        <v>89</v>
      </c>
      <c r="WXG5" s="394" t="s">
        <v>89</v>
      </c>
      <c r="WXH5" s="394" t="s">
        <v>89</v>
      </c>
      <c r="WXI5" s="394" t="s">
        <v>89</v>
      </c>
      <c r="WXJ5" s="394" t="s">
        <v>89</v>
      </c>
      <c r="WXK5" s="394" t="s">
        <v>89</v>
      </c>
      <c r="WXL5" s="394" t="s">
        <v>89</v>
      </c>
      <c r="WXM5" s="394" t="s">
        <v>89</v>
      </c>
      <c r="WXN5" s="394" t="s">
        <v>89</v>
      </c>
      <c r="WXO5" s="394" t="s">
        <v>89</v>
      </c>
      <c r="WXP5" s="394" t="s">
        <v>89</v>
      </c>
      <c r="WXQ5" s="394" t="s">
        <v>89</v>
      </c>
      <c r="WXR5" s="394" t="s">
        <v>89</v>
      </c>
      <c r="WXS5" s="394" t="s">
        <v>89</v>
      </c>
      <c r="WXT5" s="394" t="s">
        <v>89</v>
      </c>
      <c r="WXU5" s="394" t="s">
        <v>89</v>
      </c>
      <c r="WXV5" s="394" t="s">
        <v>89</v>
      </c>
      <c r="WXW5" s="394" t="s">
        <v>89</v>
      </c>
      <c r="WXX5" s="394" t="s">
        <v>89</v>
      </c>
      <c r="WXY5" s="394" t="s">
        <v>89</v>
      </c>
      <c r="WXZ5" s="394" t="s">
        <v>89</v>
      </c>
      <c r="WYA5" s="394" t="s">
        <v>89</v>
      </c>
      <c r="WYB5" s="394" t="s">
        <v>89</v>
      </c>
      <c r="WYC5" s="394" t="s">
        <v>89</v>
      </c>
      <c r="WYD5" s="394" t="s">
        <v>89</v>
      </c>
      <c r="WYE5" s="394" t="s">
        <v>89</v>
      </c>
      <c r="WYF5" s="394" t="s">
        <v>89</v>
      </c>
      <c r="WYG5" s="394" t="s">
        <v>89</v>
      </c>
      <c r="WYH5" s="394" t="s">
        <v>89</v>
      </c>
      <c r="WYI5" s="394" t="s">
        <v>89</v>
      </c>
      <c r="WYJ5" s="394" t="s">
        <v>89</v>
      </c>
      <c r="WYK5" s="394" t="s">
        <v>89</v>
      </c>
      <c r="WYL5" s="394" t="s">
        <v>89</v>
      </c>
      <c r="WYM5" s="394" t="s">
        <v>89</v>
      </c>
      <c r="WYN5" s="394" t="s">
        <v>89</v>
      </c>
      <c r="WYO5" s="394" t="s">
        <v>89</v>
      </c>
      <c r="WYP5" s="394" t="s">
        <v>89</v>
      </c>
      <c r="WYQ5" s="394" t="s">
        <v>89</v>
      </c>
      <c r="WYR5" s="394" t="s">
        <v>89</v>
      </c>
      <c r="WYS5" s="394" t="s">
        <v>89</v>
      </c>
      <c r="WYT5" s="394" t="s">
        <v>89</v>
      </c>
      <c r="WYU5" s="394" t="s">
        <v>89</v>
      </c>
      <c r="WYV5" s="394" t="s">
        <v>89</v>
      </c>
      <c r="WYW5" s="394" t="s">
        <v>89</v>
      </c>
      <c r="WYX5" s="394" t="s">
        <v>89</v>
      </c>
      <c r="WYY5" s="394" t="s">
        <v>89</v>
      </c>
      <c r="WYZ5" s="394" t="s">
        <v>89</v>
      </c>
      <c r="WZA5" s="394" t="s">
        <v>89</v>
      </c>
      <c r="WZB5" s="394" t="s">
        <v>89</v>
      </c>
      <c r="WZC5" s="394" t="s">
        <v>89</v>
      </c>
      <c r="WZD5" s="394" t="s">
        <v>89</v>
      </c>
      <c r="WZE5" s="394" t="s">
        <v>89</v>
      </c>
      <c r="WZF5" s="394" t="s">
        <v>89</v>
      </c>
      <c r="WZG5" s="394" t="s">
        <v>89</v>
      </c>
      <c r="WZH5" s="394" t="s">
        <v>89</v>
      </c>
      <c r="WZI5" s="394" t="s">
        <v>89</v>
      </c>
      <c r="WZJ5" s="394" t="s">
        <v>89</v>
      </c>
      <c r="WZK5" s="394" t="s">
        <v>89</v>
      </c>
      <c r="WZL5" s="394" t="s">
        <v>89</v>
      </c>
      <c r="WZM5" s="394" t="s">
        <v>89</v>
      </c>
      <c r="WZN5" s="394" t="s">
        <v>89</v>
      </c>
      <c r="WZO5" s="394" t="s">
        <v>89</v>
      </c>
      <c r="WZP5" s="394" t="s">
        <v>89</v>
      </c>
      <c r="WZQ5" s="394" t="s">
        <v>89</v>
      </c>
      <c r="WZR5" s="394" t="s">
        <v>89</v>
      </c>
      <c r="WZS5" s="394" t="s">
        <v>89</v>
      </c>
      <c r="WZT5" s="394" t="s">
        <v>89</v>
      </c>
      <c r="WZU5" s="394" t="s">
        <v>89</v>
      </c>
      <c r="WZV5" s="394" t="s">
        <v>89</v>
      </c>
      <c r="WZW5" s="394" t="s">
        <v>89</v>
      </c>
      <c r="WZX5" s="394" t="s">
        <v>89</v>
      </c>
      <c r="WZY5" s="394" t="s">
        <v>89</v>
      </c>
      <c r="WZZ5" s="394" t="s">
        <v>89</v>
      </c>
      <c r="XAA5" s="394" t="s">
        <v>89</v>
      </c>
      <c r="XAB5" s="394" t="s">
        <v>89</v>
      </c>
      <c r="XAC5" s="394" t="s">
        <v>89</v>
      </c>
      <c r="XAD5" s="394" t="s">
        <v>89</v>
      </c>
      <c r="XAE5" s="394" t="s">
        <v>89</v>
      </c>
      <c r="XAF5" s="394" t="s">
        <v>89</v>
      </c>
      <c r="XAG5" s="394" t="s">
        <v>89</v>
      </c>
      <c r="XAH5" s="394" t="s">
        <v>89</v>
      </c>
      <c r="XAI5" s="394" t="s">
        <v>89</v>
      </c>
      <c r="XAJ5" s="394" t="s">
        <v>89</v>
      </c>
      <c r="XAK5" s="394" t="s">
        <v>89</v>
      </c>
      <c r="XAL5" s="394" t="s">
        <v>89</v>
      </c>
      <c r="XAM5" s="394" t="s">
        <v>89</v>
      </c>
      <c r="XAN5" s="394" t="s">
        <v>89</v>
      </c>
      <c r="XAO5" s="394" t="s">
        <v>89</v>
      </c>
      <c r="XAP5" s="394" t="s">
        <v>89</v>
      </c>
      <c r="XAQ5" s="394" t="s">
        <v>89</v>
      </c>
      <c r="XAR5" s="394" t="s">
        <v>89</v>
      </c>
      <c r="XAS5" s="394" t="s">
        <v>89</v>
      </c>
      <c r="XAT5" s="394" t="s">
        <v>89</v>
      </c>
      <c r="XAU5" s="394" t="s">
        <v>89</v>
      </c>
      <c r="XAV5" s="394" t="s">
        <v>89</v>
      </c>
      <c r="XAW5" s="394" t="s">
        <v>89</v>
      </c>
      <c r="XAX5" s="394" t="s">
        <v>89</v>
      </c>
      <c r="XAY5" s="394" t="s">
        <v>89</v>
      </c>
      <c r="XAZ5" s="394" t="s">
        <v>89</v>
      </c>
      <c r="XBA5" s="394" t="s">
        <v>89</v>
      </c>
      <c r="XBB5" s="394" t="s">
        <v>89</v>
      </c>
      <c r="XBC5" s="394" t="s">
        <v>89</v>
      </c>
      <c r="XBD5" s="394" t="s">
        <v>89</v>
      </c>
      <c r="XBE5" s="394" t="s">
        <v>89</v>
      </c>
      <c r="XBF5" s="394" t="s">
        <v>89</v>
      </c>
      <c r="XBG5" s="394" t="s">
        <v>89</v>
      </c>
      <c r="XBH5" s="394" t="s">
        <v>89</v>
      </c>
      <c r="XBI5" s="394" t="s">
        <v>89</v>
      </c>
      <c r="XBJ5" s="394" t="s">
        <v>89</v>
      </c>
      <c r="XBK5" s="394" t="s">
        <v>89</v>
      </c>
      <c r="XBL5" s="394" t="s">
        <v>89</v>
      </c>
      <c r="XBM5" s="394" t="s">
        <v>89</v>
      </c>
      <c r="XBN5" s="394" t="s">
        <v>89</v>
      </c>
      <c r="XBO5" s="394" t="s">
        <v>89</v>
      </c>
      <c r="XBP5" s="394" t="s">
        <v>89</v>
      </c>
      <c r="XBQ5" s="394" t="s">
        <v>89</v>
      </c>
      <c r="XBR5" s="394" t="s">
        <v>89</v>
      </c>
      <c r="XBS5" s="394" t="s">
        <v>89</v>
      </c>
      <c r="XBT5" s="394" t="s">
        <v>89</v>
      </c>
      <c r="XBU5" s="394" t="s">
        <v>89</v>
      </c>
      <c r="XBV5" s="394" t="s">
        <v>89</v>
      </c>
      <c r="XBW5" s="394" t="s">
        <v>89</v>
      </c>
      <c r="XBX5" s="394" t="s">
        <v>89</v>
      </c>
      <c r="XBY5" s="394" t="s">
        <v>89</v>
      </c>
      <c r="XBZ5" s="394" t="s">
        <v>89</v>
      </c>
      <c r="XCA5" s="394" t="s">
        <v>89</v>
      </c>
      <c r="XCB5" s="394" t="s">
        <v>89</v>
      </c>
      <c r="XCC5" s="394" t="s">
        <v>89</v>
      </c>
      <c r="XCD5" s="394" t="s">
        <v>89</v>
      </c>
      <c r="XCE5" s="394" t="s">
        <v>89</v>
      </c>
      <c r="XCF5" s="394" t="s">
        <v>89</v>
      </c>
      <c r="XCG5" s="394" t="s">
        <v>89</v>
      </c>
      <c r="XCH5" s="394" t="s">
        <v>89</v>
      </c>
      <c r="XCI5" s="394" t="s">
        <v>89</v>
      </c>
      <c r="XCJ5" s="394" t="s">
        <v>89</v>
      </c>
      <c r="XCK5" s="394" t="s">
        <v>89</v>
      </c>
      <c r="XCL5" s="394" t="s">
        <v>89</v>
      </c>
      <c r="XCM5" s="394" t="s">
        <v>89</v>
      </c>
      <c r="XCN5" s="394" t="s">
        <v>89</v>
      </c>
      <c r="XCO5" s="394" t="s">
        <v>89</v>
      </c>
      <c r="XCP5" s="394" t="s">
        <v>89</v>
      </c>
      <c r="XCQ5" s="394" t="s">
        <v>89</v>
      </c>
      <c r="XCR5" s="394" t="s">
        <v>89</v>
      </c>
      <c r="XCS5" s="394" t="s">
        <v>89</v>
      </c>
      <c r="XCT5" s="394" t="s">
        <v>89</v>
      </c>
      <c r="XCU5" s="394" t="s">
        <v>89</v>
      </c>
      <c r="XCV5" s="394" t="s">
        <v>89</v>
      </c>
      <c r="XCW5" s="394" t="s">
        <v>89</v>
      </c>
      <c r="XCX5" s="394" t="s">
        <v>89</v>
      </c>
      <c r="XCY5" s="394" t="s">
        <v>89</v>
      </c>
      <c r="XCZ5" s="394" t="s">
        <v>89</v>
      </c>
      <c r="XDA5" s="394" t="s">
        <v>89</v>
      </c>
      <c r="XDB5" s="394" t="s">
        <v>89</v>
      </c>
      <c r="XDC5" s="394" t="s">
        <v>89</v>
      </c>
      <c r="XDD5" s="394" t="s">
        <v>89</v>
      </c>
      <c r="XDE5" s="394" t="s">
        <v>89</v>
      </c>
      <c r="XDF5" s="394" t="s">
        <v>89</v>
      </c>
      <c r="XDG5" s="394" t="s">
        <v>89</v>
      </c>
      <c r="XDH5" s="394" t="s">
        <v>89</v>
      </c>
      <c r="XDI5" s="394" t="s">
        <v>89</v>
      </c>
      <c r="XDJ5" s="394" t="s">
        <v>89</v>
      </c>
      <c r="XDK5" s="394" t="s">
        <v>89</v>
      </c>
      <c r="XDL5" s="394" t="s">
        <v>89</v>
      </c>
      <c r="XDM5" s="394" t="s">
        <v>89</v>
      </c>
      <c r="XDN5" s="394" t="s">
        <v>89</v>
      </c>
      <c r="XDO5" s="394" t="s">
        <v>89</v>
      </c>
      <c r="XDP5" s="394" t="s">
        <v>89</v>
      </c>
      <c r="XDQ5" s="394" t="s">
        <v>89</v>
      </c>
      <c r="XDR5" s="394" t="s">
        <v>89</v>
      </c>
      <c r="XDS5" s="394" t="s">
        <v>89</v>
      </c>
      <c r="XDT5" s="394" t="s">
        <v>89</v>
      </c>
      <c r="XDU5" s="394" t="s">
        <v>89</v>
      </c>
      <c r="XDV5" s="394" t="s">
        <v>89</v>
      </c>
      <c r="XDW5" s="394" t="s">
        <v>89</v>
      </c>
      <c r="XDX5" s="394" t="s">
        <v>89</v>
      </c>
      <c r="XDY5" s="394" t="s">
        <v>89</v>
      </c>
      <c r="XDZ5" s="394" t="s">
        <v>89</v>
      </c>
      <c r="XEA5" s="394" t="s">
        <v>89</v>
      </c>
      <c r="XEB5" s="394" t="s">
        <v>89</v>
      </c>
      <c r="XEC5" s="394" t="s">
        <v>89</v>
      </c>
      <c r="XED5" s="394" t="s">
        <v>89</v>
      </c>
      <c r="XEE5" s="394" t="s">
        <v>89</v>
      </c>
      <c r="XEF5" s="394" t="s">
        <v>89</v>
      </c>
      <c r="XEG5" s="394" t="s">
        <v>89</v>
      </c>
      <c r="XEH5" s="394" t="s">
        <v>89</v>
      </c>
      <c r="XEI5" s="394" t="s">
        <v>89</v>
      </c>
      <c r="XEJ5" s="394" t="s">
        <v>89</v>
      </c>
      <c r="XEK5" s="394" t="s">
        <v>89</v>
      </c>
      <c r="XEL5" s="394" t="s">
        <v>89</v>
      </c>
      <c r="XEM5" s="394" t="s">
        <v>89</v>
      </c>
      <c r="XEN5" s="394" t="s">
        <v>89</v>
      </c>
      <c r="XEO5" s="394" t="s">
        <v>89</v>
      </c>
      <c r="XEP5" s="394" t="s">
        <v>89</v>
      </c>
      <c r="XEQ5" s="394" t="s">
        <v>89</v>
      </c>
      <c r="XER5" s="394" t="s">
        <v>89</v>
      </c>
      <c r="XES5" s="394" t="s">
        <v>89</v>
      </c>
      <c r="XET5" s="394" t="s">
        <v>89</v>
      </c>
      <c r="XEU5" s="394" t="s">
        <v>89</v>
      </c>
      <c r="XEV5" s="394" t="s">
        <v>89</v>
      </c>
      <c r="XEW5" s="394" t="s">
        <v>89</v>
      </c>
      <c r="XEX5" s="394" t="s">
        <v>89</v>
      </c>
      <c r="XEY5" s="394" t="s">
        <v>89</v>
      </c>
      <c r="XEZ5" s="394" t="s">
        <v>89</v>
      </c>
      <c r="XFA5" s="394" t="s">
        <v>89</v>
      </c>
      <c r="XFB5" s="394" t="s">
        <v>89</v>
      </c>
      <c r="XFC5" s="394" t="s">
        <v>89</v>
      </c>
      <c r="XFD5" s="394" t="s">
        <v>89</v>
      </c>
    </row>
    <row r="6" spans="1:16384" s="18" customFormat="1">
      <c r="A6" s="20" t="s">
        <v>19</v>
      </c>
      <c r="B6" s="19">
        <v>44.5</v>
      </c>
      <c r="C6" s="19">
        <v>47</v>
      </c>
      <c r="D6" s="19">
        <v>48.7</v>
      </c>
      <c r="E6" s="19">
        <v>49.6</v>
      </c>
      <c r="F6" s="19">
        <v>50.2</v>
      </c>
    </row>
    <row r="7" spans="1:16384" s="18" customFormat="1">
      <c r="A7" s="20" t="s">
        <v>20</v>
      </c>
      <c r="B7" s="19">
        <v>31.9</v>
      </c>
      <c r="C7" s="19">
        <v>33.700000000000003</v>
      </c>
      <c r="D7" s="19">
        <v>35.299999999999997</v>
      </c>
      <c r="E7" s="19">
        <v>35.700000000000003</v>
      </c>
      <c r="F7" s="19">
        <v>35.9</v>
      </c>
    </row>
    <row r="8" spans="1:16384" s="18" customFormat="1">
      <c r="A8" s="20" t="s">
        <v>22</v>
      </c>
      <c r="B8" s="19">
        <v>27.5</v>
      </c>
      <c r="C8" s="19">
        <v>28.4</v>
      </c>
      <c r="D8" s="19">
        <v>30</v>
      </c>
      <c r="E8" s="19">
        <v>31.1</v>
      </c>
      <c r="F8" s="19">
        <v>32.1</v>
      </c>
    </row>
    <row r="9" spans="1:16384" s="18" customFormat="1">
      <c r="A9" s="20" t="s">
        <v>24</v>
      </c>
      <c r="B9" s="19">
        <v>33.1</v>
      </c>
      <c r="C9" s="19">
        <v>33.799999999999997</v>
      </c>
      <c r="D9" s="19">
        <v>34.299999999999997</v>
      </c>
      <c r="E9" s="19">
        <v>34.700000000000003</v>
      </c>
      <c r="F9" s="19">
        <v>35</v>
      </c>
    </row>
    <row r="10" spans="1:16384" s="18" customFormat="1">
      <c r="A10" s="20" t="s">
        <v>25</v>
      </c>
      <c r="B10" s="19">
        <v>31.6</v>
      </c>
      <c r="C10" s="19">
        <v>33</v>
      </c>
      <c r="D10" s="19">
        <v>34.1</v>
      </c>
      <c r="E10" s="19">
        <v>34.799999999999997</v>
      </c>
      <c r="F10" s="19">
        <v>35</v>
      </c>
    </row>
    <row r="11" spans="1:16384" s="18" customFormat="1">
      <c r="A11" s="20" t="s">
        <v>33</v>
      </c>
      <c r="B11" s="19">
        <v>27.9</v>
      </c>
      <c r="C11" s="19">
        <v>28.5</v>
      </c>
      <c r="D11" s="19">
        <v>28.8</v>
      </c>
      <c r="E11" s="19">
        <v>28.8</v>
      </c>
      <c r="F11" s="19">
        <v>28.6</v>
      </c>
    </row>
    <row r="12" spans="1:16384" s="18" customFormat="1">
      <c r="A12" s="20" t="s">
        <v>26</v>
      </c>
      <c r="B12" s="19">
        <v>35.5</v>
      </c>
      <c r="C12" s="19">
        <v>36.299999999999997</v>
      </c>
      <c r="D12" s="19">
        <v>36.700000000000003</v>
      </c>
      <c r="E12" s="19">
        <v>36.700000000000003</v>
      </c>
      <c r="F12" s="19">
        <v>36.799999999999997</v>
      </c>
    </row>
    <row r="13" spans="1:16384" s="18" customFormat="1">
      <c r="A13" s="20" t="s">
        <v>29</v>
      </c>
      <c r="B13" s="19">
        <v>33</v>
      </c>
      <c r="C13" s="19">
        <v>34.6</v>
      </c>
      <c r="D13" s="19">
        <v>36</v>
      </c>
      <c r="E13" s="19">
        <v>36.6</v>
      </c>
      <c r="F13" s="19">
        <v>36.799999999999997</v>
      </c>
    </row>
    <row r="14" spans="1:16384" s="18" customFormat="1">
      <c r="A14" s="20" t="s">
        <v>30</v>
      </c>
      <c r="B14" s="19">
        <v>28.1</v>
      </c>
      <c r="C14" s="19">
        <v>28.1</v>
      </c>
      <c r="D14" s="19">
        <v>27.4</v>
      </c>
      <c r="E14" s="19">
        <v>27.2</v>
      </c>
      <c r="F14" s="19">
        <v>27.1</v>
      </c>
    </row>
    <row r="15" spans="1:16384" s="18" customFormat="1">
      <c r="A15" s="20" t="s">
        <v>31</v>
      </c>
      <c r="B15" s="19">
        <v>31.2</v>
      </c>
      <c r="C15" s="19">
        <v>32.299999999999997</v>
      </c>
      <c r="D15" s="19">
        <v>33.1</v>
      </c>
      <c r="E15" s="19">
        <v>33.5</v>
      </c>
      <c r="F15" s="19">
        <v>33.700000000000003</v>
      </c>
    </row>
    <row r="16" spans="1:16384" s="18" customFormat="1">
      <c r="A16" s="20" t="s">
        <v>32</v>
      </c>
      <c r="B16" s="19">
        <v>35.799999999999997</v>
      </c>
      <c r="C16" s="19">
        <v>38.299999999999997</v>
      </c>
      <c r="D16" s="19">
        <v>41</v>
      </c>
      <c r="E16" s="19">
        <v>42.3</v>
      </c>
      <c r="F16" s="19">
        <v>42.8</v>
      </c>
    </row>
    <row r="17" spans="1:6">
      <c r="A17" s="20" t="s">
        <v>34</v>
      </c>
      <c r="B17" s="19">
        <v>33.5</v>
      </c>
      <c r="C17" s="19">
        <v>35.4</v>
      </c>
      <c r="D17" s="19">
        <v>37.799999999999997</v>
      </c>
      <c r="E17" s="19">
        <v>38.700000000000003</v>
      </c>
      <c r="F17" s="19">
        <v>39.200000000000003</v>
      </c>
    </row>
    <row r="18" spans="1:6">
      <c r="A18" s="20" t="s">
        <v>36</v>
      </c>
      <c r="B18" s="19">
        <v>31.2</v>
      </c>
      <c r="C18" s="19">
        <v>34.700000000000003</v>
      </c>
      <c r="D18" s="19">
        <v>39.4</v>
      </c>
      <c r="E18" s="19">
        <v>44</v>
      </c>
      <c r="F18" s="19">
        <v>46.2</v>
      </c>
    </row>
    <row r="19" spans="1:6">
      <c r="A19" s="20" t="s">
        <v>39</v>
      </c>
      <c r="B19" s="19">
        <v>30</v>
      </c>
      <c r="C19" s="19">
        <v>31</v>
      </c>
      <c r="D19" s="19">
        <v>32.1</v>
      </c>
      <c r="E19" s="19">
        <v>32.700000000000003</v>
      </c>
      <c r="F19" s="19">
        <v>33</v>
      </c>
    </row>
    <row r="20" spans="1:6">
      <c r="A20" s="20" t="s">
        <v>40</v>
      </c>
      <c r="B20" s="19">
        <v>34.6</v>
      </c>
      <c r="C20" s="19">
        <v>35</v>
      </c>
      <c r="D20" s="19">
        <v>36</v>
      </c>
      <c r="E20" s="19">
        <v>37.9</v>
      </c>
      <c r="F20" s="19">
        <v>39.9</v>
      </c>
    </row>
    <row r="21" spans="1:6">
      <c r="A21" s="20" t="s">
        <v>41</v>
      </c>
      <c r="B21" s="19">
        <v>31.9</v>
      </c>
      <c r="C21" s="19">
        <v>32.299999999999997</v>
      </c>
      <c r="D21" s="19">
        <v>32.799999999999997</v>
      </c>
      <c r="E21" s="19">
        <v>32.9</v>
      </c>
      <c r="F21" s="19">
        <v>33.200000000000003</v>
      </c>
    </row>
    <row r="22" spans="1:6">
      <c r="A22" s="20" t="s">
        <v>42</v>
      </c>
      <c r="B22" s="19">
        <v>33.6</v>
      </c>
      <c r="C22" s="19">
        <v>34.299999999999997</v>
      </c>
      <c r="D22" s="19">
        <v>35.1</v>
      </c>
      <c r="E22" s="19">
        <v>35.700000000000003</v>
      </c>
      <c r="F22" s="19">
        <v>36.200000000000003</v>
      </c>
    </row>
    <row r="23" spans="1:6">
      <c r="A23" s="20" t="s">
        <v>43</v>
      </c>
      <c r="B23" s="19">
        <v>31.7</v>
      </c>
      <c r="C23" s="19">
        <v>33</v>
      </c>
      <c r="D23" s="19">
        <v>34.5</v>
      </c>
      <c r="E23" s="19">
        <v>35.700000000000003</v>
      </c>
      <c r="F23" s="19">
        <v>36.4</v>
      </c>
    </row>
    <row r="24" spans="1:6">
      <c r="A24" s="20" t="s">
        <v>15</v>
      </c>
      <c r="B24" s="19">
        <v>34.4</v>
      </c>
      <c r="C24" s="19">
        <v>35.6</v>
      </c>
      <c r="D24" s="19">
        <v>37.200000000000003</v>
      </c>
      <c r="E24" s="19">
        <v>38.200000000000003</v>
      </c>
      <c r="F24" s="19">
        <v>38.9</v>
      </c>
    </row>
    <row r="25" spans="1:6">
      <c r="A25" s="20" t="s">
        <v>16</v>
      </c>
      <c r="B25" s="19">
        <v>35.5</v>
      </c>
      <c r="C25" s="19">
        <v>36.4</v>
      </c>
      <c r="D25" s="19">
        <v>37.1</v>
      </c>
      <c r="E25" s="19">
        <v>37.5</v>
      </c>
      <c r="F25" s="19">
        <v>37.6</v>
      </c>
    </row>
    <row r="26" spans="1:6">
      <c r="A26" s="20" t="s">
        <v>18</v>
      </c>
      <c r="B26" s="19">
        <v>32.4</v>
      </c>
      <c r="C26" s="19">
        <v>33.799999999999997</v>
      </c>
      <c r="D26" s="19">
        <v>35.799999999999997</v>
      </c>
      <c r="E26" s="19">
        <v>37.1</v>
      </c>
      <c r="F26" s="19">
        <v>37.9</v>
      </c>
    </row>
    <row r="27" spans="1:6">
      <c r="A27" s="20" t="s">
        <v>126</v>
      </c>
      <c r="B27" s="19">
        <v>44.2</v>
      </c>
      <c r="C27" s="19">
        <v>44.9</v>
      </c>
      <c r="D27" s="19">
        <v>46.2</v>
      </c>
      <c r="E27" s="19">
        <v>47.7</v>
      </c>
      <c r="F27" s="19">
        <v>49</v>
      </c>
    </row>
    <row r="28" spans="1:6">
      <c r="A28" s="20" t="s">
        <v>38</v>
      </c>
      <c r="B28" s="19">
        <v>33</v>
      </c>
      <c r="C28" s="19">
        <v>34.5</v>
      </c>
      <c r="D28" s="19">
        <v>35.6</v>
      </c>
      <c r="E28" s="19">
        <v>36.6</v>
      </c>
      <c r="F28" s="19">
        <v>37</v>
      </c>
    </row>
    <row r="29" spans="1:6">
      <c r="A29" s="20" t="s">
        <v>44</v>
      </c>
      <c r="B29" s="19">
        <v>35.799999999999997</v>
      </c>
      <c r="C29" s="19">
        <v>36.5</v>
      </c>
      <c r="D29" s="19">
        <v>36.700000000000003</v>
      </c>
      <c r="E29" s="19">
        <v>36.299999999999997</v>
      </c>
      <c r="F29" s="19">
        <v>36.1</v>
      </c>
    </row>
    <row r="30" spans="1:6">
      <c r="A30" s="20" t="s">
        <v>45</v>
      </c>
      <c r="B30" s="19">
        <v>35</v>
      </c>
      <c r="C30" s="19">
        <v>36.299999999999997</v>
      </c>
      <c r="D30" s="19">
        <v>38.4</v>
      </c>
      <c r="E30" s="19">
        <v>40.200000000000003</v>
      </c>
      <c r="F30" s="19">
        <v>41.6</v>
      </c>
    </row>
    <row r="31" spans="1:6">
      <c r="A31" s="20" t="s">
        <v>17</v>
      </c>
      <c r="B31" s="19">
        <v>32.1</v>
      </c>
      <c r="C31" s="19">
        <v>34.700000000000003</v>
      </c>
      <c r="D31" s="19">
        <v>37</v>
      </c>
      <c r="E31" s="19">
        <v>38.5</v>
      </c>
      <c r="F31" s="19">
        <v>39</v>
      </c>
    </row>
    <row r="32" spans="1:6">
      <c r="A32" s="20" t="s">
        <v>21</v>
      </c>
      <c r="B32" s="19">
        <v>30.2</v>
      </c>
      <c r="C32" s="19">
        <v>31.4</v>
      </c>
      <c r="D32" s="19">
        <v>32.200000000000003</v>
      </c>
      <c r="E32" s="19">
        <v>32.4</v>
      </c>
      <c r="F32" s="19">
        <v>32.5</v>
      </c>
    </row>
    <row r="33" spans="1:6">
      <c r="A33" s="20" t="s">
        <v>23</v>
      </c>
      <c r="B33" s="19">
        <v>31.6</v>
      </c>
      <c r="C33" s="19">
        <v>32.6</v>
      </c>
      <c r="D33" s="19">
        <v>33.799999999999997</v>
      </c>
      <c r="E33" s="19">
        <v>34.5</v>
      </c>
      <c r="F33" s="19">
        <v>35.1</v>
      </c>
    </row>
    <row r="34" spans="1:6">
      <c r="A34" s="20" t="s">
        <v>27</v>
      </c>
      <c r="B34" s="19">
        <v>34</v>
      </c>
      <c r="C34" s="19">
        <v>35.299999999999997</v>
      </c>
      <c r="D34" s="19">
        <v>36.299999999999997</v>
      </c>
      <c r="E34" s="19">
        <v>36.299999999999997</v>
      </c>
      <c r="F34" s="19">
        <v>36.299999999999997</v>
      </c>
    </row>
    <row r="35" spans="1:6">
      <c r="A35" s="20" t="s">
        <v>37</v>
      </c>
      <c r="B35" s="19">
        <v>37.799999999999997</v>
      </c>
      <c r="C35" s="19">
        <v>38.200000000000003</v>
      </c>
      <c r="D35" s="19">
        <v>38.700000000000003</v>
      </c>
      <c r="E35" s="19">
        <v>38.6</v>
      </c>
      <c r="F35" s="19">
        <v>38.700000000000003</v>
      </c>
    </row>
    <row r="36" spans="1:6">
      <c r="A36" s="20" t="s">
        <v>28</v>
      </c>
      <c r="B36" s="19">
        <v>31.4</v>
      </c>
      <c r="C36" s="19">
        <v>32.6</v>
      </c>
      <c r="D36" s="19">
        <v>34.200000000000003</v>
      </c>
      <c r="E36" s="19">
        <v>35.299999999999997</v>
      </c>
      <c r="F36" s="19">
        <v>36</v>
      </c>
    </row>
    <row r="37" spans="1:6">
      <c r="A37" s="20" t="s">
        <v>35</v>
      </c>
      <c r="B37" s="19">
        <v>35.799999999999997</v>
      </c>
      <c r="C37" s="19">
        <v>37.5</v>
      </c>
      <c r="D37" s="19">
        <v>38.9</v>
      </c>
      <c r="E37" s="19">
        <v>40.1</v>
      </c>
      <c r="F37" s="19">
        <v>40.700000000000003</v>
      </c>
    </row>
    <row r="38" spans="1:6">
      <c r="A38" s="20"/>
      <c r="B38" s="19"/>
      <c r="C38" s="19"/>
      <c r="D38" s="19"/>
    </row>
    <row r="39" spans="1:6">
      <c r="A39" s="20" t="s">
        <v>48</v>
      </c>
      <c r="B39" s="395">
        <v>32.479999999999997</v>
      </c>
      <c r="C39" s="395">
        <v>33.520000000000003</v>
      </c>
      <c r="D39" s="19">
        <v>34.36</v>
      </c>
      <c r="E39" s="18">
        <v>34.79</v>
      </c>
      <c r="F39" s="18">
        <v>36.5</v>
      </c>
    </row>
    <row r="40" spans="1:6">
      <c r="A40" s="10" t="s">
        <v>156</v>
      </c>
      <c r="B40" s="19">
        <f>AVERAGE(B24:B25)</f>
        <v>34.950000000000003</v>
      </c>
      <c r="C40" s="19">
        <f>AVERAGE(C24:C25)</f>
        <v>36</v>
      </c>
      <c r="D40" s="19">
        <f>AVERAGE(D24:D25)</f>
        <v>37.150000000000006</v>
      </c>
      <c r="E40" s="19">
        <f>AVERAGE(E24:E25)</f>
        <v>37.85</v>
      </c>
      <c r="F40" s="19">
        <f>AVERAGE(F24:F25)</f>
        <v>38.25</v>
      </c>
    </row>
    <row r="41" spans="1:6" s="15" customFormat="1" ht="12.75">
      <c r="A41" s="10" t="s">
        <v>359</v>
      </c>
      <c r="B41" s="15">
        <f t="shared" ref="B41:C41" si="0">AVERAGE(B23,B12,B6)</f>
        <v>37.233333333333334</v>
      </c>
      <c r="C41" s="15">
        <f t="shared" si="0"/>
        <v>38.766666666666666</v>
      </c>
      <c r="D41" s="15">
        <f>AVERAGE(D23,D12,D6)</f>
        <v>39.966666666666669</v>
      </c>
      <c r="E41" s="15">
        <f t="shared" ref="E41:F41" si="1">AVERAGE(E23,E12,E6)</f>
        <v>40.666666666666664</v>
      </c>
      <c r="F41" s="15">
        <f t="shared" si="1"/>
        <v>41.133333333333333</v>
      </c>
    </row>
    <row r="42" spans="1:6" s="19" customFormat="1" ht="12.75">
      <c r="A42" s="10" t="s">
        <v>157</v>
      </c>
      <c r="B42" s="19">
        <f>AVERAGE(B34,B30,B27,B19,B15,B9)</f>
        <v>34.583333333333329</v>
      </c>
      <c r="C42" s="19">
        <f>AVERAGE(C34,C30,C27,C19,C15,C9)</f>
        <v>35.6</v>
      </c>
      <c r="D42" s="19">
        <f>AVERAGE(D34,D30,D27,D19,D15,D9)</f>
        <v>36.733333333333327</v>
      </c>
      <c r="E42" s="19">
        <f t="shared" ref="E42:F42" si="2">AVERAGE(E34,E30,E27,E19,E15,E9)</f>
        <v>37.516666666666673</v>
      </c>
      <c r="F42" s="19">
        <f t="shared" si="2"/>
        <v>38.1</v>
      </c>
    </row>
    <row r="43" spans="1:6">
      <c r="A43" s="10" t="s">
        <v>158</v>
      </c>
      <c r="B43" s="19">
        <f>AVERAGE(B34,B31,B35,B32)</f>
        <v>33.524999999999999</v>
      </c>
      <c r="C43" s="19">
        <f>AVERAGE(C34,C31,C35,C32)</f>
        <v>34.9</v>
      </c>
      <c r="D43" s="19">
        <f>AVERAGE(D34,D31,D35,D32)</f>
        <v>36.049999999999997</v>
      </c>
      <c r="E43" s="19">
        <f>AVERAGE(E34,E31,E35,E32)</f>
        <v>36.450000000000003</v>
      </c>
      <c r="F43" s="19">
        <f>AVERAGE(F34,F31,F35,F32)</f>
        <v>36.625</v>
      </c>
    </row>
    <row r="44" spans="1:6">
      <c r="A44" s="10" t="s">
        <v>246</v>
      </c>
      <c r="B44" s="298">
        <f>AVERAGE(AVERAGEIFS(B$6:B$37,$A$6:$A$37,{"Na h-Eileanan Siar","Argyll and Bute","Shetland Islands","Highland","Orkney Islands","Scottish Borders","Dumfries and Galloway","Aberdeenshire"}))</f>
        <v>32.0625</v>
      </c>
      <c r="C44" s="298">
        <f>AVERAGE(AVERAGEIFS(C$6:C$37,$A$6:$A$37,{"Na h-Eileanan Siar","Argyll and Bute","Shetland Islands","Highland","Orkney Islands","Scottish Borders","Dumfries and Galloway","Aberdeenshire"}))</f>
        <v>33.462499999999999</v>
      </c>
      <c r="D44" s="298">
        <f>AVERAGE(AVERAGEIFS(D$6:D$37,$A$6:$A$37,{"Na h-Eileanan Siar","Argyll and Bute","Shetland Islands","Highland","Orkney Islands","Scottish Borders","Dumfries and Galloway","Aberdeenshire"}))</f>
        <v>35.0625</v>
      </c>
      <c r="E44" s="298">
        <f>AVERAGE(AVERAGEIFS(E$6:E$37,$A$6:$A$37,{"Na h-Eileanan Siar","Argyll and Bute","Shetland Islands","Highland","Orkney Islands","Scottish Borders","Dumfries and Galloway","Aberdeenshire"}))</f>
        <v>36.287500000000001</v>
      </c>
      <c r="F44" s="298">
        <f>AVERAGE(AVERAGEIFS(F$6:F$37,$A$6:$A$37,{"Na h-Eileanan Siar","Argyll and Bute","Shetland Islands","Highland","Orkney Islands","Scottish Borders","Dumfries and Galloway","Aberdeenshire"}))</f>
        <v>36.987499999999997</v>
      </c>
    </row>
    <row r="45" spans="1:6">
      <c r="A45" s="10" t="s">
        <v>247</v>
      </c>
      <c r="B45" s="298">
        <f>AVERAGE(AVERAGEIFS(B$6:B$37,$A$6:$A$37,{"Perth and Kinross","Stirling","Moray","South Ayrshire","East Ayrshire","East Lothian","North Ayrshire","Fife"}))</f>
        <v>33.162499999999994</v>
      </c>
      <c r="C45" s="298">
        <f>AVERAGE(AVERAGEIFS(C$6:C$37,$A$6:$A$37,{"Perth and Kinross","Stirling","Moray","South Ayrshire","East Ayrshire","East Lothian","North Ayrshire","Fife"}))</f>
        <v>34.337499999999999</v>
      </c>
      <c r="D45" s="298">
        <f>AVERAGE(AVERAGEIFS(D$6:D$37,$A$6:$A$37,{"Perth and Kinross","Stirling","Moray","South Ayrshire","East Ayrshire","East Lothian","North Ayrshire","Fife"}))</f>
        <v>35.675000000000004</v>
      </c>
      <c r="E45" s="298">
        <f>AVERAGE(AVERAGEIFS(E$6:E$37,$A$6:$A$37,{"Perth and Kinross","Stirling","Moray","South Ayrshire","East Ayrshire","East Lothian","North Ayrshire","Fife"}))</f>
        <v>36.287500000000001</v>
      </c>
      <c r="F45" s="298">
        <f>AVERAGE(AVERAGEIFS(F$6:F$37,$A$6:$A$37,{"Perth and Kinross","Stirling","Moray","South Ayrshire","East Ayrshire","East Lothian","North Ayrshire","Fife"}))</f>
        <v>36.712499999999999</v>
      </c>
    </row>
    <row r="46" spans="1:6">
      <c r="A46" s="10" t="s">
        <v>248</v>
      </c>
      <c r="B46" s="298">
        <f>AVERAGE(AVERAGEIFS(B$6:B$37,$A$6:$A$37,{"Angus","Clackmannanshire","Midlothian","South Lanarkshire","Inverclyde","Renfrewshire","West Lothian","East Renfrewshire"}))</f>
        <v>33.637500000000003</v>
      </c>
      <c r="C46" s="298">
        <f>AVERAGE(AVERAGEIFS(C$6:C$37,$A$6:$A$37,{"Angus","Clackmannanshire","Midlothian","South Lanarkshire","Inverclyde","Renfrewshire","West Lothian","East Renfrewshire"}))</f>
        <v>35.024999999999999</v>
      </c>
      <c r="D46" s="298">
        <f>AVERAGE(AVERAGEIFS(D$6:D$37,$A$6:$A$37,{"Angus","Clackmannanshire","Midlothian","South Lanarkshire","Inverclyde","Renfrewshire","West Lothian","East Renfrewshire"}))</f>
        <v>36.175000000000004</v>
      </c>
      <c r="E46" s="298">
        <f>AVERAGE(AVERAGEIFS(E$6:E$37,$A$6:$A$37,{"Angus","Clackmannanshire","Midlothian","South Lanarkshire","Inverclyde","Renfrewshire","West Lothian","East Renfrewshire"}))</f>
        <v>37.012500000000003</v>
      </c>
      <c r="F46" s="298">
        <f>AVERAGE(AVERAGEIFS(F$6:F$37,$A$6:$A$37,{"Angus","Clackmannanshire","Midlothian","South Lanarkshire","Inverclyde","Renfrewshire","West Lothian","East Renfrewshire"}))</f>
        <v>37.475000000000001</v>
      </c>
    </row>
    <row r="47" spans="1:6">
      <c r="A47" s="10" t="s">
        <v>249</v>
      </c>
      <c r="B47" s="298">
        <f>AVERAGE(AVERAGEIFS(B$6:B$37,$A$6:$A$37,{"North Lanarkshire","Falkirk","East Dunbartonshire","Aberdeen City","Edinburgh, City of","West Dunbartonshire","Dundee City","Glasgow City"}))</f>
        <v>34.862499999999997</v>
      </c>
      <c r="C47" s="298">
        <f>AVERAGE(AVERAGEIFS(C$6:C$37,$A$6:$A$37,{"North Lanarkshire","Falkirk","East Dunbartonshire","Aberdeen City","Edinburgh, City of","West Dunbartonshire","Dundee City","Glasgow City"}))</f>
        <v>35.925000000000004</v>
      </c>
      <c r="D47" s="298">
        <f>AVERAGE(AVERAGEIFS(D$6:D$37,$A$6:$A$37,{"North Lanarkshire","Falkirk","East Dunbartonshire","Aberdeen City","Edinburgh, City of","West Dunbartonshire","Dundee City","Glasgow City"}))</f>
        <v>36.987499999999997</v>
      </c>
      <c r="E47" s="298">
        <f>AVERAGE(AVERAGEIFS(E$6:E$37,$A$6:$A$37,{"North Lanarkshire","Falkirk","East Dunbartonshire","Aberdeen City","Edinburgh, City of","West Dunbartonshire","Dundee City","Glasgow City"}))</f>
        <v>37.65</v>
      </c>
      <c r="F47" s="298">
        <f>AVERAGE(AVERAGEIFS(F$6:F$37,$A$6:$A$37,{"North Lanarkshire","Falkirk","East Dunbartonshire","Aberdeen City","Edinburgh, City of","West Dunbartonshire","Dundee City","Glasgow City"}))</f>
        <v>38.137500000000003</v>
      </c>
    </row>
    <row r="48" spans="1:6">
      <c r="A48" s="20" t="s">
        <v>46</v>
      </c>
      <c r="B48" s="19">
        <v>34.89</v>
      </c>
      <c r="C48" s="19">
        <v>36.06</v>
      </c>
      <c r="D48" s="19">
        <v>36.869999999999997</v>
      </c>
      <c r="E48" s="18">
        <v>36.950000000000003</v>
      </c>
      <c r="F48" s="18">
        <v>38.5</v>
      </c>
    </row>
    <row r="49" spans="1:6">
      <c r="A49" s="20" t="s">
        <v>47</v>
      </c>
      <c r="B49" s="19">
        <v>35.85</v>
      </c>
      <c r="C49" s="19">
        <v>36.950000000000003</v>
      </c>
      <c r="D49" s="19">
        <v>37.729999999999997</v>
      </c>
      <c r="E49" s="18">
        <v>38.33</v>
      </c>
      <c r="F49" s="18">
        <v>39.700000000000003</v>
      </c>
    </row>
    <row r="50" spans="1:6"/>
    <row r="51" spans="1:6"/>
    <row r="52" spans="1:6"/>
    <row r="53" spans="1:6"/>
    <row r="54" spans="1:6"/>
    <row r="55" spans="1:6"/>
    <row r="56" spans="1:6"/>
    <row r="57" spans="1:6"/>
    <row r="308"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sheetData>
  <conditionalFormatting sqref="B39:E39">
    <cfRule type="expression" dxfId="7" priority="1">
      <formula>$A39="Other"</formula>
    </cfRule>
    <cfRule type="expression" dxfId="6" priority="2">
      <formula>$A39="UK"</formula>
    </cfRule>
    <cfRule type="expression" dxfId="5" priority="3">
      <formula>$A39="NUTS2"</formula>
    </cfRule>
    <cfRule type="expression" dxfId="4" priority="4">
      <formula>$A39="NUTS1"</formula>
    </cfRule>
  </conditionalFormatting>
  <conditionalFormatting sqref="G42:XFD42 B42:E49 B40:F40 F42:F47 B38:E38 B6:F37">
    <cfRule type="expression" dxfId="3" priority="5">
      <formula>#REF!="Other"</formula>
    </cfRule>
    <cfRule type="expression" dxfId="2" priority="6">
      <formula>#REF!="UK"</formula>
    </cfRule>
    <cfRule type="expression" dxfId="1" priority="7">
      <formula>#REF!="NUTS2"</formula>
    </cfRule>
    <cfRule type="expression" dxfId="0" priority="8">
      <formula>#REF!="NUTS1"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autoPageBreaks="0"/>
  </sheetPr>
  <dimension ref="B3:U59"/>
  <sheetViews>
    <sheetView topLeftCell="A18" zoomScale="90" zoomScaleNormal="90" workbookViewId="0">
      <selection activeCell="N16" sqref="N16"/>
    </sheetView>
  </sheetViews>
  <sheetFormatPr defaultRowHeight="15"/>
  <sheetData>
    <row r="3" spans="2:21" ht="38.25">
      <c r="B3" s="9"/>
      <c r="F3" s="78" t="s">
        <v>23</v>
      </c>
      <c r="Q3" t="s">
        <v>156</v>
      </c>
    </row>
    <row r="4" spans="2:21" ht="38.25">
      <c r="B4" s="9"/>
      <c r="F4" s="78" t="s">
        <v>25</v>
      </c>
      <c r="I4" t="s">
        <v>209</v>
      </c>
      <c r="Q4" t="s">
        <v>157</v>
      </c>
    </row>
    <row r="5" spans="2:21" ht="25.5">
      <c r="B5" s="9"/>
      <c r="F5" s="78" t="s">
        <v>28</v>
      </c>
      <c r="I5" t="s">
        <v>212</v>
      </c>
      <c r="Q5" t="s">
        <v>359</v>
      </c>
      <c r="T5" t="s">
        <v>259</v>
      </c>
    </row>
    <row r="6" spans="2:21">
      <c r="B6" s="9"/>
      <c r="F6" s="78" t="s">
        <v>30</v>
      </c>
      <c r="Q6" t="s">
        <v>48</v>
      </c>
      <c r="T6" t="s">
        <v>260</v>
      </c>
    </row>
    <row r="7" spans="2:21" ht="38.25">
      <c r="B7" s="97"/>
      <c r="F7" s="78" t="s">
        <v>35</v>
      </c>
      <c r="Q7" t="s">
        <v>158</v>
      </c>
      <c r="T7" t="s">
        <v>261</v>
      </c>
    </row>
    <row r="8" spans="2:21" ht="25.5">
      <c r="B8" s="9"/>
      <c r="F8" s="78" t="s">
        <v>38</v>
      </c>
      <c r="I8" s="90">
        <v>0.02</v>
      </c>
    </row>
    <row r="9" spans="2:21" ht="38.25">
      <c r="B9" s="9" t="s">
        <v>52</v>
      </c>
      <c r="C9" s="9" t="s">
        <v>52</v>
      </c>
      <c r="F9" s="78" t="s">
        <v>42</v>
      </c>
      <c r="I9" s="90">
        <v>0.05</v>
      </c>
      <c r="R9" t="s">
        <v>246</v>
      </c>
      <c r="S9" t="s">
        <v>247</v>
      </c>
      <c r="T9" t="s">
        <v>248</v>
      </c>
      <c r="U9" t="s">
        <v>249</v>
      </c>
    </row>
    <row r="10" spans="2:21" ht="38.25">
      <c r="B10" s="9" t="s">
        <v>276</v>
      </c>
      <c r="C10" s="9" t="s">
        <v>276</v>
      </c>
      <c r="F10" s="78" t="s">
        <v>44</v>
      </c>
      <c r="I10" s="90">
        <v>0.1</v>
      </c>
    </row>
    <row r="11" spans="2:21" ht="38.25">
      <c r="B11" s="97" t="s">
        <v>281</v>
      </c>
      <c r="C11" s="97" t="s">
        <v>281</v>
      </c>
      <c r="F11" s="91" t="s">
        <v>235</v>
      </c>
      <c r="I11" s="90">
        <v>0.15</v>
      </c>
      <c r="N11" s="9" t="s">
        <v>52</v>
      </c>
    </row>
    <row r="12" spans="2:21">
      <c r="B12" s="9" t="s">
        <v>46</v>
      </c>
      <c r="C12" s="9" t="s">
        <v>46</v>
      </c>
      <c r="I12" s="90">
        <v>0.2</v>
      </c>
      <c r="N12" s="9" t="s">
        <v>276</v>
      </c>
    </row>
    <row r="13" spans="2:21">
      <c r="B13" s="9" t="s">
        <v>47</v>
      </c>
      <c r="C13" s="9" t="s">
        <v>173</v>
      </c>
      <c r="I13" s="90">
        <v>0.25</v>
      </c>
      <c r="N13" s="97" t="s">
        <v>246</v>
      </c>
    </row>
    <row r="14" spans="2:21" ht="38.25">
      <c r="F14" s="78" t="s">
        <v>35</v>
      </c>
      <c r="N14" s="97" t="s">
        <v>247</v>
      </c>
    </row>
    <row r="15" spans="2:21" ht="60">
      <c r="B15" s="94" t="s">
        <v>52</v>
      </c>
      <c r="F15" s="78" t="s">
        <v>42</v>
      </c>
      <c r="N15" s="97" t="s">
        <v>248</v>
      </c>
    </row>
    <row r="16" spans="2:21" ht="48">
      <c r="B16" s="94" t="s">
        <v>281</v>
      </c>
      <c r="F16" s="91" t="s">
        <v>235</v>
      </c>
      <c r="N16" s="97" t="s">
        <v>249</v>
      </c>
    </row>
    <row r="17" spans="2:16">
      <c r="B17" s="93" t="s">
        <v>46</v>
      </c>
      <c r="N17" s="9" t="s">
        <v>46</v>
      </c>
    </row>
    <row r="18" spans="2:16">
      <c r="B18" s="93" t="s">
        <v>47</v>
      </c>
      <c r="N18" s="9" t="s">
        <v>47</v>
      </c>
    </row>
    <row r="25" spans="2:16">
      <c r="B25" t="s">
        <v>277</v>
      </c>
      <c r="I25" t="s">
        <v>278</v>
      </c>
    </row>
    <row r="27" spans="2:16" ht="15.75" thickBot="1">
      <c r="B27" t="s">
        <v>242</v>
      </c>
      <c r="C27" t="s">
        <v>243</v>
      </c>
      <c r="D27" t="s">
        <v>244</v>
      </c>
      <c r="E27" t="s">
        <v>245</v>
      </c>
      <c r="I27" t="s">
        <v>242</v>
      </c>
      <c r="J27" t="s">
        <v>243</v>
      </c>
      <c r="K27" t="s">
        <v>244</v>
      </c>
      <c r="L27" t="s">
        <v>245</v>
      </c>
    </row>
    <row r="28" spans="2:16" ht="18">
      <c r="B28" s="96" t="s">
        <v>25</v>
      </c>
      <c r="C28" s="96" t="s">
        <v>32</v>
      </c>
      <c r="D28" s="96" t="s">
        <v>26</v>
      </c>
      <c r="E28" s="6" t="s">
        <v>33</v>
      </c>
      <c r="I28" t="s">
        <v>33</v>
      </c>
      <c r="J28" s="114" t="s">
        <v>37</v>
      </c>
      <c r="K28" s="114" t="s">
        <v>17</v>
      </c>
      <c r="L28" s="116" t="s">
        <v>35</v>
      </c>
      <c r="P28" t="s">
        <v>15</v>
      </c>
    </row>
    <row r="29" spans="2:16" ht="18">
      <c r="B29" s="96" t="s">
        <v>23</v>
      </c>
      <c r="C29" s="96" t="s">
        <v>43</v>
      </c>
      <c r="D29" s="96" t="s">
        <v>20</v>
      </c>
      <c r="E29" s="96" t="s">
        <v>21</v>
      </c>
      <c r="I29" s="117" t="s">
        <v>18</v>
      </c>
      <c r="J29" s="115" t="s">
        <v>43</v>
      </c>
      <c r="K29" s="115" t="s">
        <v>19</v>
      </c>
      <c r="L29" s="118" t="s">
        <v>26</v>
      </c>
      <c r="P29" t="s">
        <v>16</v>
      </c>
    </row>
    <row r="30" spans="2:16" ht="27">
      <c r="B30" s="96" t="s">
        <v>16</v>
      </c>
      <c r="C30" s="96" t="s">
        <v>24</v>
      </c>
      <c r="D30" s="96" t="s">
        <v>27</v>
      </c>
      <c r="E30" s="96" t="s">
        <v>22</v>
      </c>
      <c r="I30" s="117" t="s">
        <v>40</v>
      </c>
      <c r="J30" s="115" t="s">
        <v>32</v>
      </c>
      <c r="K30" s="115" t="s">
        <v>31</v>
      </c>
      <c r="L30" s="118" t="s">
        <v>23</v>
      </c>
      <c r="P30" t="s">
        <v>17</v>
      </c>
    </row>
    <row r="31" spans="2:16" ht="18">
      <c r="B31" s="6" t="s">
        <v>126</v>
      </c>
      <c r="C31" s="96" t="s">
        <v>17</v>
      </c>
      <c r="D31" s="96" t="s">
        <v>41</v>
      </c>
      <c r="E31" s="96" t="s">
        <v>34</v>
      </c>
      <c r="I31" s="117" t="s">
        <v>29</v>
      </c>
      <c r="J31" s="115" t="s">
        <v>41</v>
      </c>
      <c r="K31" s="115" t="s">
        <v>42</v>
      </c>
      <c r="L31" s="118" t="s">
        <v>15</v>
      </c>
      <c r="P31" t="s">
        <v>18</v>
      </c>
    </row>
    <row r="32" spans="2:16" ht="18">
      <c r="B32" s="96" t="s">
        <v>37</v>
      </c>
      <c r="C32" s="96" t="s">
        <v>39</v>
      </c>
      <c r="D32" s="96" t="s">
        <v>45</v>
      </c>
      <c r="E32" s="96" t="s">
        <v>35</v>
      </c>
      <c r="I32" s="117" t="s">
        <v>36</v>
      </c>
      <c r="J32" s="115" t="s">
        <v>22</v>
      </c>
      <c r="K32" s="115" t="s">
        <v>30</v>
      </c>
      <c r="L32" s="118" t="s">
        <v>126</v>
      </c>
      <c r="P32" t="s">
        <v>19</v>
      </c>
    </row>
    <row r="33" spans="2:16" ht="27">
      <c r="B33" s="96" t="s">
        <v>15</v>
      </c>
      <c r="C33" s="96" t="s">
        <v>29</v>
      </c>
      <c r="D33" s="96" t="s">
        <v>42</v>
      </c>
      <c r="E33" s="96" t="s">
        <v>30</v>
      </c>
      <c r="I33" s="117" t="s">
        <v>39</v>
      </c>
      <c r="J33" s="115" t="s">
        <v>24</v>
      </c>
      <c r="K33" s="115" t="s">
        <v>38</v>
      </c>
      <c r="L33" s="118" t="s">
        <v>44</v>
      </c>
      <c r="P33" t="s">
        <v>20</v>
      </c>
    </row>
    <row r="34" spans="2:16" ht="18">
      <c r="B34" s="96" t="s">
        <v>40</v>
      </c>
      <c r="C34" s="96" t="s">
        <v>18</v>
      </c>
      <c r="D34" s="96" t="s">
        <v>38</v>
      </c>
      <c r="E34" s="96" t="s">
        <v>44</v>
      </c>
      <c r="I34" s="117" t="s">
        <v>20</v>
      </c>
      <c r="J34" s="115" t="s">
        <v>34</v>
      </c>
      <c r="K34" s="115" t="s">
        <v>45</v>
      </c>
      <c r="L34" s="118" t="s">
        <v>21</v>
      </c>
      <c r="P34" t="s">
        <v>21</v>
      </c>
    </row>
    <row r="35" spans="2:16" ht="18.75" thickBot="1">
      <c r="B35" s="96" t="s">
        <v>36</v>
      </c>
      <c r="C35" s="96" t="s">
        <v>31</v>
      </c>
      <c r="D35" s="96" t="s">
        <v>19</v>
      </c>
      <c r="E35" s="96" t="s">
        <v>28</v>
      </c>
      <c r="I35" s="119" t="s">
        <v>16</v>
      </c>
      <c r="J35" s="120" t="s">
        <v>27</v>
      </c>
      <c r="K35" s="120" t="s">
        <v>25</v>
      </c>
      <c r="L35" s="121" t="s">
        <v>28</v>
      </c>
      <c r="P35" t="s">
        <v>22</v>
      </c>
    </row>
    <row r="36" spans="2:16">
      <c r="B36" t="s">
        <v>246</v>
      </c>
      <c r="C36" t="s">
        <v>247</v>
      </c>
      <c r="D36" t="s">
        <v>248</v>
      </c>
      <c r="E36" t="s">
        <v>249</v>
      </c>
      <c r="P36" t="s">
        <v>23</v>
      </c>
    </row>
    <row r="37" spans="2:16">
      <c r="P37" t="s">
        <v>24</v>
      </c>
    </row>
    <row r="38" spans="2:16">
      <c r="P38" t="s">
        <v>25</v>
      </c>
    </row>
    <row r="39" spans="2:16">
      <c r="P39" t="s">
        <v>126</v>
      </c>
    </row>
    <row r="40" spans="2:16">
      <c r="P40" t="s">
        <v>26</v>
      </c>
    </row>
    <row r="41" spans="2:16">
      <c r="P41" t="s">
        <v>27</v>
      </c>
    </row>
    <row r="42" spans="2:16">
      <c r="P42" t="s">
        <v>28</v>
      </c>
    </row>
    <row r="43" spans="2:16">
      <c r="P43" t="s">
        <v>29</v>
      </c>
    </row>
    <row r="44" spans="2:16">
      <c r="P44" t="s">
        <v>30</v>
      </c>
    </row>
    <row r="45" spans="2:16">
      <c r="P45" t="s">
        <v>31</v>
      </c>
    </row>
    <row r="46" spans="2:16">
      <c r="P46" t="s">
        <v>32</v>
      </c>
    </row>
    <row r="47" spans="2:16">
      <c r="P47" t="s">
        <v>33</v>
      </c>
    </row>
    <row r="48" spans="2:16">
      <c r="P48" t="s">
        <v>34</v>
      </c>
    </row>
    <row r="49" spans="16:16">
      <c r="P49" t="s">
        <v>35</v>
      </c>
    </row>
    <row r="50" spans="16:16">
      <c r="P50" t="s">
        <v>36</v>
      </c>
    </row>
    <row r="51" spans="16:16">
      <c r="P51" t="s">
        <v>37</v>
      </c>
    </row>
    <row r="52" spans="16:16">
      <c r="P52" t="s">
        <v>38</v>
      </c>
    </row>
    <row r="53" spans="16:16">
      <c r="P53" t="s">
        <v>39</v>
      </c>
    </row>
    <row r="54" spans="16:16">
      <c r="P54" t="s">
        <v>40</v>
      </c>
    </row>
    <row r="55" spans="16:16">
      <c r="P55" t="s">
        <v>41</v>
      </c>
    </row>
    <row r="56" spans="16:16">
      <c r="P56" t="s">
        <v>42</v>
      </c>
    </row>
    <row r="57" spans="16:16">
      <c r="P57" t="s">
        <v>43</v>
      </c>
    </row>
    <row r="58" spans="16:16">
      <c r="P58" t="s">
        <v>44</v>
      </c>
    </row>
    <row r="59" spans="16:16">
      <c r="P59" t="s">
        <v>45</v>
      </c>
    </row>
  </sheetData>
  <sortState xmlns:xlrd2="http://schemas.microsoft.com/office/spreadsheetml/2017/richdata2" ref="P28:P59">
    <sortCondition ref="P28:P59"/>
  </sortState>
  <dataValidations count="4">
    <dataValidation type="list" allowBlank="1" showInputMessage="1" showErrorMessage="1" sqref="R9" xr:uid="{00000000-0002-0000-6800-000000000000}">
      <formula1>$B$28:$B$36</formula1>
    </dataValidation>
    <dataValidation type="list" allowBlank="1" showInputMessage="1" showErrorMessage="1" sqref="S9" xr:uid="{00000000-0002-0000-6800-000001000000}">
      <formula1>$C$28:$C$36</formula1>
    </dataValidation>
    <dataValidation type="list" allowBlank="1" showInputMessage="1" showErrorMessage="1" sqref="T9" xr:uid="{00000000-0002-0000-6800-000002000000}">
      <formula1>$D$28:$D$36</formula1>
    </dataValidation>
    <dataValidation type="list" allowBlank="1" showInputMessage="1" showErrorMessage="1" sqref="U9" xr:uid="{00000000-0002-0000-6800-000003000000}">
      <formula1>$E$28:$E$36</formula1>
    </dataValidation>
  </dataValidation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autoPageBreaks="0"/>
  </sheetPr>
  <dimension ref="B2:F27"/>
  <sheetViews>
    <sheetView workbookViewId="0">
      <selection activeCell="N16" sqref="N16"/>
    </sheetView>
  </sheetViews>
  <sheetFormatPr defaultRowHeight="15"/>
  <cols>
    <col min="2" max="2" width="43.42578125" bestFit="1" customWidth="1"/>
    <col min="3" max="6" width="15.140625" customWidth="1"/>
  </cols>
  <sheetData>
    <row r="2" spans="2:6" ht="36">
      <c r="C2" s="94" t="s">
        <v>52</v>
      </c>
      <c r="D2" s="94" t="s">
        <v>246</v>
      </c>
      <c r="E2" s="93" t="s">
        <v>46</v>
      </c>
      <c r="F2" s="93" t="s">
        <v>47</v>
      </c>
    </row>
    <row r="3" spans="2:6">
      <c r="B3" s="92" t="str">
        <f>Employment!$C$2</f>
        <v>Employment Rate (%)</v>
      </c>
    </row>
    <row r="4" spans="2:6">
      <c r="B4" s="92" t="str">
        <f>Unemployment!$C$2</f>
        <v>Unemployment Rate (%)</v>
      </c>
    </row>
    <row r="5" spans="2:6">
      <c r="B5" s="92" t="str">
        <f>'Economic Inactivity'!$C$2</f>
        <v>Economic Inactivity Rate (%)</v>
      </c>
    </row>
    <row r="6" spans="2:6">
      <c r="B6" s="92" t="str">
        <f>'Degree Quals'!$C$2</f>
        <v>RQF Level 4+ Qualifications (%)</v>
      </c>
    </row>
    <row r="7" spans="2:6">
      <c r="B7" s="92" t="str">
        <f>'No Qualifications'!$C$2</f>
        <v>No Qualifications (%)</v>
      </c>
    </row>
    <row r="8" spans="2:6">
      <c r="B8" s="95"/>
    </row>
    <row r="9" spans="2:6">
      <c r="B9" s="92" t="e">
        <f>#REF!</f>
        <v>#REF!</v>
      </c>
    </row>
    <row r="10" spans="2:6">
      <c r="B10" s="92" t="e">
        <f>#REF!</f>
        <v>#REF!</v>
      </c>
    </row>
    <row r="11" spans="2:6">
      <c r="B11" s="92" t="e">
        <f>#REF!</f>
        <v>#REF!</v>
      </c>
    </row>
    <row r="12" spans="2:6">
      <c r="B12" s="92" t="e">
        <f>#REF!</f>
        <v>#REF!</v>
      </c>
    </row>
    <row r="13" spans="2:6">
      <c r="B13" s="92" t="str">
        <f>'GVA phw'!$C$2</f>
        <v>GVA per hour worked (£)</v>
      </c>
    </row>
    <row r="14" spans="2:6">
      <c r="B14" s="95"/>
    </row>
    <row r="15" spans="2:6">
      <c r="B15" s="92" t="str">
        <f>'Child Poverty'!$C$2</f>
        <v>% Children in Child Poverty after Housing Costs</v>
      </c>
    </row>
    <row r="16" spans="2:6">
      <c r="B16" s="92" t="e">
        <f>#REF!</f>
        <v>#REF!</v>
      </c>
    </row>
    <row r="17" spans="2:2">
      <c r="B17" s="92" t="s">
        <v>238</v>
      </c>
    </row>
    <row r="18" spans="2:2">
      <c r="B18" s="92" t="s">
        <v>239</v>
      </c>
    </row>
    <row r="19" spans="2:2">
      <c r="B19" s="92" t="s">
        <v>240</v>
      </c>
    </row>
    <row r="20" spans="2:2">
      <c r="B20" s="95"/>
    </row>
    <row r="21" spans="2:2">
      <c r="B21" s="92" t="e">
        <f>#REF!</f>
        <v>#REF!</v>
      </c>
    </row>
    <row r="22" spans="2:2">
      <c r="B22" s="92" t="e">
        <f>#REF!</f>
        <v>#REF!</v>
      </c>
    </row>
    <row r="23" spans="2:2">
      <c r="B23" s="92" t="e">
        <f>#REF!</f>
        <v>#REF!</v>
      </c>
    </row>
    <row r="24" spans="2:2">
      <c r="B24" s="92" t="e">
        <f>#REF!</f>
        <v>#REF!</v>
      </c>
    </row>
    <row r="25" spans="2:2">
      <c r="B25" s="92" t="e">
        <f>#REF!</f>
        <v>#REF!</v>
      </c>
    </row>
    <row r="26" spans="2:2">
      <c r="B26" s="95"/>
    </row>
    <row r="27" spans="2:2">
      <c r="B27" s="92" t="e">
        <f>#REF!</f>
        <v>#REF!</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0000000}">
          <x14:formula1>
            <xm:f>Lookups!$R$9:$U$9</xm:f>
          </x14:formula1>
          <xm:sqref>D2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37C4-4A62-424A-9766-169DD0254ABD}">
  <sheetPr>
    <pageSetUpPr autoPageBreaks="0"/>
  </sheetPr>
  <dimension ref="A1:G89"/>
  <sheetViews>
    <sheetView topLeftCell="A19" workbookViewId="0">
      <selection activeCell="N16" sqref="N16"/>
    </sheetView>
  </sheetViews>
  <sheetFormatPr defaultColWidth="8.7109375" defaultRowHeight="15"/>
  <cols>
    <col min="1" max="1" width="25" customWidth="1" collapsed="1"/>
    <col min="2" max="7" width="14" customWidth="1" collapsed="1"/>
  </cols>
  <sheetData>
    <row r="1" spans="1:7" ht="15.75">
      <c r="A1" s="1" t="s">
        <v>149</v>
      </c>
    </row>
    <row r="2" spans="1:7">
      <c r="A2" s="2" t="s">
        <v>263</v>
      </c>
    </row>
    <row r="4" spans="1:7">
      <c r="A4" s="10" t="s">
        <v>98</v>
      </c>
      <c r="B4" s="106" t="s">
        <v>82</v>
      </c>
      <c r="D4" s="10"/>
    </row>
    <row r="5" spans="1:7">
      <c r="A5" s="10" t="s">
        <v>97</v>
      </c>
      <c r="B5" s="106" t="s">
        <v>264</v>
      </c>
      <c r="D5" s="10"/>
    </row>
    <row r="7" spans="1:7" ht="21.95" customHeight="1">
      <c r="A7" s="17" t="s">
        <v>7</v>
      </c>
      <c r="B7" s="105">
        <v>2015</v>
      </c>
      <c r="C7" s="105">
        <v>2016</v>
      </c>
      <c r="D7" s="46">
        <v>2017</v>
      </c>
      <c r="E7" s="46">
        <v>2018</v>
      </c>
      <c r="F7" s="46">
        <v>2019</v>
      </c>
      <c r="G7" s="46">
        <v>2020</v>
      </c>
    </row>
    <row r="8" spans="1:7">
      <c r="A8" s="10" t="s">
        <v>15</v>
      </c>
      <c r="B8" s="104">
        <v>230350</v>
      </c>
      <c r="C8" s="104">
        <v>229840</v>
      </c>
      <c r="D8" s="15">
        <v>228800</v>
      </c>
      <c r="E8" s="15">
        <v>227560</v>
      </c>
      <c r="F8" s="15">
        <v>228670</v>
      </c>
      <c r="G8" s="15">
        <v>229060</v>
      </c>
    </row>
    <row r="9" spans="1:7">
      <c r="A9" s="10" t="s">
        <v>16</v>
      </c>
      <c r="B9" s="104">
        <v>261960</v>
      </c>
      <c r="C9" s="104">
        <v>262190</v>
      </c>
      <c r="D9" s="15">
        <v>261800</v>
      </c>
      <c r="E9" s="15">
        <v>261470</v>
      </c>
      <c r="F9" s="15">
        <v>261210</v>
      </c>
      <c r="G9" s="15">
        <v>260780</v>
      </c>
    </row>
    <row r="10" spans="1:7">
      <c r="A10" s="10" t="s">
        <v>17</v>
      </c>
      <c r="B10" s="104">
        <v>116900</v>
      </c>
      <c r="C10" s="104">
        <v>116520</v>
      </c>
      <c r="D10" s="15">
        <v>116280</v>
      </c>
      <c r="E10" s="15">
        <v>116040</v>
      </c>
      <c r="F10" s="15">
        <v>116200</v>
      </c>
      <c r="G10" s="15">
        <v>115820</v>
      </c>
    </row>
    <row r="11" spans="1:7">
      <c r="A11" s="10" t="s">
        <v>18</v>
      </c>
      <c r="B11" s="104">
        <v>86890</v>
      </c>
      <c r="C11" s="104">
        <v>87130</v>
      </c>
      <c r="D11" s="15">
        <v>86810</v>
      </c>
      <c r="E11" s="15">
        <v>86260</v>
      </c>
      <c r="F11" s="15">
        <v>85870</v>
      </c>
      <c r="G11" s="15">
        <v>85430</v>
      </c>
    </row>
    <row r="12" spans="1:7">
      <c r="A12" s="10" t="s">
        <v>265</v>
      </c>
      <c r="B12" s="104">
        <v>498810</v>
      </c>
      <c r="C12" s="104">
        <v>507170</v>
      </c>
      <c r="D12" s="15">
        <v>513210</v>
      </c>
      <c r="E12" s="15">
        <v>518500</v>
      </c>
      <c r="F12" s="15">
        <v>524930</v>
      </c>
      <c r="G12" s="15">
        <v>527620</v>
      </c>
    </row>
    <row r="13" spans="1:7">
      <c r="A13" s="10" t="s">
        <v>19</v>
      </c>
      <c r="B13" s="104">
        <v>51360</v>
      </c>
      <c r="C13" s="104">
        <v>51350</v>
      </c>
      <c r="D13" s="15">
        <v>51450</v>
      </c>
      <c r="E13" s="15">
        <v>51400</v>
      </c>
      <c r="F13" s="15">
        <v>51540</v>
      </c>
      <c r="G13" s="15">
        <v>51290</v>
      </c>
    </row>
    <row r="14" spans="1:7">
      <c r="A14" s="10" t="s">
        <v>20</v>
      </c>
      <c r="B14" s="104">
        <v>149670</v>
      </c>
      <c r="C14" s="104">
        <v>149520</v>
      </c>
      <c r="D14" s="15">
        <v>149200</v>
      </c>
      <c r="E14" s="15">
        <v>148790</v>
      </c>
      <c r="F14" s="15">
        <v>148860</v>
      </c>
      <c r="G14" s="15">
        <v>148290</v>
      </c>
    </row>
    <row r="15" spans="1:7">
      <c r="A15" s="10" t="s">
        <v>21</v>
      </c>
      <c r="B15" s="104">
        <v>148210</v>
      </c>
      <c r="C15" s="104">
        <v>148270</v>
      </c>
      <c r="D15" s="15">
        <v>148710</v>
      </c>
      <c r="E15" s="15">
        <v>148750</v>
      </c>
      <c r="F15" s="15">
        <v>149320</v>
      </c>
      <c r="G15" s="15">
        <v>148820</v>
      </c>
    </row>
    <row r="16" spans="1:7">
      <c r="A16" s="10" t="s">
        <v>22</v>
      </c>
      <c r="B16" s="104">
        <v>122060</v>
      </c>
      <c r="C16" s="104">
        <v>122200</v>
      </c>
      <c r="D16" s="15">
        <v>121940</v>
      </c>
      <c r="E16" s="15">
        <v>121840</v>
      </c>
      <c r="F16" s="15">
        <v>122010</v>
      </c>
      <c r="G16" s="15">
        <v>121600</v>
      </c>
    </row>
    <row r="17" spans="1:7">
      <c r="A17" s="10" t="s">
        <v>23</v>
      </c>
      <c r="B17" s="104">
        <v>106960</v>
      </c>
      <c r="C17" s="104">
        <v>107540</v>
      </c>
      <c r="D17" s="15">
        <v>108130</v>
      </c>
      <c r="E17" s="15">
        <v>108330</v>
      </c>
      <c r="F17" s="15">
        <v>108640</v>
      </c>
      <c r="G17" s="15">
        <v>108750</v>
      </c>
    </row>
    <row r="18" spans="1:7">
      <c r="A18" s="10" t="s">
        <v>24</v>
      </c>
      <c r="B18" s="104">
        <v>103050</v>
      </c>
      <c r="C18" s="104">
        <v>104090</v>
      </c>
      <c r="D18" s="15">
        <v>104840</v>
      </c>
      <c r="E18" s="15">
        <v>105790</v>
      </c>
      <c r="F18" s="15">
        <v>107090</v>
      </c>
      <c r="G18" s="15">
        <v>107900</v>
      </c>
    </row>
    <row r="19" spans="1:7">
      <c r="A19" s="10" t="s">
        <v>25</v>
      </c>
      <c r="B19" s="104">
        <v>92940</v>
      </c>
      <c r="C19" s="104">
        <v>93810</v>
      </c>
      <c r="D19" s="15">
        <v>94760</v>
      </c>
      <c r="E19" s="15">
        <v>95170</v>
      </c>
      <c r="F19" s="15">
        <v>95530</v>
      </c>
      <c r="G19" s="15">
        <v>96060</v>
      </c>
    </row>
    <row r="20" spans="1:7">
      <c r="A20" s="10" t="s">
        <v>26</v>
      </c>
      <c r="B20" s="104">
        <v>158460</v>
      </c>
      <c r="C20" s="104">
        <v>159380</v>
      </c>
      <c r="D20" s="15">
        <v>160130</v>
      </c>
      <c r="E20" s="15">
        <v>160340</v>
      </c>
      <c r="F20" s="15">
        <v>160890</v>
      </c>
      <c r="G20" s="15">
        <v>160560</v>
      </c>
    </row>
    <row r="21" spans="1:7">
      <c r="A21" s="10" t="s">
        <v>27</v>
      </c>
      <c r="B21" s="104">
        <v>368080</v>
      </c>
      <c r="C21" s="104">
        <v>370330</v>
      </c>
      <c r="D21" s="15">
        <v>371410</v>
      </c>
      <c r="E21" s="15">
        <v>371910</v>
      </c>
      <c r="F21" s="15">
        <v>373550</v>
      </c>
      <c r="G21" s="15">
        <v>374130</v>
      </c>
    </row>
    <row r="22" spans="1:7">
      <c r="A22" s="10" t="s">
        <v>28</v>
      </c>
      <c r="B22" s="104">
        <v>606340</v>
      </c>
      <c r="C22" s="104">
        <v>615070</v>
      </c>
      <c r="D22" s="15">
        <v>621020</v>
      </c>
      <c r="E22" s="15">
        <v>626410</v>
      </c>
      <c r="F22" s="15">
        <v>633120</v>
      </c>
      <c r="G22" s="15">
        <v>635640</v>
      </c>
    </row>
    <row r="23" spans="1:7">
      <c r="A23" s="10" t="s">
        <v>29</v>
      </c>
      <c r="B23" s="104">
        <v>234110</v>
      </c>
      <c r="C23" s="104">
        <v>234770</v>
      </c>
      <c r="D23" s="15">
        <v>235180</v>
      </c>
      <c r="E23" s="15">
        <v>235540</v>
      </c>
      <c r="F23" s="15">
        <v>235830</v>
      </c>
      <c r="G23" s="15">
        <v>235430</v>
      </c>
    </row>
    <row r="24" spans="1:7">
      <c r="A24" s="10" t="s">
        <v>30</v>
      </c>
      <c r="B24" s="104">
        <v>79500</v>
      </c>
      <c r="C24" s="104">
        <v>79160</v>
      </c>
      <c r="D24" s="15">
        <v>78760</v>
      </c>
      <c r="E24" s="15">
        <v>78150</v>
      </c>
      <c r="F24" s="15">
        <v>77800</v>
      </c>
      <c r="G24" s="15">
        <v>77060</v>
      </c>
    </row>
    <row r="25" spans="1:7">
      <c r="A25" s="10" t="s">
        <v>31</v>
      </c>
      <c r="B25" s="104">
        <v>87390</v>
      </c>
      <c r="C25" s="104">
        <v>88610</v>
      </c>
      <c r="D25" s="15">
        <v>90090</v>
      </c>
      <c r="E25" s="15">
        <v>91340</v>
      </c>
      <c r="F25" s="15">
        <v>92460</v>
      </c>
      <c r="G25" s="15">
        <v>93150</v>
      </c>
    </row>
    <row r="26" spans="1:7">
      <c r="A26" s="10" t="s">
        <v>32</v>
      </c>
      <c r="B26" s="104">
        <v>95510</v>
      </c>
      <c r="C26" s="104">
        <v>96070</v>
      </c>
      <c r="D26" s="15">
        <v>95780</v>
      </c>
      <c r="E26" s="15">
        <v>95520</v>
      </c>
      <c r="F26" s="15">
        <v>95820</v>
      </c>
      <c r="G26" s="15">
        <v>95710</v>
      </c>
    </row>
    <row r="27" spans="1:7">
      <c r="A27" s="10" t="s">
        <v>33</v>
      </c>
      <c r="B27" s="104">
        <v>27070</v>
      </c>
      <c r="C27" s="104">
        <v>26900</v>
      </c>
      <c r="D27" s="15">
        <v>26950</v>
      </c>
      <c r="E27" s="15">
        <v>26830</v>
      </c>
      <c r="F27" s="15">
        <v>26720</v>
      </c>
      <c r="G27" s="15">
        <v>26500</v>
      </c>
    </row>
    <row r="28" spans="1:7">
      <c r="A28" s="10" t="s">
        <v>34</v>
      </c>
      <c r="B28" s="104">
        <v>136130</v>
      </c>
      <c r="C28" s="104">
        <v>135890</v>
      </c>
      <c r="D28" s="15">
        <v>135790</v>
      </c>
      <c r="E28" s="15">
        <v>135280</v>
      </c>
      <c r="F28" s="15">
        <v>134740</v>
      </c>
      <c r="G28" s="15">
        <v>134250</v>
      </c>
    </row>
    <row r="29" spans="1:7">
      <c r="A29" s="10" t="s">
        <v>35</v>
      </c>
      <c r="B29" s="104">
        <v>338260</v>
      </c>
      <c r="C29" s="104">
        <v>339390</v>
      </c>
      <c r="D29" s="15">
        <v>339960</v>
      </c>
      <c r="E29" s="15">
        <v>340180</v>
      </c>
      <c r="F29" s="15">
        <v>341370</v>
      </c>
      <c r="G29" s="15">
        <v>341140</v>
      </c>
    </row>
    <row r="30" spans="1:7">
      <c r="A30" s="10" t="s">
        <v>36</v>
      </c>
      <c r="B30" s="104">
        <v>21670</v>
      </c>
      <c r="C30" s="104">
        <v>21850</v>
      </c>
      <c r="D30" s="15">
        <v>22000</v>
      </c>
      <c r="E30" s="15">
        <v>22190</v>
      </c>
      <c r="F30" s="15">
        <v>22270</v>
      </c>
      <c r="G30" s="15">
        <v>22400</v>
      </c>
    </row>
    <row r="31" spans="1:7">
      <c r="A31" s="10" t="s">
        <v>37</v>
      </c>
      <c r="B31" s="104">
        <v>149930</v>
      </c>
      <c r="C31" s="104">
        <v>150680</v>
      </c>
      <c r="D31" s="15">
        <v>151100</v>
      </c>
      <c r="E31" s="15">
        <v>151290</v>
      </c>
      <c r="F31" s="15">
        <v>151950</v>
      </c>
      <c r="G31" s="15">
        <v>151910</v>
      </c>
    </row>
    <row r="32" spans="1:7">
      <c r="A32" s="10" t="s">
        <v>38</v>
      </c>
      <c r="B32" s="104">
        <v>174560</v>
      </c>
      <c r="C32" s="104">
        <v>175930</v>
      </c>
      <c r="D32" s="15">
        <v>176830</v>
      </c>
      <c r="E32" s="15">
        <v>177790</v>
      </c>
      <c r="F32" s="15">
        <v>179100</v>
      </c>
      <c r="G32" s="15">
        <v>179390</v>
      </c>
    </row>
    <row r="33" spans="1:7">
      <c r="A33" s="10" t="s">
        <v>39</v>
      </c>
      <c r="B33" s="104">
        <v>114030</v>
      </c>
      <c r="C33" s="104">
        <v>114530</v>
      </c>
      <c r="D33" s="15">
        <v>115020</v>
      </c>
      <c r="E33" s="15">
        <v>115270</v>
      </c>
      <c r="F33" s="15">
        <v>115510</v>
      </c>
      <c r="G33" s="15">
        <v>115240</v>
      </c>
    </row>
    <row r="34" spans="1:7">
      <c r="A34" s="10" t="s">
        <v>40</v>
      </c>
      <c r="B34" s="104">
        <v>23200</v>
      </c>
      <c r="C34" s="104">
        <v>23200</v>
      </c>
      <c r="D34" s="15">
        <v>23080</v>
      </c>
      <c r="E34" s="15">
        <v>22990</v>
      </c>
      <c r="F34" s="15">
        <v>22920</v>
      </c>
      <c r="G34" s="15">
        <v>22870</v>
      </c>
    </row>
    <row r="35" spans="1:7">
      <c r="A35" s="10" t="s">
        <v>41</v>
      </c>
      <c r="B35" s="104">
        <v>112400</v>
      </c>
      <c r="C35" s="104">
        <v>112470</v>
      </c>
      <c r="D35" s="15">
        <v>112680</v>
      </c>
      <c r="E35" s="15">
        <v>112550</v>
      </c>
      <c r="F35" s="15">
        <v>112610</v>
      </c>
      <c r="G35" s="15">
        <v>112140</v>
      </c>
    </row>
    <row r="36" spans="1:7">
      <c r="A36" s="10" t="s">
        <v>42</v>
      </c>
      <c r="B36" s="104">
        <v>316230</v>
      </c>
      <c r="C36" s="104">
        <v>317100</v>
      </c>
      <c r="D36" s="15">
        <v>318170</v>
      </c>
      <c r="E36" s="15">
        <v>319020</v>
      </c>
      <c r="F36" s="15">
        <v>320530</v>
      </c>
      <c r="G36" s="15">
        <v>320820</v>
      </c>
    </row>
    <row r="37" spans="1:7">
      <c r="A37" s="10" t="s">
        <v>43</v>
      </c>
      <c r="B37" s="104">
        <v>92830</v>
      </c>
      <c r="C37" s="104">
        <v>93750</v>
      </c>
      <c r="D37" s="15">
        <v>94000</v>
      </c>
      <c r="E37" s="15">
        <v>94330</v>
      </c>
      <c r="F37" s="15">
        <v>94210</v>
      </c>
      <c r="G37" s="15">
        <v>94080</v>
      </c>
    </row>
    <row r="38" spans="1:7">
      <c r="A38" s="10" t="s">
        <v>44</v>
      </c>
      <c r="B38" s="104">
        <v>89590</v>
      </c>
      <c r="C38" s="104">
        <v>89860</v>
      </c>
      <c r="D38" s="15">
        <v>89610</v>
      </c>
      <c r="E38" s="15">
        <v>89130</v>
      </c>
      <c r="F38" s="15">
        <v>88930</v>
      </c>
      <c r="G38" s="15">
        <v>88340</v>
      </c>
    </row>
    <row r="39" spans="1:7">
      <c r="A39" s="10" t="s">
        <v>45</v>
      </c>
      <c r="B39" s="104">
        <v>178550</v>
      </c>
      <c r="C39" s="104">
        <v>180130</v>
      </c>
      <c r="D39" s="15">
        <v>181310</v>
      </c>
      <c r="E39" s="15">
        <v>182140</v>
      </c>
      <c r="F39" s="15">
        <v>183100</v>
      </c>
      <c r="G39" s="15">
        <v>183820</v>
      </c>
    </row>
    <row r="40" spans="1:7">
      <c r="A40" s="10" t="s">
        <v>173</v>
      </c>
      <c r="D40" s="15">
        <v>64169395</v>
      </c>
      <c r="E40" s="15">
        <v>64553909</v>
      </c>
      <c r="F40" s="15">
        <v>64903140</v>
      </c>
      <c r="G40" s="15">
        <v>65185724</v>
      </c>
    </row>
    <row r="41" spans="1:7">
      <c r="A41" s="10" t="s">
        <v>46</v>
      </c>
      <c r="B41" s="104">
        <v>5373000</v>
      </c>
      <c r="C41" s="104">
        <v>5404700</v>
      </c>
      <c r="D41" s="15">
        <v>5424800</v>
      </c>
      <c r="E41" s="15">
        <v>5438100</v>
      </c>
      <c r="F41" s="15">
        <v>5463300</v>
      </c>
      <c r="G41" s="15">
        <v>5466000</v>
      </c>
    </row>
    <row r="42" spans="1:7">
      <c r="A42" s="10" t="s">
        <v>47</v>
      </c>
      <c r="B42" s="104">
        <v>65110034</v>
      </c>
      <c r="C42" s="104">
        <v>65648054</v>
      </c>
      <c r="D42" s="15">
        <v>66040229</v>
      </c>
      <c r="E42" s="15">
        <v>66435550</v>
      </c>
      <c r="F42" s="15">
        <v>66796807</v>
      </c>
      <c r="G42" s="15">
        <v>67081234</v>
      </c>
    </row>
    <row r="43" spans="1:7">
      <c r="A43" s="10" t="s">
        <v>48</v>
      </c>
      <c r="B43" s="104">
        <v>1804380</v>
      </c>
      <c r="C43" s="104">
        <v>1817860</v>
      </c>
      <c r="D43" s="15">
        <v>1827240</v>
      </c>
      <c r="E43" s="15">
        <v>1834180</v>
      </c>
      <c r="F43" s="15">
        <v>1845020</v>
      </c>
      <c r="G43" s="15">
        <v>1847200</v>
      </c>
    </row>
    <row r="47" spans="1:7" ht="15.75">
      <c r="A47" s="1" t="s">
        <v>149</v>
      </c>
    </row>
    <row r="48" spans="1:7">
      <c r="A48" s="2" t="s">
        <v>263</v>
      </c>
    </row>
    <row r="49" spans="1:7">
      <c r="B49" s="106"/>
    </row>
    <row r="50" spans="1:7">
      <c r="A50" s="10" t="s">
        <v>98</v>
      </c>
      <c r="B50" s="106"/>
      <c r="D50" s="10" t="s">
        <v>82</v>
      </c>
    </row>
    <row r="51" spans="1:7">
      <c r="A51" s="10" t="s">
        <v>97</v>
      </c>
      <c r="D51" s="10" t="s">
        <v>148</v>
      </c>
    </row>
    <row r="53" spans="1:7" ht="21.95" customHeight="1">
      <c r="A53" s="17" t="s">
        <v>7</v>
      </c>
      <c r="B53" s="105">
        <v>2015</v>
      </c>
      <c r="C53" s="105">
        <v>2016</v>
      </c>
      <c r="D53" s="46">
        <v>2017</v>
      </c>
      <c r="E53" s="46">
        <v>2018</v>
      </c>
      <c r="F53" s="46">
        <v>2019</v>
      </c>
      <c r="G53" s="46">
        <v>2020</v>
      </c>
    </row>
    <row r="54" spans="1:7">
      <c r="A54" s="10" t="s">
        <v>15</v>
      </c>
      <c r="B54" s="104">
        <v>162073</v>
      </c>
      <c r="C54" s="104">
        <v>160821</v>
      </c>
      <c r="D54" s="15">
        <v>159013</v>
      </c>
      <c r="E54" s="15">
        <v>157195</v>
      </c>
      <c r="F54" s="15">
        <v>157090</v>
      </c>
      <c r="G54" s="15">
        <v>156660</v>
      </c>
    </row>
    <row r="55" spans="1:7">
      <c r="A55" s="10" t="s">
        <v>16</v>
      </c>
      <c r="B55" s="104">
        <v>166393</v>
      </c>
      <c r="C55" s="104">
        <v>165548</v>
      </c>
      <c r="D55" s="15">
        <v>164106</v>
      </c>
      <c r="E55" s="15">
        <v>162638</v>
      </c>
      <c r="F55" s="15">
        <v>161121</v>
      </c>
      <c r="G55" s="15">
        <v>160000</v>
      </c>
    </row>
    <row r="56" spans="1:7">
      <c r="A56" s="10" t="s">
        <v>17</v>
      </c>
      <c r="B56" s="104">
        <v>71170</v>
      </c>
      <c r="C56" s="104">
        <v>70588</v>
      </c>
      <c r="D56" s="15">
        <v>70187</v>
      </c>
      <c r="E56" s="15">
        <v>69499</v>
      </c>
      <c r="F56" s="15">
        <v>69265</v>
      </c>
      <c r="G56" s="15">
        <v>68871</v>
      </c>
    </row>
    <row r="57" spans="1:7">
      <c r="A57" s="10" t="s">
        <v>18</v>
      </c>
      <c r="B57" s="104">
        <v>52274</v>
      </c>
      <c r="C57" s="104">
        <v>52336</v>
      </c>
      <c r="D57" s="15">
        <v>51810</v>
      </c>
      <c r="E57" s="15">
        <v>51276</v>
      </c>
      <c r="F57" s="15">
        <v>50754</v>
      </c>
      <c r="G57" s="15">
        <v>50511</v>
      </c>
    </row>
    <row r="58" spans="1:7">
      <c r="A58" s="10" t="s">
        <v>265</v>
      </c>
      <c r="B58" s="104">
        <v>347874</v>
      </c>
      <c r="C58" s="104">
        <v>353873</v>
      </c>
      <c r="D58" s="15">
        <v>358090</v>
      </c>
      <c r="E58" s="15">
        <v>361939</v>
      </c>
      <c r="F58" s="15">
        <v>366508</v>
      </c>
      <c r="G58" s="15">
        <v>368491</v>
      </c>
    </row>
    <row r="59" spans="1:7">
      <c r="A59" s="10" t="s">
        <v>19</v>
      </c>
      <c r="B59" s="104">
        <v>32658</v>
      </c>
      <c r="C59" s="104">
        <v>32443</v>
      </c>
      <c r="D59" s="15">
        <v>32380</v>
      </c>
      <c r="E59" s="15">
        <v>32193</v>
      </c>
      <c r="F59" s="15">
        <v>32133</v>
      </c>
      <c r="G59" s="15">
        <v>31817</v>
      </c>
    </row>
    <row r="60" spans="1:7">
      <c r="A60" s="10" t="s">
        <v>20</v>
      </c>
      <c r="B60" s="104">
        <v>89653</v>
      </c>
      <c r="C60" s="104">
        <v>88999</v>
      </c>
      <c r="D60" s="15">
        <v>88304</v>
      </c>
      <c r="E60" s="15">
        <v>87487</v>
      </c>
      <c r="F60" s="15">
        <v>87047</v>
      </c>
      <c r="G60" s="15">
        <v>86182</v>
      </c>
    </row>
    <row r="61" spans="1:7">
      <c r="A61" s="10" t="s">
        <v>21</v>
      </c>
      <c r="B61" s="104">
        <v>98554</v>
      </c>
      <c r="C61" s="104">
        <v>98454</v>
      </c>
      <c r="D61" s="15">
        <v>98770</v>
      </c>
      <c r="E61" s="15">
        <v>98747</v>
      </c>
      <c r="F61" s="15">
        <v>99209</v>
      </c>
      <c r="G61" s="15">
        <v>98822</v>
      </c>
    </row>
    <row r="62" spans="1:7">
      <c r="A62" s="10" t="s">
        <v>22</v>
      </c>
      <c r="B62" s="104">
        <v>77358</v>
      </c>
      <c r="C62" s="104">
        <v>77024</v>
      </c>
      <c r="D62" s="15">
        <v>76589</v>
      </c>
      <c r="E62" s="15">
        <v>76168</v>
      </c>
      <c r="F62" s="15">
        <v>76005</v>
      </c>
      <c r="G62" s="15">
        <v>75511</v>
      </c>
    </row>
    <row r="63" spans="1:7">
      <c r="A63" s="10" t="s">
        <v>23</v>
      </c>
      <c r="B63" s="104">
        <v>65404</v>
      </c>
      <c r="C63" s="104">
        <v>65325</v>
      </c>
      <c r="D63" s="15">
        <v>65372</v>
      </c>
      <c r="E63" s="15">
        <v>65039</v>
      </c>
      <c r="F63" s="15">
        <v>64766</v>
      </c>
      <c r="G63" s="15">
        <v>64517</v>
      </c>
    </row>
    <row r="64" spans="1:7">
      <c r="A64" s="10" t="s">
        <v>24</v>
      </c>
      <c r="B64" s="104">
        <v>64200</v>
      </c>
      <c r="C64" s="104">
        <v>64703</v>
      </c>
      <c r="D64" s="15">
        <v>64933</v>
      </c>
      <c r="E64" s="15">
        <v>65270</v>
      </c>
      <c r="F64" s="15">
        <v>65659</v>
      </c>
      <c r="G64" s="15">
        <v>66007</v>
      </c>
    </row>
    <row r="65" spans="1:7">
      <c r="A65" s="10" t="s">
        <v>25</v>
      </c>
      <c r="B65" s="104">
        <v>56522</v>
      </c>
      <c r="C65" s="104">
        <v>56795</v>
      </c>
      <c r="D65" s="15">
        <v>57037</v>
      </c>
      <c r="E65" s="15">
        <v>56951</v>
      </c>
      <c r="F65" s="15">
        <v>56819</v>
      </c>
      <c r="G65" s="15">
        <v>56973</v>
      </c>
    </row>
    <row r="66" spans="1:7">
      <c r="A66" s="10" t="s">
        <v>26</v>
      </c>
      <c r="B66" s="104">
        <v>101594</v>
      </c>
      <c r="C66" s="104">
        <v>101864</v>
      </c>
      <c r="D66" s="15">
        <v>102271</v>
      </c>
      <c r="E66" s="15">
        <v>102104</v>
      </c>
      <c r="F66" s="15">
        <v>102329</v>
      </c>
      <c r="G66" s="15">
        <v>102019</v>
      </c>
    </row>
    <row r="67" spans="1:7">
      <c r="A67" s="10" t="s">
        <v>27</v>
      </c>
      <c r="B67" s="104">
        <v>231637</v>
      </c>
      <c r="C67" s="104">
        <v>232300</v>
      </c>
      <c r="D67" s="15">
        <v>232485</v>
      </c>
      <c r="E67" s="15">
        <v>231847</v>
      </c>
      <c r="F67" s="15">
        <v>231974</v>
      </c>
      <c r="G67" s="15">
        <v>231809</v>
      </c>
    </row>
    <row r="68" spans="1:7">
      <c r="A68" s="10" t="s">
        <v>28</v>
      </c>
      <c r="B68" s="104">
        <v>425305</v>
      </c>
      <c r="C68" s="104">
        <v>432793</v>
      </c>
      <c r="D68" s="15">
        <v>437911</v>
      </c>
      <c r="E68" s="15">
        <v>442207</v>
      </c>
      <c r="F68" s="15">
        <v>447290</v>
      </c>
      <c r="G68" s="15">
        <v>449539</v>
      </c>
    </row>
    <row r="69" spans="1:7">
      <c r="A69" s="10" t="s">
        <v>29</v>
      </c>
      <c r="B69" s="104">
        <v>145077</v>
      </c>
      <c r="C69" s="104">
        <v>144722</v>
      </c>
      <c r="D69" s="15">
        <v>144586</v>
      </c>
      <c r="E69" s="15">
        <v>144209</v>
      </c>
      <c r="F69" s="15">
        <v>143706</v>
      </c>
      <c r="G69" s="15">
        <v>142939</v>
      </c>
    </row>
    <row r="70" spans="1:7">
      <c r="A70" s="10" t="s">
        <v>30</v>
      </c>
      <c r="B70" s="104">
        <v>50643</v>
      </c>
      <c r="C70" s="104">
        <v>50140</v>
      </c>
      <c r="D70" s="15">
        <v>49776</v>
      </c>
      <c r="E70" s="15">
        <v>49140</v>
      </c>
      <c r="F70" s="15">
        <v>48689</v>
      </c>
      <c r="G70" s="15">
        <v>48152</v>
      </c>
    </row>
    <row r="71" spans="1:7">
      <c r="A71" s="10" t="s">
        <v>31</v>
      </c>
      <c r="B71" s="104">
        <v>54771</v>
      </c>
      <c r="C71" s="104">
        <v>55334</v>
      </c>
      <c r="D71" s="15">
        <v>56175</v>
      </c>
      <c r="E71" s="15">
        <v>56721</v>
      </c>
      <c r="F71" s="15">
        <v>57124</v>
      </c>
      <c r="G71" s="15">
        <v>57491</v>
      </c>
    </row>
    <row r="72" spans="1:7">
      <c r="A72" s="10" t="s">
        <v>32</v>
      </c>
      <c r="B72" s="104">
        <v>59619</v>
      </c>
      <c r="C72" s="104">
        <v>59789</v>
      </c>
      <c r="D72" s="15">
        <v>59364</v>
      </c>
      <c r="E72" s="15">
        <v>58924</v>
      </c>
      <c r="F72" s="15">
        <v>58959</v>
      </c>
      <c r="G72" s="15">
        <v>58602</v>
      </c>
    </row>
    <row r="73" spans="1:7">
      <c r="A73" s="10" t="s">
        <v>33</v>
      </c>
      <c r="B73" s="104">
        <v>16161</v>
      </c>
      <c r="C73" s="104">
        <v>15954</v>
      </c>
      <c r="D73" s="15">
        <v>15827</v>
      </c>
      <c r="E73" s="15">
        <v>15677</v>
      </c>
      <c r="F73" s="15">
        <v>15571</v>
      </c>
      <c r="G73" s="15">
        <v>15392</v>
      </c>
    </row>
    <row r="74" spans="1:7">
      <c r="A74" s="10" t="s">
        <v>34</v>
      </c>
      <c r="B74" s="104">
        <v>84121</v>
      </c>
      <c r="C74" s="104">
        <v>83535</v>
      </c>
      <c r="D74" s="15">
        <v>83169</v>
      </c>
      <c r="E74" s="15">
        <v>82426</v>
      </c>
      <c r="F74" s="15">
        <v>81740</v>
      </c>
      <c r="G74" s="15">
        <v>81123</v>
      </c>
    </row>
    <row r="75" spans="1:7">
      <c r="A75" s="10" t="s">
        <v>35</v>
      </c>
      <c r="B75" s="104">
        <v>219345</v>
      </c>
      <c r="C75" s="104">
        <v>219594</v>
      </c>
      <c r="D75" s="15">
        <v>219694</v>
      </c>
      <c r="E75" s="15">
        <v>219221</v>
      </c>
      <c r="F75" s="15">
        <v>219435</v>
      </c>
      <c r="G75" s="15">
        <v>219051</v>
      </c>
    </row>
    <row r="76" spans="1:7">
      <c r="A76" s="10" t="s">
        <v>36</v>
      </c>
      <c r="B76" s="104">
        <v>13367</v>
      </c>
      <c r="C76" s="104">
        <v>13367</v>
      </c>
      <c r="D76" s="15">
        <v>13382</v>
      </c>
      <c r="E76" s="15">
        <v>13412</v>
      </c>
      <c r="F76" s="15">
        <v>13382</v>
      </c>
      <c r="G76" s="15">
        <v>13386</v>
      </c>
    </row>
    <row r="77" spans="1:7">
      <c r="A77" s="10" t="s">
        <v>37</v>
      </c>
      <c r="B77" s="104">
        <v>92055</v>
      </c>
      <c r="C77" s="104">
        <v>92250</v>
      </c>
      <c r="D77" s="15">
        <v>92132</v>
      </c>
      <c r="E77" s="15">
        <v>91666</v>
      </c>
      <c r="F77" s="15">
        <v>91695</v>
      </c>
      <c r="G77" s="15">
        <v>91349</v>
      </c>
    </row>
    <row r="78" spans="1:7">
      <c r="A78" s="10" t="s">
        <v>38</v>
      </c>
      <c r="B78" s="104">
        <v>112611</v>
      </c>
      <c r="C78" s="104">
        <v>113311</v>
      </c>
      <c r="D78" s="15">
        <v>113843</v>
      </c>
      <c r="E78" s="15">
        <v>114331</v>
      </c>
      <c r="F78" s="15">
        <v>114946</v>
      </c>
      <c r="G78" s="15">
        <v>115055</v>
      </c>
    </row>
    <row r="79" spans="1:7">
      <c r="A79" s="10" t="s">
        <v>39</v>
      </c>
      <c r="B79" s="104">
        <v>68307</v>
      </c>
      <c r="C79" s="104">
        <v>68285</v>
      </c>
      <c r="D79" s="15">
        <v>68295</v>
      </c>
      <c r="E79" s="15">
        <v>68121</v>
      </c>
      <c r="F79" s="15">
        <v>67871</v>
      </c>
      <c r="G79" s="15">
        <v>67332</v>
      </c>
    </row>
    <row r="80" spans="1:7">
      <c r="A80" s="10" t="s">
        <v>40</v>
      </c>
      <c r="B80" s="104">
        <v>14619</v>
      </c>
      <c r="C80" s="104">
        <v>14564</v>
      </c>
      <c r="D80" s="15">
        <v>14365</v>
      </c>
      <c r="E80" s="15">
        <v>14230</v>
      </c>
      <c r="F80" s="15">
        <v>14036</v>
      </c>
      <c r="G80" s="15">
        <v>13905</v>
      </c>
    </row>
    <row r="81" spans="1:7">
      <c r="A81" s="10" t="s">
        <v>41</v>
      </c>
      <c r="B81" s="104">
        <v>67819</v>
      </c>
      <c r="C81" s="104">
        <v>67453</v>
      </c>
      <c r="D81" s="15">
        <v>67184</v>
      </c>
      <c r="E81" s="15">
        <v>66726</v>
      </c>
      <c r="F81" s="15">
        <v>66258</v>
      </c>
      <c r="G81" s="15">
        <v>65767</v>
      </c>
    </row>
    <row r="82" spans="1:7">
      <c r="A82" s="10" t="s">
        <v>42</v>
      </c>
      <c r="B82" s="104">
        <v>202813</v>
      </c>
      <c r="C82" s="104">
        <v>202849</v>
      </c>
      <c r="D82" s="15">
        <v>202763</v>
      </c>
      <c r="E82" s="15">
        <v>202463</v>
      </c>
      <c r="F82" s="15">
        <v>202175</v>
      </c>
      <c r="G82" s="15">
        <v>201790</v>
      </c>
    </row>
    <row r="83" spans="1:7">
      <c r="A83" s="10" t="s">
        <v>43</v>
      </c>
      <c r="B83" s="104">
        <v>60177</v>
      </c>
      <c r="C83" s="104">
        <v>60832</v>
      </c>
      <c r="D83" s="15">
        <v>60838</v>
      </c>
      <c r="E83" s="15">
        <v>60814</v>
      </c>
      <c r="F83" s="15">
        <v>60529</v>
      </c>
      <c r="G83" s="15">
        <v>60411</v>
      </c>
    </row>
    <row r="84" spans="1:7">
      <c r="A84" s="10" t="s">
        <v>44</v>
      </c>
      <c r="B84" s="104">
        <v>57987</v>
      </c>
      <c r="C84" s="104">
        <v>57905</v>
      </c>
      <c r="D84" s="15">
        <v>57491</v>
      </c>
      <c r="E84" s="15">
        <v>56998</v>
      </c>
      <c r="F84" s="15">
        <v>56552</v>
      </c>
      <c r="G84" s="15">
        <v>55988</v>
      </c>
    </row>
    <row r="85" spans="1:7">
      <c r="A85" s="10" t="s">
        <v>45</v>
      </c>
      <c r="B85" s="104">
        <v>115579</v>
      </c>
      <c r="C85" s="104">
        <v>116181</v>
      </c>
      <c r="D85" s="15">
        <v>116649</v>
      </c>
      <c r="E85" s="15">
        <v>116845</v>
      </c>
      <c r="F85" s="15">
        <v>117121</v>
      </c>
      <c r="G85" s="15">
        <v>117675</v>
      </c>
    </row>
    <row r="86" spans="1:7">
      <c r="A86" s="10" t="s">
        <v>173</v>
      </c>
      <c r="D86" s="15">
        <v>40368375</v>
      </c>
      <c r="E86" s="15">
        <v>40465880</v>
      </c>
      <c r="F86" s="15">
        <v>40540992</v>
      </c>
      <c r="G86" s="15">
        <v>40665282</v>
      </c>
    </row>
    <row r="87" spans="1:7">
      <c r="A87" s="10" t="s">
        <v>46</v>
      </c>
      <c r="B87" s="104">
        <v>3477740</v>
      </c>
      <c r="C87" s="104">
        <v>3489931</v>
      </c>
      <c r="D87" s="15">
        <v>3494791</v>
      </c>
      <c r="E87" s="15">
        <v>3492484</v>
      </c>
      <c r="F87" s="15">
        <v>3497758</v>
      </c>
      <c r="G87" s="15">
        <v>3493137</v>
      </c>
    </row>
    <row r="88" spans="1:7">
      <c r="A88" s="10" t="s">
        <v>47</v>
      </c>
      <c r="B88" s="104">
        <v>41241002</v>
      </c>
      <c r="C88" s="104">
        <v>41443872</v>
      </c>
      <c r="D88" s="15">
        <v>41545550</v>
      </c>
      <c r="E88" s="15">
        <v>41645814</v>
      </c>
      <c r="F88" s="15">
        <v>41724010</v>
      </c>
      <c r="G88" s="15">
        <v>41845027</v>
      </c>
    </row>
    <row r="89" spans="1:7">
      <c r="A89" s="10" t="s">
        <v>48</v>
      </c>
      <c r="B89" s="104">
        <v>1190630</v>
      </c>
      <c r="C89" s="104">
        <v>1198712</v>
      </c>
      <c r="D89" s="15">
        <v>1203887</v>
      </c>
      <c r="E89" s="15">
        <v>1206350</v>
      </c>
      <c r="F89" s="15">
        <v>1210672</v>
      </c>
      <c r="G89" s="15">
        <v>1211065</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autoPageBreaks="0"/>
  </sheetPr>
  <dimension ref="A2:G49"/>
  <sheetViews>
    <sheetView topLeftCell="C1" workbookViewId="0">
      <selection activeCell="N16" sqref="N16"/>
    </sheetView>
  </sheetViews>
  <sheetFormatPr defaultRowHeight="15"/>
  <cols>
    <col min="1" max="1" width="83.42578125" bestFit="1" customWidth="1"/>
    <col min="2" max="2" width="24.140625" customWidth="1"/>
    <col min="4" max="8" width="20.85546875" customWidth="1"/>
  </cols>
  <sheetData>
    <row r="2" spans="1:7">
      <c r="A2" s="98" t="s">
        <v>59</v>
      </c>
      <c r="B2" t="s">
        <v>250</v>
      </c>
      <c r="D2" s="6" t="s">
        <v>33</v>
      </c>
      <c r="E2" t="s">
        <v>37</v>
      </c>
      <c r="F2" t="s">
        <v>17</v>
      </c>
      <c r="G2" t="s">
        <v>35</v>
      </c>
    </row>
    <row r="3" spans="1:7">
      <c r="A3" t="s">
        <v>165</v>
      </c>
      <c r="B3" t="s">
        <v>251</v>
      </c>
      <c r="D3" t="s">
        <v>18</v>
      </c>
      <c r="E3" t="s">
        <v>43</v>
      </c>
      <c r="F3" t="s">
        <v>19</v>
      </c>
      <c r="G3" t="s">
        <v>26</v>
      </c>
    </row>
    <row r="4" spans="1:7">
      <c r="A4" t="s">
        <v>102</v>
      </c>
      <c r="B4" t="s">
        <v>251</v>
      </c>
      <c r="D4" t="s">
        <v>40</v>
      </c>
      <c r="E4" t="s">
        <v>32</v>
      </c>
      <c r="F4" t="s">
        <v>31</v>
      </c>
      <c r="G4" t="s">
        <v>23</v>
      </c>
    </row>
    <row r="5" spans="1:7">
      <c r="A5" t="s">
        <v>191</v>
      </c>
      <c r="B5" t="s">
        <v>251</v>
      </c>
      <c r="D5" t="s">
        <v>29</v>
      </c>
      <c r="E5" t="s">
        <v>41</v>
      </c>
      <c r="F5" t="s">
        <v>42</v>
      </c>
      <c r="G5" t="s">
        <v>15</v>
      </c>
    </row>
    <row r="6" spans="1:7">
      <c r="A6" t="s">
        <v>186</v>
      </c>
      <c r="B6" t="s">
        <v>251</v>
      </c>
      <c r="D6" t="s">
        <v>36</v>
      </c>
      <c r="E6" t="s">
        <v>22</v>
      </c>
      <c r="F6" t="s">
        <v>30</v>
      </c>
      <c r="G6" t="s">
        <v>126</v>
      </c>
    </row>
    <row r="7" spans="1:7">
      <c r="A7" t="s">
        <v>200</v>
      </c>
      <c r="B7" t="s">
        <v>251</v>
      </c>
      <c r="D7" t="s">
        <v>39</v>
      </c>
      <c r="E7" t="s">
        <v>24</v>
      </c>
      <c r="F7" t="s">
        <v>38</v>
      </c>
      <c r="G7" t="s">
        <v>44</v>
      </c>
    </row>
    <row r="8" spans="1:7">
      <c r="A8" t="s">
        <v>201</v>
      </c>
      <c r="B8" t="s">
        <v>251</v>
      </c>
      <c r="D8" t="s">
        <v>252</v>
      </c>
      <c r="E8" t="s">
        <v>34</v>
      </c>
      <c r="F8" t="s">
        <v>45</v>
      </c>
      <c r="G8" t="s">
        <v>21</v>
      </c>
    </row>
    <row r="9" spans="1:7">
      <c r="A9" t="s">
        <v>217</v>
      </c>
      <c r="B9" t="s">
        <v>251</v>
      </c>
      <c r="D9" t="s">
        <v>16</v>
      </c>
      <c r="E9" t="s">
        <v>27</v>
      </c>
      <c r="F9" t="s">
        <v>25</v>
      </c>
      <c r="G9" t="s">
        <v>28</v>
      </c>
    </row>
    <row r="10" spans="1:7">
      <c r="A10" t="s">
        <v>202</v>
      </c>
      <c r="B10" t="s">
        <v>251</v>
      </c>
      <c r="D10" t="s">
        <v>246</v>
      </c>
      <c r="E10" t="s">
        <v>247</v>
      </c>
      <c r="F10" t="s">
        <v>248</v>
      </c>
      <c r="G10" t="s">
        <v>249</v>
      </c>
    </row>
    <row r="11" spans="1:7">
      <c r="A11" t="s">
        <v>104</v>
      </c>
      <c r="B11" t="s">
        <v>251</v>
      </c>
    </row>
    <row r="12" spans="1:7">
      <c r="A12" t="s">
        <v>105</v>
      </c>
      <c r="B12" t="s">
        <v>251</v>
      </c>
    </row>
    <row r="13" spans="1:7">
      <c r="A13" t="s">
        <v>199</v>
      </c>
      <c r="B13" t="s">
        <v>251</v>
      </c>
      <c r="D13" s="99" t="s">
        <v>256</v>
      </c>
    </row>
    <row r="14" spans="1:7">
      <c r="A14" t="s">
        <v>197</v>
      </c>
      <c r="B14" t="s">
        <v>251</v>
      </c>
      <c r="D14" s="99" t="s">
        <v>253</v>
      </c>
    </row>
    <row r="15" spans="1:7">
      <c r="A15" t="s">
        <v>198</v>
      </c>
      <c r="B15" t="s">
        <v>251</v>
      </c>
      <c r="D15" s="99" t="s">
        <v>254</v>
      </c>
    </row>
    <row r="16" spans="1:7">
      <c r="A16" t="s">
        <v>180</v>
      </c>
      <c r="B16" t="s">
        <v>251</v>
      </c>
      <c r="D16" s="99" t="s">
        <v>255</v>
      </c>
    </row>
    <row r="17" spans="1:3">
      <c r="A17" t="s">
        <v>133</v>
      </c>
      <c r="B17" t="s">
        <v>251</v>
      </c>
    </row>
    <row r="18" spans="1:3">
      <c r="A18" t="s">
        <v>233</v>
      </c>
      <c r="B18" t="s">
        <v>251</v>
      </c>
    </row>
    <row r="19" spans="1:3">
      <c r="A19" t="s">
        <v>66</v>
      </c>
      <c r="B19" t="s">
        <v>251</v>
      </c>
    </row>
    <row r="20" spans="1:3">
      <c r="A20" t="s">
        <v>203</v>
      </c>
      <c r="B20" t="s">
        <v>251</v>
      </c>
    </row>
    <row r="21" spans="1:3">
      <c r="A21" t="s">
        <v>132</v>
      </c>
      <c r="B21" t="s">
        <v>251</v>
      </c>
    </row>
    <row r="22" spans="1:3">
      <c r="A22" t="s">
        <v>111</v>
      </c>
      <c r="B22" t="s">
        <v>251</v>
      </c>
    </row>
    <row r="23" spans="1:3">
      <c r="A23" t="s">
        <v>193</v>
      </c>
      <c r="B23" t="s">
        <v>251</v>
      </c>
      <c r="C23" s="107" t="s">
        <v>272</v>
      </c>
    </row>
    <row r="24" spans="1:3">
      <c r="A24" t="s">
        <v>205</v>
      </c>
      <c r="B24" t="s">
        <v>251</v>
      </c>
    </row>
    <row r="25" spans="1:3">
      <c r="A25" t="s">
        <v>204</v>
      </c>
      <c r="B25" t="s">
        <v>251</v>
      </c>
    </row>
    <row r="26" spans="1:3">
      <c r="A26" t="s">
        <v>136</v>
      </c>
      <c r="B26" t="s">
        <v>251</v>
      </c>
    </row>
    <row r="27" spans="1:3">
      <c r="A27" t="s">
        <v>135</v>
      </c>
      <c r="B27" t="s">
        <v>251</v>
      </c>
    </row>
    <row r="28" spans="1:3">
      <c r="A28" t="s">
        <v>137</v>
      </c>
      <c r="B28" t="s">
        <v>251</v>
      </c>
    </row>
    <row r="29" spans="1:3">
      <c r="A29" s="98" t="s">
        <v>231</v>
      </c>
      <c r="B29" t="s">
        <v>250</v>
      </c>
    </row>
    <row r="30" spans="1:3">
      <c r="A30" s="98" t="s">
        <v>232</v>
      </c>
      <c r="B30" t="s">
        <v>250</v>
      </c>
    </row>
    <row r="31" spans="1:3">
      <c r="A31" s="98" t="s">
        <v>167</v>
      </c>
      <c r="B31" t="s">
        <v>250</v>
      </c>
    </row>
    <row r="32" spans="1:3">
      <c r="A32" s="98" t="s">
        <v>168</v>
      </c>
      <c r="B32" t="s">
        <v>250</v>
      </c>
    </row>
    <row r="33" spans="1:2">
      <c r="A33" s="98" t="s">
        <v>169</v>
      </c>
      <c r="B33" t="s">
        <v>250</v>
      </c>
    </row>
    <row r="34" spans="1:2">
      <c r="A34" t="s">
        <v>154</v>
      </c>
      <c r="B34" t="s">
        <v>251</v>
      </c>
    </row>
    <row r="35" spans="1:2">
      <c r="A35" t="s">
        <v>155</v>
      </c>
      <c r="B35" t="s">
        <v>251</v>
      </c>
    </row>
    <row r="36" spans="1:2">
      <c r="A36" t="s">
        <v>215</v>
      </c>
      <c r="B36" t="s">
        <v>251</v>
      </c>
    </row>
    <row r="37" spans="1:2">
      <c r="A37" s="98" t="s">
        <v>159</v>
      </c>
      <c r="B37" t="s">
        <v>250</v>
      </c>
    </row>
    <row r="38" spans="1:2">
      <c r="A38" t="s">
        <v>171</v>
      </c>
      <c r="B38" t="s">
        <v>251</v>
      </c>
    </row>
    <row r="39" spans="1:2">
      <c r="A39" t="s">
        <v>160</v>
      </c>
      <c r="B39" t="s">
        <v>251</v>
      </c>
    </row>
    <row r="40" spans="1:2">
      <c r="A40" t="s">
        <v>195</v>
      </c>
      <c r="B40" t="s">
        <v>251</v>
      </c>
    </row>
    <row r="41" spans="1:2">
      <c r="A41" t="s">
        <v>92</v>
      </c>
      <c r="B41" t="s">
        <v>251</v>
      </c>
    </row>
    <row r="42" spans="1:2">
      <c r="A42" t="s">
        <v>188</v>
      </c>
      <c r="B42" t="s">
        <v>251</v>
      </c>
    </row>
    <row r="43" spans="1:2">
      <c r="A43" t="s">
        <v>152</v>
      </c>
      <c r="B43" t="s">
        <v>251</v>
      </c>
    </row>
    <row r="44" spans="1:2">
      <c r="A44" t="s">
        <v>222</v>
      </c>
      <c r="B44" t="s">
        <v>251</v>
      </c>
    </row>
    <row r="45" spans="1:2">
      <c r="A45" t="s">
        <v>224</v>
      </c>
      <c r="B45" t="s">
        <v>251</v>
      </c>
    </row>
    <row r="46" spans="1:2">
      <c r="A46" t="s">
        <v>223</v>
      </c>
      <c r="B46" t="s">
        <v>251</v>
      </c>
    </row>
    <row r="47" spans="1:2">
      <c r="A47" t="s">
        <v>151</v>
      </c>
      <c r="B47" t="s">
        <v>251</v>
      </c>
    </row>
    <row r="48" spans="1:2">
      <c r="A48" t="s">
        <v>206</v>
      </c>
      <c r="B48" t="s">
        <v>251</v>
      </c>
    </row>
    <row r="49" spans="1:2">
      <c r="A49" t="s">
        <v>181</v>
      </c>
      <c r="B49" t="s">
        <v>251</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E7BB-7B12-4B2B-8F76-5DA7C3C329D5}">
  <sheetPr>
    <pageSetUpPr autoPageBreaks="0" fitToPage="1"/>
  </sheetPr>
  <dimension ref="B1:L24"/>
  <sheetViews>
    <sheetView zoomScale="90" zoomScaleNormal="90" workbookViewId="0"/>
  </sheetViews>
  <sheetFormatPr defaultColWidth="9.140625" defaultRowHeight="12"/>
  <cols>
    <col min="1" max="1" width="9.140625" style="145"/>
    <col min="2" max="2" width="31.85546875" style="145" bestFit="1" customWidth="1"/>
    <col min="3" max="3" width="24" style="145" customWidth="1" collapsed="1"/>
    <col min="4" max="7" width="14" style="145" customWidth="1" collapsed="1"/>
    <col min="8" max="12" width="14" style="145" customWidth="1"/>
    <col min="13" max="16384" width="9.140625" style="145"/>
  </cols>
  <sheetData>
    <row r="1" spans="2:12">
      <c r="C1" s="170" t="str">
        <f>CONCATENATE(C2,D1,C6)</f>
        <v>% Children in Childcare - LGBF Family Group 1</v>
      </c>
      <c r="D1" s="170" t="s">
        <v>290</v>
      </c>
    </row>
    <row r="2" spans="2:12" ht="12.75">
      <c r="B2" s="171" t="s">
        <v>49</v>
      </c>
      <c r="C2" s="172" t="s">
        <v>275</v>
      </c>
      <c r="E2" s="173"/>
      <c r="F2" s="467" t="s">
        <v>216</v>
      </c>
      <c r="G2" s="468"/>
    </row>
    <row r="3" spans="2:12" ht="12.75">
      <c r="B3" s="171" t="s">
        <v>50</v>
      </c>
      <c r="C3" s="310" t="s">
        <v>273</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East Renfrewshire</v>
      </c>
      <c r="D7" s="217">
        <f>VLOOKUP($C7,'Raw - Childcare'!$A:$Q,4,FALSE)</f>
        <v>28.09732261020055</v>
      </c>
      <c r="E7" s="217">
        <f>VLOOKUP($C7,'Raw - Childcare'!$A:$Q,8,FALSE)</f>
        <v>29.338612253185119</v>
      </c>
      <c r="F7" s="217">
        <f>VLOOKUP($C7,'Raw - Childcare'!$A:$Q,12,FALSE)</f>
        <v>30.810618750317243</v>
      </c>
      <c r="G7" s="217">
        <f>VLOOKUP($C7,'Raw - Childcare'!$A:$Q,16,FALSE)</f>
        <v>29.84620070047206</v>
      </c>
      <c r="H7" s="218">
        <f>VLOOKUP(C7,'Raw - Childcare'!A:Q,14,FALSE)</f>
        <v>5880</v>
      </c>
      <c r="I7" s="219">
        <f>IFERROR(SUM(G7-D7),"-")</f>
        <v>1.7488780902715106</v>
      </c>
      <c r="J7" s="220">
        <f>IFERROR(SUM(VLOOKUP(C7,'Raw - Childcare'!A:Q,14,FALSE)-VLOOKUP(C7,'Raw - Childcare'!A:Q,2,FALSE)),"-")</f>
        <v>360</v>
      </c>
      <c r="K7" s="221">
        <f t="shared" ref="K7:K14" si="0">IF(IF($K$5="City Region Comparator",SUM(G$19-G7),IF($K$5="LGBF Family Group Average",SUM(G$18-G7),IF($K$5="Scotland",SUM(G$20-G7),IF($K$5="United Kingdom",SUM(G$21-G7),SUM(G$17-G7)))))&lt;=0,"",IF($K$5="City Region Comparator",SUM(G$19-G7),IF($K$5="LGBF Family Group Average",SUM(G$18-G7),IF($K$5="Scotland",SUM(G$20-G7),IF($K$5="United Kingdom",SUM(G$21-G7),SUM(G$17-G7))))))</f>
        <v>5.8973470258696068</v>
      </c>
      <c r="L7" s="222">
        <f>IF(K7=""," ",IF($K$5="LGBF Family Group Average",SUM(MROUND(SUM(SUM(VLOOKUP(C$18,'Raw - Childcare'!A:Q,16,FALSE)*VLOOKUP(C7,'Raw - Childcare'!A:Q,15,FALSE))/100),100)-MROUND(SUM(SUM(VLOOKUP(C7,'Raw - Childcare'!A:Q,16,FALSE)*VLOOKUP(C7,'Raw - Childcare'!A:Q,15,FALSE))/100),100)),IF($K$5="City Region Comparator",SUM(MROUND(SUM(SUM(VLOOKUP(C$19,'Raw - Childcare'!A:Q,16,FALSE)*VLOOKUP(C7,'Raw - Childcare'!A:Q,15,FALSE))/100),100)-MROUND(SUM(SUM(VLOOKUP(C7,'Raw - Childcare'!A:Q,16,FALSE)*VLOOKUP(C7,'Raw - Childcare'!A:Q,15,FALSE))/100),100)),IF($K$5="Scotland",SUM(MROUND(SUM(SUM(VLOOKUP(C$20,'Raw - Childcare'!A:Q,16,FALSE)*VLOOKUP(C7,'Raw - Childcare'!A:Q,15,FALSE))/100),100)-MROUND(SUM(SUM(VLOOKUP(C7,'Raw - Childcare'!A:Q,16,FALSE)*VLOOKUP(C7,'Raw - Childcare'!A:Q,15,FALSE))/100),100)),IF($K$5="United Kingdom",SUM(MROUND(SUM(SUM(VLOOKUP(C$21,'Raw - Childcare'!A:Q,16,FALSE)*VLOOKUP(C7,'Raw - Childcare'!A:Q,15,FALSE))/100),100)-MROUND(SUM(SUM(VLOOKUP(C7,'Raw - Childcare'!A:Q,16,FALSE)*VLOOKUP(C7,'Raw - Childcare'!A:Q,15,FALSE))/100),100)),SUM(MROUND(SUM(SUM(VLOOKUP(C$17,'Raw - Childcare'!A:Q,16,FALSE)*VLOOKUP(C7,'Raw - Childcare'!A:Q,15,FALSE))/100),100)-MROUND(SUM(SUM(VLOOKUP(C7,'Raw - Childcare'!A:Q,16,FALSE)*VLOOKUP(C7,'Raw - Childcare'!A:Q,15,FALSE))/100),100)))))))</f>
        <v>1100</v>
      </c>
    </row>
    <row r="8" spans="2:12" s="137" customFormat="1" ht="19.5" customHeight="1">
      <c r="B8" s="216" t="s">
        <v>153</v>
      </c>
      <c r="C8" s="216" t="str">
        <f>IF(C$6="LGBF Family Group 1",Lookups!B29,IF(C$6="LGBF Family Group 2",Lookups!C29,IF(C$6="LGBF Family Group 3",Lookups!D29,Lookups!E29)))</f>
        <v>East Dunbartonshire</v>
      </c>
      <c r="D8" s="217">
        <f>VLOOKUP($C8,'Raw - Childcare'!$A:$Q,4,FALSE)</f>
        <v>31.538461538461537</v>
      </c>
      <c r="E8" s="217">
        <f>VLOOKUP($C8,'Raw - Childcare'!$A:$Q,8,FALSE)</f>
        <v>33.439164276935678</v>
      </c>
      <c r="F8" s="217">
        <f>VLOOKUP($C8,'Raw - Childcare'!$A:$Q,12,FALSE)</f>
        <v>34.616960262187625</v>
      </c>
      <c r="G8" s="217">
        <f>VLOOKUP($C8,'Raw - Childcare'!$A:$Q,16,FALSE)</f>
        <v>35.743547726341667</v>
      </c>
      <c r="H8" s="218">
        <f>VLOOKUP(C8,'Raw - Childcare'!A:Q,14,FALSE)</f>
        <v>6980.0000000000009</v>
      </c>
      <c r="I8" s="219">
        <f t="shared" ref="I8:I14" si="1">IFERROR(SUM(G8-D8),"-")</f>
        <v>4.2050861878801307</v>
      </c>
      <c r="J8" s="220">
        <f>IFERROR(SUM(VLOOKUP(C8,'Raw - Childcare'!A:Q,14,FALSE)-VLOOKUP(C8,'Raw - Childcare'!A:Q,2,FALSE)),"-")</f>
        <v>830.00000000000091</v>
      </c>
      <c r="K8" s="221" t="str">
        <f t="shared" si="0"/>
        <v/>
      </c>
      <c r="L8" s="222" t="str">
        <f>IF(K8=""," ",IF($K$5="LGBF Family Group Average",SUM(MROUND(SUM(SUM(VLOOKUP(C$18,'Raw - Childcare'!A:Q,16,FALSE)*VLOOKUP(C8,'Raw - Childcare'!A:Q,15,FALSE))/100),100)-MROUND(SUM(SUM(VLOOKUP(C8,'Raw - Childcare'!A:Q,16,FALSE)*VLOOKUP(C8,'Raw - Childcare'!A:Q,15,FALSE))/100),100)),IF($K$5="City Region Comparator",SUM(MROUND(SUM(SUM(VLOOKUP(C$19,'Raw - Childcare'!A:Q,16,FALSE)*VLOOKUP(C8,'Raw - Childcare'!A:Q,15,FALSE))/100),100)-MROUND(SUM(SUM(VLOOKUP(C8,'Raw - Childcare'!A:Q,16,FALSE)*VLOOKUP(C8,'Raw - Childcare'!A:Q,15,FALSE))/100),100)),IF($K$5="Scotland",SUM(MROUND(SUM(SUM(VLOOKUP(C$20,'Raw - Childcare'!A:Q,16,FALSE)*VLOOKUP(C8,'Raw - Childcare'!A:Q,15,FALSE))/100),100)-MROUND(SUM(SUM(VLOOKUP(C8,'Raw - Childcare'!A:Q,16,FALSE)*VLOOKUP(C8,'Raw - Childcare'!A:Q,15,FALSE))/100),100)),IF($K$5="United Kingdom",SUM(MROUND(SUM(SUM(VLOOKUP(C$21,'Raw - Childcare'!A:Q,16,FALSE)*VLOOKUP(C8,'Raw - Childcare'!A:Q,15,FALSE))/100),100)-MROUND(SUM(SUM(VLOOKUP(C8,'Raw - Childcare'!A:Q,16,FALSE)*VLOOKUP(C8,'Raw - Childcare'!A:Q,15,FALSE))/100),100)),SUM(MROUND(SUM(SUM(VLOOKUP(C$17,'Raw - Childcare'!A:Q,16,FALSE)*VLOOKUP(C8,'Raw - Childcare'!A:Q,15,FALSE))/100),100)-MROUND(SUM(SUM(VLOOKUP(C8,'Raw - Childcare'!A:Q,16,FALSE)*VLOOKUP(C8,'Raw - Childcare'!A:Q,15,FALSE))/100),100)))))))</f>
        <v xml:space="preserve"> </v>
      </c>
    </row>
    <row r="9" spans="2:12" s="137" customFormat="1" ht="19.5" customHeight="1">
      <c r="B9" s="216" t="s">
        <v>153</v>
      </c>
      <c r="C9" s="216" t="str">
        <f>IF(C$6="LGBF Family Group 1",Lookups!B30,IF(C$6="LGBF Family Group 2",Lookups!C30,IF(C$6="LGBF Family Group 3",Lookups!D30,Lookups!E30)))</f>
        <v>Aberdeenshire</v>
      </c>
      <c r="D9" s="217">
        <f>VLOOKUP($C9,'Raw - Childcare'!$A:$Q,4,FALSE)</f>
        <v>23.174590130254344</v>
      </c>
      <c r="E9" s="217">
        <f>VLOOKUP($C9,'Raw - Childcare'!$A:$Q,8,FALSE)</f>
        <v>24.187903989460253</v>
      </c>
      <c r="F9" s="217">
        <f>VLOOKUP($C9,'Raw - Childcare'!$A:$Q,12,FALSE)</f>
        <v>24.414343941702008</v>
      </c>
      <c r="G9" s="217">
        <f>VLOOKUP($C9,'Raw - Childcare'!$A:$Q,16,FALSE)</f>
        <v>24.290831240479228</v>
      </c>
      <c r="H9" s="218">
        <f>VLOOKUP(C9,'Raw - Childcare'!A:Q,14,FALSE)</f>
        <v>11799.999999999998</v>
      </c>
      <c r="I9" s="219">
        <f t="shared" si="1"/>
        <v>1.1162411102248839</v>
      </c>
      <c r="J9" s="220">
        <f>IFERROR(SUM(VLOOKUP(C9,'Raw - Childcare'!A:Q,14,FALSE)-VLOOKUP(C9,'Raw - Childcare'!A:Q,2,FALSE)),"-")</f>
        <v>519.99999999999818</v>
      </c>
      <c r="K9" s="221">
        <f t="shared" si="0"/>
        <v>11.452716485862439</v>
      </c>
      <c r="L9" s="222">
        <f>IF(K9=""," ",IF($K$5="LGBF Family Group Average",SUM(MROUND(SUM(SUM(VLOOKUP(C$18,'Raw - Childcare'!A:Q,16,FALSE)*VLOOKUP(C9,'Raw - Childcare'!A:Q,15,FALSE))/100),100)-MROUND(SUM(SUM(VLOOKUP(C9,'Raw - Childcare'!A:Q,16,FALSE)*VLOOKUP(C9,'Raw - Childcare'!A:Q,15,FALSE))/100),100)),IF($K$5="City Region Comparator",SUM(MROUND(SUM(SUM(VLOOKUP(C$19,'Raw - Childcare'!A:Q,16,FALSE)*VLOOKUP(C9,'Raw - Childcare'!A:Q,15,FALSE))/100),100)-MROUND(SUM(SUM(VLOOKUP(C9,'Raw - Childcare'!A:Q,16,FALSE)*VLOOKUP(C9,'Raw - Childcare'!A:Q,15,FALSE))/100),100)),IF($K$5="Scotland",SUM(MROUND(SUM(SUM(VLOOKUP(C$20,'Raw - Childcare'!A:Q,16,FALSE)*VLOOKUP(C9,'Raw - Childcare'!A:Q,15,FALSE))/100),100)-MROUND(SUM(SUM(VLOOKUP(C9,'Raw - Childcare'!A:Q,16,FALSE)*VLOOKUP(C9,'Raw - Childcare'!A:Q,15,FALSE))/100),100)),IF($K$5="United Kingdom",SUM(MROUND(SUM(SUM(VLOOKUP(C$21,'Raw - Childcare'!A:Q,16,FALSE)*VLOOKUP(C9,'Raw - Childcare'!A:Q,15,FALSE))/100),100)-MROUND(SUM(SUM(VLOOKUP(C9,'Raw - Childcare'!A:Q,16,FALSE)*VLOOKUP(C9,'Raw - Childcare'!A:Q,15,FALSE))/100),100)),SUM(MROUND(SUM(SUM(VLOOKUP(C$17,'Raw - Childcare'!A:Q,16,FALSE)*VLOOKUP(C9,'Raw - Childcare'!A:Q,15,FALSE))/100),100)-MROUND(SUM(SUM(VLOOKUP(C9,'Raw - Childcare'!A:Q,16,FALSE)*VLOOKUP(C9,'Raw - Childcare'!A:Q,15,FALSE))/100),100)))))))</f>
        <v>5600</v>
      </c>
    </row>
    <row r="10" spans="2:12" s="137" customFormat="1" ht="19.5" customHeight="1">
      <c r="B10" s="216" t="s">
        <v>153</v>
      </c>
      <c r="C10" s="216" t="str">
        <f>IF(C$6="LGBF Family Group 1",Lookups!B31,IF(C$6="LGBF Family Group 2",Lookups!C31,IF(C$6="LGBF Family Group 3",Lookups!D31,Lookups!E31)))</f>
        <v>Edinburgh, City of</v>
      </c>
      <c r="D10" s="217">
        <f>VLOOKUP($C10,'Raw - Childcare'!$A:$Q,4,FALSE)</f>
        <v>30.372710044219836</v>
      </c>
      <c r="E10" s="217">
        <f>VLOOKUP($C10,'Raw - Childcare'!$A:$Q,8,FALSE)</f>
        <v>32.4131631695126</v>
      </c>
      <c r="F10" s="217">
        <f>VLOOKUP($C10,'Raw - Childcare'!$A:$Q,12,FALSE)</f>
        <v>30.62441326465887</v>
      </c>
      <c r="G10" s="217">
        <f>VLOOKUP($C10,'Raw - Childcare'!$A:$Q,16,FALSE)</f>
        <v>29.254306954558142</v>
      </c>
      <c r="H10" s="218">
        <f>VLOOKUP(C10,'Raw - Childcare'!A:Q,14,FALSE)</f>
        <v>23060</v>
      </c>
      <c r="I10" s="219">
        <f t="shared" si="1"/>
        <v>-1.1184030896616939</v>
      </c>
      <c r="J10" s="220">
        <f>IFERROR(SUM(VLOOKUP(C10,'Raw - Childcare'!A:Q,14,FALSE)-VLOOKUP(C10,'Raw - Childcare'!A:Q,2,FALSE)),"-")</f>
        <v>-980</v>
      </c>
      <c r="K10" s="221">
        <f t="shared" si="0"/>
        <v>6.4892407717835248</v>
      </c>
      <c r="L10" s="222">
        <f>IF(K10=""," ",IF($K$5="LGBF Family Group Average",SUM(MROUND(SUM(SUM(VLOOKUP(C$18,'Raw - Childcare'!A:Q,16,FALSE)*VLOOKUP(C10,'Raw - Childcare'!A:Q,15,FALSE))/100),100)-MROUND(SUM(SUM(VLOOKUP(C10,'Raw - Childcare'!A:Q,16,FALSE)*VLOOKUP(C10,'Raw - Childcare'!A:Q,15,FALSE))/100),100)),IF($K$5="City Region Comparator",SUM(MROUND(SUM(SUM(VLOOKUP(C$19,'Raw - Childcare'!A:Q,16,FALSE)*VLOOKUP(C10,'Raw - Childcare'!A:Q,15,FALSE))/100),100)-MROUND(SUM(SUM(VLOOKUP(C10,'Raw - Childcare'!A:Q,16,FALSE)*VLOOKUP(C10,'Raw - Childcare'!A:Q,15,FALSE))/100),100)),IF($K$5="Scotland",SUM(MROUND(SUM(SUM(VLOOKUP(C$20,'Raw - Childcare'!A:Q,16,FALSE)*VLOOKUP(C10,'Raw - Childcare'!A:Q,15,FALSE))/100),100)-MROUND(SUM(SUM(VLOOKUP(C10,'Raw - Childcare'!A:Q,16,FALSE)*VLOOKUP(C10,'Raw - Childcare'!A:Q,15,FALSE))/100),100)),IF($K$5="United Kingdom",SUM(MROUND(SUM(SUM(VLOOKUP(C$21,'Raw - Childcare'!A:Q,16,FALSE)*VLOOKUP(C10,'Raw - Childcare'!A:Q,15,FALSE))/100),100)-MROUND(SUM(SUM(VLOOKUP(C10,'Raw - Childcare'!A:Q,16,FALSE)*VLOOKUP(C10,'Raw - Childcare'!A:Q,15,FALSE))/100),100)),SUM(MROUND(SUM(SUM(VLOOKUP(C$17,'Raw - Childcare'!A:Q,16,FALSE)*VLOOKUP(C10,'Raw - Childcare'!A:Q,15,FALSE))/100),100)-MROUND(SUM(SUM(VLOOKUP(C10,'Raw - Childcare'!A:Q,16,FALSE)*VLOOKUP(C10,'Raw - Childcare'!A:Q,15,FALSE))/100),100)))))))</f>
        <v>5100</v>
      </c>
    </row>
    <row r="11" spans="2:12" s="137" customFormat="1" ht="19.5" customHeight="1">
      <c r="B11" s="216" t="s">
        <v>153</v>
      </c>
      <c r="C11" s="216" t="str">
        <f>IF(C$6="LGBF Family Group 1",Lookups!B32,IF(C$6="LGBF Family Group 2",Lookups!C32,IF(C$6="LGBF Family Group 3",Lookups!D32,Lookups!E32)))</f>
        <v>Perth and Kinross</v>
      </c>
      <c r="D11" s="217">
        <f>VLOOKUP($C11,'Raw - Childcare'!$A:$Q,4,FALSE)</f>
        <v>26.522026068305561</v>
      </c>
      <c r="E11" s="217">
        <f>VLOOKUP($C11,'Raw - Childcare'!$A:$Q,8,FALSE)</f>
        <v>31.340325377818154</v>
      </c>
      <c r="F11" s="217">
        <f>VLOOKUP($C11,'Raw - Childcare'!$A:$Q,12,FALSE)</f>
        <v>30.803534561070276</v>
      </c>
      <c r="G11" s="217">
        <f>VLOOKUP($C11,'Raw - Childcare'!$A:$Q,16,FALSE)</f>
        <v>31.381616979106447</v>
      </c>
      <c r="H11" s="218">
        <f>VLOOKUP(C11,'Raw - Childcare'!A:Q,14,FALSE)</f>
        <v>7599.9999999999991</v>
      </c>
      <c r="I11" s="219">
        <f t="shared" si="1"/>
        <v>4.8595909108008861</v>
      </c>
      <c r="J11" s="220">
        <f>IFERROR(SUM(VLOOKUP(C11,'Raw - Childcare'!A:Q,14,FALSE)-VLOOKUP(C11,'Raw - Childcare'!A:Q,2,FALSE)),"-")</f>
        <v>1169.9999999999991</v>
      </c>
      <c r="K11" s="221">
        <f t="shared" si="0"/>
        <v>4.3619307472352205</v>
      </c>
      <c r="L11" s="222">
        <f>IF(K11=""," ",IF($K$5="LGBF Family Group Average",SUM(MROUND(SUM(SUM(VLOOKUP(C$18,'Raw - Childcare'!A:Q,16,FALSE)*VLOOKUP(C11,'Raw - Childcare'!A:Q,15,FALSE))/100),100)-MROUND(SUM(SUM(VLOOKUP(C11,'Raw - Childcare'!A:Q,16,FALSE)*VLOOKUP(C11,'Raw - Childcare'!A:Q,15,FALSE))/100),100)),IF($K$5="City Region Comparator",SUM(MROUND(SUM(SUM(VLOOKUP(C$19,'Raw - Childcare'!A:Q,16,FALSE)*VLOOKUP(C11,'Raw - Childcare'!A:Q,15,FALSE))/100),100)-MROUND(SUM(SUM(VLOOKUP(C11,'Raw - Childcare'!A:Q,16,FALSE)*VLOOKUP(C11,'Raw - Childcare'!A:Q,15,FALSE))/100),100)),IF($K$5="Scotland",SUM(MROUND(SUM(SUM(VLOOKUP(C$20,'Raw - Childcare'!A:Q,16,FALSE)*VLOOKUP(C11,'Raw - Childcare'!A:Q,15,FALSE))/100),100)-MROUND(SUM(SUM(VLOOKUP(C11,'Raw - Childcare'!A:Q,16,FALSE)*VLOOKUP(C11,'Raw - Childcare'!A:Q,15,FALSE))/100),100)),IF($K$5="United Kingdom",SUM(MROUND(SUM(SUM(VLOOKUP(C$21,'Raw - Childcare'!A:Q,16,FALSE)*VLOOKUP(C11,'Raw - Childcare'!A:Q,15,FALSE))/100),100)-MROUND(SUM(SUM(VLOOKUP(C11,'Raw - Childcare'!A:Q,16,FALSE)*VLOOKUP(C11,'Raw - Childcare'!A:Q,15,FALSE))/100),100)),SUM(MROUND(SUM(SUM(VLOOKUP(C$17,'Raw - Childcare'!A:Q,16,FALSE)*VLOOKUP(C11,'Raw - Childcare'!A:Q,15,FALSE))/100),100)-MROUND(SUM(SUM(VLOOKUP(C11,'Raw - Childcare'!A:Q,16,FALSE)*VLOOKUP(C11,'Raw - Childcare'!A:Q,15,FALSE))/100),100)))))))</f>
        <v>1100</v>
      </c>
    </row>
    <row r="12" spans="2:12" s="137" customFormat="1" ht="19.5" customHeight="1">
      <c r="B12" s="216" t="s">
        <v>153</v>
      </c>
      <c r="C12" s="216" t="str">
        <f>IF(C$6="LGBF Family Group 1",Lookups!B33,IF(C$6="LGBF Family Group 2",Lookups!C33,IF(C$6="LGBF Family Group 3",Lookups!D33,Lookups!E33)))</f>
        <v>Aberdeen City</v>
      </c>
      <c r="D12" s="217">
        <f>VLOOKUP($C12,'Raw - Childcare'!$A:$Q,4,FALSE)</f>
        <v>22.297353935566793</v>
      </c>
      <c r="E12" s="217">
        <f>VLOOKUP($C12,'Raw - Childcare'!$A:$Q,8,FALSE)</f>
        <v>23.201338538761853</v>
      </c>
      <c r="F12" s="217">
        <f>VLOOKUP($C12,'Raw - Childcare'!$A:$Q,12,FALSE)</f>
        <v>25.432236475181263</v>
      </c>
      <c r="G12" s="217">
        <f>VLOOKUP($C12,'Raw - Childcare'!$A:$Q,16,FALSE)</f>
        <v>25.543781372002233</v>
      </c>
      <c r="H12" s="218">
        <f>VLOOKUP(C12,'Raw - Childcare'!A:Q,14,FALSE)</f>
        <v>9160</v>
      </c>
      <c r="I12" s="219">
        <f t="shared" si="1"/>
        <v>3.2464274364354395</v>
      </c>
      <c r="J12" s="220">
        <f>IFERROR(SUM(VLOOKUP(C12,'Raw - Childcare'!A:Q,14,FALSE)-VLOOKUP(C12,'Raw - Childcare'!A:Q,2,FALSE)),"-")</f>
        <v>1180</v>
      </c>
      <c r="K12" s="221">
        <f t="shared" si="0"/>
        <v>10.199766354339435</v>
      </c>
      <c r="L12" s="222">
        <f>IF(K12=""," ",IF($K$5="LGBF Family Group Average",SUM(MROUND(SUM(SUM(VLOOKUP(C$18,'Raw - Childcare'!A:Q,16,FALSE)*VLOOKUP(C12,'Raw - Childcare'!A:Q,15,FALSE))/100),100)-MROUND(SUM(SUM(VLOOKUP(C12,'Raw - Childcare'!A:Q,16,FALSE)*VLOOKUP(C12,'Raw - Childcare'!A:Q,15,FALSE))/100),100)),IF($K$5="City Region Comparator",SUM(MROUND(SUM(SUM(VLOOKUP(C$19,'Raw - Childcare'!A:Q,16,FALSE)*VLOOKUP(C12,'Raw - Childcare'!A:Q,15,FALSE))/100),100)-MROUND(SUM(SUM(VLOOKUP(C12,'Raw - Childcare'!A:Q,16,FALSE)*VLOOKUP(C12,'Raw - Childcare'!A:Q,15,FALSE))/100),100)),IF($K$5="Scotland",SUM(MROUND(SUM(SUM(VLOOKUP(C$20,'Raw - Childcare'!A:Q,16,FALSE)*VLOOKUP(C12,'Raw - Childcare'!A:Q,15,FALSE))/100),100)-MROUND(SUM(SUM(VLOOKUP(C12,'Raw - Childcare'!A:Q,16,FALSE)*VLOOKUP(C12,'Raw - Childcare'!A:Q,15,FALSE))/100),100)),IF($K$5="United Kingdom",SUM(MROUND(SUM(SUM(VLOOKUP(C$21,'Raw - Childcare'!A:Q,16,FALSE)*VLOOKUP(C12,'Raw - Childcare'!A:Q,15,FALSE))/100),100)-MROUND(SUM(SUM(VLOOKUP(C12,'Raw - Childcare'!A:Q,16,FALSE)*VLOOKUP(C12,'Raw - Childcare'!A:Q,15,FALSE))/100),100)),SUM(MROUND(SUM(SUM(VLOOKUP(C$17,'Raw - Childcare'!A:Q,16,FALSE)*VLOOKUP(C12,'Raw - Childcare'!A:Q,15,FALSE))/100),100)-MROUND(SUM(SUM(VLOOKUP(C12,'Raw - Childcare'!A:Q,16,FALSE)*VLOOKUP(C12,'Raw - Childcare'!A:Q,15,FALSE))/100),100)))))))</f>
        <v>3600</v>
      </c>
    </row>
    <row r="13" spans="2:12" s="137" customFormat="1" ht="19.5" customHeight="1">
      <c r="B13" s="216" t="s">
        <v>153</v>
      </c>
      <c r="C13" s="216" t="str">
        <f>IF(C$6="LGBF Family Group 1",Lookups!B34,IF(C$6="LGBF Family Group 2",Lookups!C34,IF(C$6="LGBF Family Group 3",Lookups!D34,Lookups!E34)))</f>
        <v>Shetland Islands</v>
      </c>
      <c r="D13" s="217">
        <f>VLOOKUP($C13,'Raw - Childcare'!$A:$Q,4,FALSE)</f>
        <v>25.493025493025495</v>
      </c>
      <c r="E13" s="217">
        <f>VLOOKUP($C13,'Raw - Childcare'!$A:$Q,8,FALSE)</f>
        <v>24.610136452241711</v>
      </c>
      <c r="F13" s="217">
        <f>VLOOKUP($C13,'Raw - Childcare'!$A:$Q,12,FALSE)</f>
        <v>26.315789473684209</v>
      </c>
      <c r="G13" s="217">
        <f>VLOOKUP($C13,'Raw - Childcare'!$A:$Q,16,FALSE)</f>
        <v>24.853801169590643</v>
      </c>
      <c r="H13" s="218">
        <f>VLOOKUP(C13,'Raw - Childcare'!A:Q,14,FALSE)</f>
        <v>1020</v>
      </c>
      <c r="I13" s="219">
        <f t="shared" si="1"/>
        <v>-0.63922432343485269</v>
      </c>
      <c r="J13" s="220">
        <f>IFERROR(SUM(VLOOKUP(C13,'Raw - Childcare'!A:Q,14,FALSE)-VLOOKUP(C13,'Raw - Childcare'!A:Q,2,FALSE)),"-")</f>
        <v>-40</v>
      </c>
      <c r="K13" s="221">
        <f t="shared" si="0"/>
        <v>10.889746556751025</v>
      </c>
      <c r="L13" s="222">
        <f>IF(K13=""," ",IF($K$5="LGBF Family Group Average",SUM(MROUND(SUM(SUM(VLOOKUP(C$18,'Raw - Childcare'!A:Q,16,FALSE)*VLOOKUP(C13,'Raw - Childcare'!A:Q,15,FALSE))/100),100)-MROUND(SUM(SUM(VLOOKUP(C13,'Raw - Childcare'!A:Q,16,FALSE)*VLOOKUP(C13,'Raw - Childcare'!A:Q,15,FALSE))/100),100)),IF($K$5="City Region Comparator",SUM(MROUND(SUM(SUM(VLOOKUP(C$19,'Raw - Childcare'!A:Q,16,FALSE)*VLOOKUP(C13,'Raw - Childcare'!A:Q,15,FALSE))/100),100)-MROUND(SUM(SUM(VLOOKUP(C13,'Raw - Childcare'!A:Q,16,FALSE)*VLOOKUP(C13,'Raw - Childcare'!A:Q,15,FALSE))/100),100)),IF($K$5="Scotland",SUM(MROUND(SUM(SUM(VLOOKUP(C$20,'Raw - Childcare'!A:Q,16,FALSE)*VLOOKUP(C13,'Raw - Childcare'!A:Q,15,FALSE))/100),100)-MROUND(SUM(SUM(VLOOKUP(C13,'Raw - Childcare'!A:Q,16,FALSE)*VLOOKUP(C13,'Raw - Childcare'!A:Q,15,FALSE))/100),100)),IF($K$5="United Kingdom",SUM(MROUND(SUM(SUM(VLOOKUP(C$21,'Raw - Childcare'!A:Q,16,FALSE)*VLOOKUP(C13,'Raw - Childcare'!A:Q,15,FALSE))/100),100)-MROUND(SUM(SUM(VLOOKUP(C13,'Raw - Childcare'!A:Q,16,FALSE)*VLOOKUP(C13,'Raw - Childcare'!A:Q,15,FALSE))/100),100)),SUM(MROUND(SUM(SUM(VLOOKUP(C$17,'Raw - Childcare'!A:Q,16,FALSE)*VLOOKUP(C13,'Raw - Childcare'!A:Q,15,FALSE))/100),100)-MROUND(SUM(SUM(VLOOKUP(C13,'Raw - Childcare'!A:Q,16,FALSE)*VLOOKUP(C13,'Raw - Childcare'!A:Q,15,FALSE))/100),100)))))))</f>
        <v>500</v>
      </c>
    </row>
    <row r="14" spans="2:12" s="137" customFormat="1" ht="19.5" customHeight="1">
      <c r="B14" s="216" t="s">
        <v>153</v>
      </c>
      <c r="C14" s="216" t="str">
        <f>IF(C$6="LGBF Family Group 1",Lookups!B35,IF(C$6="LGBF Family Group 2",Lookups!C35,IF(C$6="LGBF Family Group 3",Lookups!D35,Lookups!E35)))</f>
        <v>Orkney Islands</v>
      </c>
      <c r="D14" s="217">
        <f>VLOOKUP($C14,'Raw - Childcare'!$A:$Q,4,FALSE)</f>
        <v>15.121814617754131</v>
      </c>
      <c r="E14" s="217">
        <f>VLOOKUP($C14,'Raw - Childcare'!$A:$Q,8,FALSE)</f>
        <v>18.012946805516464</v>
      </c>
      <c r="F14" s="217">
        <f>VLOOKUP($C14,'Raw - Childcare'!$A:$Q,12,FALSE)</f>
        <v>18.857303687025048</v>
      </c>
      <c r="G14" s="217">
        <f>VLOOKUP($C14,'Raw - Childcare'!$A:$Q,16,FALSE)</f>
        <v>16.887137630171686</v>
      </c>
      <c r="H14" s="218">
        <f>VLOOKUP(C14,'Raw - Childcare'!A:Q,14,FALSE)</f>
        <v>600</v>
      </c>
      <c r="I14" s="219">
        <f t="shared" si="1"/>
        <v>1.7653230124175554</v>
      </c>
      <c r="J14" s="220">
        <f>IFERROR(SUM(VLOOKUP(C14,'Raw - Childcare'!A:Q,14,FALSE)-VLOOKUP(C14,'Raw - Childcare'!A:Q,2,FALSE)),"-")</f>
        <v>60</v>
      </c>
      <c r="K14" s="221">
        <f t="shared" si="0"/>
        <v>18.856410096169981</v>
      </c>
      <c r="L14" s="222">
        <f>IF(K14=""," ",IF($K$5="LGBF Family Group Average",SUM(MROUND(SUM(SUM(VLOOKUP(C$18,'Raw - Childcare'!A:Q,16,FALSE)*VLOOKUP(C14,'Raw - Childcare'!A:Q,15,FALSE))/100),100)-MROUND(SUM(SUM(VLOOKUP(C14,'Raw - Childcare'!A:Q,16,FALSE)*VLOOKUP(C14,'Raw - Childcare'!A:Q,15,FALSE))/100),100)),IF($K$5="City Region Comparator",SUM(MROUND(SUM(SUM(VLOOKUP(C$19,'Raw - Childcare'!A:Q,16,FALSE)*VLOOKUP(C14,'Raw - Childcare'!A:Q,15,FALSE))/100),100)-MROUND(SUM(SUM(VLOOKUP(C14,'Raw - Childcare'!A:Q,16,FALSE)*VLOOKUP(C14,'Raw - Childcare'!A:Q,15,FALSE))/100),100)),IF($K$5="Scotland",SUM(MROUND(SUM(SUM(VLOOKUP(C$20,'Raw - Childcare'!A:Q,16,FALSE)*VLOOKUP(C14,'Raw - Childcare'!A:Q,15,FALSE))/100),100)-MROUND(SUM(SUM(VLOOKUP(C14,'Raw - Childcare'!A:Q,16,FALSE)*VLOOKUP(C14,'Raw - Childcare'!A:Q,15,FALSE))/100),100)),IF($K$5="United Kingdom",SUM(MROUND(SUM(SUM(VLOOKUP(C$21,'Raw - Childcare'!A:Q,16,FALSE)*VLOOKUP(C14,'Raw - Childcare'!A:Q,15,FALSE))/100),100)-MROUND(SUM(SUM(VLOOKUP(C14,'Raw - Childcare'!A:Q,16,FALSE)*VLOOKUP(C14,'Raw - Childcare'!A:Q,15,FALSE))/100),100)),SUM(MROUND(SUM(SUM(VLOOKUP(C$17,'Raw - Childcare'!A:Q,16,FALSE)*VLOOKUP(C14,'Raw - Childcare'!A:Q,15,FALSE))/100),100)-MROUND(SUM(SUM(VLOOKUP(C14,'Raw - Childcare'!A:Q,16,FALSE)*VLOOKUP(C14,'Raw - Childcare'!A:Q,15,FALSE))/100),100)))))))</f>
        <v>700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Childcare'!$A$9:$A$40,MATCH(MAX('Raw - Childcare'!P9:P40),'Raw - Childcare'!P9:P40,0))</f>
        <v>East Dunbartonshire</v>
      </c>
      <c r="D17" s="217">
        <f>VLOOKUP($C17,'Raw - Childcare'!$A:$Q,4,FALSE)</f>
        <v>31.538461538461537</v>
      </c>
      <c r="E17" s="217">
        <f>VLOOKUP($C17,'Raw - Childcare'!$A:$Q,8,FALSE)</f>
        <v>33.439164276935678</v>
      </c>
      <c r="F17" s="217">
        <f>VLOOKUP($C17,'Raw - Childcare'!$A:$Q,12,FALSE)</f>
        <v>34.616960262187625</v>
      </c>
      <c r="G17" s="217">
        <f>VLOOKUP($C17,'Raw - Childcare'!$A:$Q,16,FALSE)</f>
        <v>35.743547726341667</v>
      </c>
      <c r="H17" s="218">
        <f>VLOOKUP(C17,'Raw - Childcare'!A:Q,14,FALSE)</f>
        <v>6980.0000000000009</v>
      </c>
      <c r="I17" s="219">
        <f t="shared" ref="I17" si="2">IFERROR(SUM(G17-D17),"-")</f>
        <v>4.2050861878801307</v>
      </c>
      <c r="J17" s="220">
        <f>IFERROR(SUM(VLOOKUP(C17,'Raw - Childcare'!A:Q,14,FALSE)-VLOOKUP(C17,'Raw - Childcare'!A:Q,2,FALSE)),"-")</f>
        <v>830.00000000000091</v>
      </c>
    </row>
    <row r="18" spans="2:12" s="137" customFormat="1" ht="19.5" customHeight="1">
      <c r="B18" s="226" t="s">
        <v>271</v>
      </c>
      <c r="C18" s="227" t="s">
        <v>246</v>
      </c>
      <c r="D18" s="217">
        <f>VLOOKUP($C18,'Raw - Childcare'!$A:$Q,4,FALSE)</f>
        <v>26.839118654465516</v>
      </c>
      <c r="E18" s="217">
        <f>VLOOKUP($C18,'Raw - Childcare'!$A:$Q,8,FALSE)</f>
        <v>28.660055980338612</v>
      </c>
      <c r="F18" s="217">
        <f>VLOOKUP($C18,'Raw - Childcare'!$A:$Q,12,FALSE)</f>
        <v>28.65578918623703</v>
      </c>
      <c r="G18" s="217">
        <f>VLOOKUP($C18,'Raw - Childcare'!$A:$Q,16,FALSE)</f>
        <v>28.203509011469141</v>
      </c>
      <c r="H18" s="218">
        <f>VLOOKUP(C18,'Raw - Childcare'!A:Q,14,FALSE)</f>
        <v>66100</v>
      </c>
      <c r="I18" s="219">
        <f t="shared" ref="I18:I20" si="3">IFERROR(SUM(G18-D18),"-")</f>
        <v>1.3643903570036251</v>
      </c>
      <c r="J18" s="220">
        <f>IFERROR(SUM(VLOOKUP(C18,'Raw - Childcare'!A:Q,14,FALSE)-VLOOKUP(C18,'Raw - Childcare'!A:Q,2,FALSE)),"-")</f>
        <v>3100</v>
      </c>
    </row>
    <row r="19" spans="2:12" s="137" customFormat="1" ht="19.5" customHeight="1">
      <c r="B19" s="226" t="s">
        <v>270</v>
      </c>
      <c r="C19" s="216" t="s">
        <v>156</v>
      </c>
      <c r="D19" s="217">
        <f>VLOOKUP($C19,'Raw - Childcare'!$A:$Q,4,FALSE)</f>
        <v>22.802884103098396</v>
      </c>
      <c r="E19" s="217">
        <f>VLOOKUP($C19,'Raw - Childcare'!$A:$Q,8,FALSE)</f>
        <v>23.768919206992113</v>
      </c>
      <c r="F19" s="217">
        <f>VLOOKUP($C19,'Raw - Childcare'!$A:$Q,12,FALSE)</f>
        <v>24.846633032520906</v>
      </c>
      <c r="G19" s="217">
        <f>VLOOKUP($C19,'Raw - Childcare'!$A:$Q,16,FALSE)</f>
        <v>24.822947014377412</v>
      </c>
      <c r="H19" s="218">
        <f>VLOOKUP(C19,'Raw - Childcare'!A:Q,14,FALSE)</f>
        <v>20960</v>
      </c>
      <c r="I19" s="219">
        <f t="shared" si="3"/>
        <v>2.020062911279016</v>
      </c>
      <c r="J19" s="220">
        <f>IFERROR(SUM(VLOOKUP(C19,'Raw - Childcare'!A:Q,14,FALSE)-VLOOKUP(C19,'Raw - Childcare'!A:Q,2,FALSE)),"-")</f>
        <v>1700</v>
      </c>
    </row>
    <row r="20" spans="2:12" s="137" customFormat="1" ht="19.5" customHeight="1">
      <c r="B20" s="226" t="s">
        <v>164</v>
      </c>
      <c r="C20" s="216" t="s">
        <v>46</v>
      </c>
      <c r="D20" s="217">
        <f>VLOOKUP($C20,'Raw - Childcare'!$A:$Q,4,FALSE)</f>
        <v>23.298861344505735</v>
      </c>
      <c r="E20" s="217">
        <f>VLOOKUP($C20,'Raw - Childcare'!$A:$Q,8,FALSE)</f>
        <v>24.348287808741862</v>
      </c>
      <c r="F20" s="217">
        <f>VLOOKUP($C20,'Raw - Childcare'!$A:$Q,12,FALSE)</f>
        <v>24.447023769036839</v>
      </c>
      <c r="G20" s="217">
        <f>VLOOKUP($C20,'Raw - Childcare'!$A:$Q,16,FALSE)</f>
        <v>24.292337431241375</v>
      </c>
      <c r="H20" s="218">
        <f>VLOOKUP(C20,'Raw - Childcare'!A:Q,14,FALSE)</f>
        <v>221430</v>
      </c>
      <c r="I20" s="219">
        <f t="shared" si="3"/>
        <v>0.99347608673564025</v>
      </c>
      <c r="J20" s="220">
        <f>IFERROR(SUM(VLOOKUP(C20,'Raw - Childcare'!A:Q,14,FALSE)-VLOOKUP(C20,'Raw - Childcare'!A:Q,2,FALSE)),"-")</f>
        <v>7830</v>
      </c>
    </row>
    <row r="21" spans="2:12" s="137" customFormat="1" ht="19.5" customHeight="1">
      <c r="B21" s="226" t="s">
        <v>164</v>
      </c>
      <c r="C21" s="216" t="s">
        <v>47</v>
      </c>
      <c r="D21" s="217" t="s">
        <v>71</v>
      </c>
      <c r="E21" s="217" t="s">
        <v>71</v>
      </c>
      <c r="F21" s="217" t="s">
        <v>71</v>
      </c>
      <c r="G21" s="217" t="s">
        <v>71</v>
      </c>
      <c r="H21" s="217" t="s">
        <v>71</v>
      </c>
      <c r="I21" s="219" t="str">
        <f t="shared" ref="I21" si="4">IFERROR(SUM(G21-D21),"-")</f>
        <v>-</v>
      </c>
      <c r="J21" s="220"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c r="I23" s="170"/>
    </row>
    <row r="24" spans="2:12">
      <c r="B24" s="193" t="s">
        <v>207</v>
      </c>
    </row>
  </sheetData>
  <sheetProtection algorithmName="SHA-512" hashValue="dPS0r3oJeYhwnGa4OrsJWdxWtlM1im3rK72IhvB5vAMpOs00A6WjMiht22tmXlTYU+mplAivSG3unIWHSka3BQ==" saltValue="XxVItOO5NHHXis/RTsUUdQ==" spinCount="100000" sheet="1" selectLockedCells="1" sort="0"/>
  <mergeCells count="4">
    <mergeCell ref="F2:G2"/>
    <mergeCell ref="K4:L4"/>
    <mergeCell ref="I5:J5"/>
    <mergeCell ref="K5:L5"/>
  </mergeCells>
  <hyperlinks>
    <hyperlink ref="F2:G2" location="'Index RAG'!A1" display="Return to Index RAG" xr:uid="{1ED5E736-CCB5-423F-9416-08929E40ABEB}"/>
    <hyperlink ref="C3" r:id="rId1" xr:uid="{6E73F20F-8D5E-4A4C-B04F-E4284D0816B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03C88F9-F150-4801-B7D0-79A41F168F69}">
          <x14:formula1>
            <xm:f>Lookups!$B$36:$E$36</xm:f>
          </x14:formula1>
          <xm:sqref>C18</xm:sqref>
        </x14:dataValidation>
        <x14:dataValidation type="list" allowBlank="1" showInputMessage="1" showErrorMessage="1" xr:uid="{D3DF9FBD-DF52-413C-9F65-EE07B4603CB8}">
          <x14:formula1>
            <xm:f>Lookups!$B$27:$E$27</xm:f>
          </x14:formula1>
          <xm:sqref>C6</xm:sqref>
        </x14:dataValidation>
        <x14:dataValidation type="list" allowBlank="1" showInputMessage="1" showErrorMessage="1" xr:uid="{1B3F8862-9AD5-4A9E-A58E-0A520478268E}">
          <x14:formula1>
            <xm:f>Lookups!$B$9:$B$12</xm:f>
          </x14:formula1>
          <xm:sqref>K5:L5</xm:sqref>
        </x14:dataValidation>
        <x14:dataValidation type="list" allowBlank="1" showInputMessage="1" showErrorMessage="1" xr:uid="{45835E6B-2D46-462B-BF7B-D8E6F8D935F3}">
          <x14:formula1>
            <xm:f>Lookups!$Q$3:$Q$7</xm:f>
          </x14:formula1>
          <xm:sqref>C19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45A7-34BD-46D2-9C52-759E02440951}">
  <sheetPr>
    <pageSetUpPr autoPageBreaks="0" fitToPage="1"/>
  </sheetPr>
  <dimension ref="B1:L24"/>
  <sheetViews>
    <sheetView zoomScale="90" zoomScaleNormal="90" workbookViewId="0"/>
  </sheetViews>
  <sheetFormatPr defaultColWidth="9.140625" defaultRowHeight="12"/>
  <cols>
    <col min="1" max="1" width="9.140625" style="145"/>
    <col min="2" max="2" width="31.85546875" style="145" bestFit="1" customWidth="1"/>
    <col min="3" max="3" width="24" style="145" customWidth="1" collapsed="1"/>
    <col min="4" max="7" width="14" style="145" customWidth="1" collapsed="1"/>
    <col min="8" max="12" width="14" style="145" customWidth="1"/>
    <col min="13" max="16384" width="9.140625" style="145"/>
  </cols>
  <sheetData>
    <row r="1" spans="2:12">
      <c r="C1" s="170" t="str">
        <f>CONCATENATE(C2,D1,C6)</f>
        <v>% of Children in Low Income Families - Relative measure - LGBF Family Group 1</v>
      </c>
      <c r="D1" s="170" t="s">
        <v>290</v>
      </c>
    </row>
    <row r="2" spans="2:12" ht="12.75">
      <c r="B2" s="171" t="s">
        <v>49</v>
      </c>
      <c r="C2" s="172" t="s">
        <v>351</v>
      </c>
      <c r="E2" s="173"/>
      <c r="F2" s="467" t="s">
        <v>216</v>
      </c>
      <c r="G2" s="468"/>
    </row>
    <row r="3" spans="2:12" ht="12.75">
      <c r="B3" s="171" t="s">
        <v>50</v>
      </c>
      <c r="C3" s="321" t="s">
        <v>304</v>
      </c>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242</v>
      </c>
      <c r="D6" s="181">
        <v>2020</v>
      </c>
      <c r="E6" s="181">
        <v>2021</v>
      </c>
      <c r="F6" s="181">
        <v>2022</v>
      </c>
      <c r="G6" s="181">
        <v>2023</v>
      </c>
      <c r="H6" s="181" t="s">
        <v>422</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East Renfrewshire</v>
      </c>
      <c r="D7" s="217">
        <f>VLOOKUP($C7,'Raw - Children in Low Income'!$A:$Q,4,FALSE)</f>
        <v>10.4</v>
      </c>
      <c r="E7" s="217">
        <f>VLOOKUP($C7,'Raw - Children in Low Income'!$A:$Q,8,FALSE)</f>
        <v>9</v>
      </c>
      <c r="F7" s="217">
        <f>VLOOKUP($C7,'Raw - Children in Low Income'!$A:$Q,12,FALSE)</f>
        <v>10.7</v>
      </c>
      <c r="G7" s="217">
        <f>VLOOKUP($C7,'Raw - Children in Low Income'!$A:$Q,16,FALSE)</f>
        <v>10.299999999999999</v>
      </c>
      <c r="H7" s="218">
        <f>VLOOKUP(C7,'Raw - Children in Low Income'!A:Q,14,FALSE)</f>
        <v>2021</v>
      </c>
      <c r="I7" s="219">
        <f>IFERROR(SUM(G7-D7),"-")</f>
        <v>-0.10000000000000142</v>
      </c>
      <c r="J7" s="220">
        <f>IFERROR(SUM(VLOOKUP(C7,'Raw - Children in Low Income'!A:Q,14,FALSE)-VLOOKUP(C7,'Raw - Children in Low Income'!A:Q,2,FALSE)),"-")</f>
        <v>-18</v>
      </c>
      <c r="K7" s="221" t="str">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
      </c>
      <c r="L7" s="222" t="str">
        <f>IF(K7=""," ",IF($K$5="LGBF Family Group Average",SUM(MROUND(SUM(SUM(VLOOKUP(C$18,'Raw - Children in Low Income'!A:Q,16,FALSE)*VLOOKUP(C7,'Raw - Children in Low Income'!A:Q,15,FALSE))/100),100)-MROUND(SUM(SUM(VLOOKUP(C7,'Raw - Children in Low Income'!A:Q,16,FALSE)*VLOOKUP(C7,'Raw - Children in Low Income'!A:Q,15,FALSE))/100),100)),IF($K$5="City Region Comparator",SUM(MROUND(SUM(SUM(VLOOKUP(C$19,'Raw - Children in Low Income'!A:Q,16,FALSE)*VLOOKUP(C7,'Raw - Children in Low Income'!A:Q,15,FALSE))/100),100)-MROUND(SUM(SUM(VLOOKUP(C7,'Raw - Children in Low Income'!A:Q,16,FALSE)*VLOOKUP(C7,'Raw - Children in Low Income'!A:Q,15,FALSE))/100),100)),IF($K$5="Scotland",SUM(MROUND(SUM(SUM(VLOOKUP(C$20,'Raw - Children in Low Income'!A:Q,16,FALSE)*VLOOKUP(C7,'Raw - Children in Low Income'!A:Q,15,FALSE))/100),100)-MROUND(SUM(SUM(VLOOKUP(C7,'Raw - Children in Low Income'!A:Q,16,FALSE)*VLOOKUP(C7,'Raw - Children in Low Income'!A:Q,15,FALSE))/100),100)),IF($K$5="United Kingdom",SUM(MROUND(SUM(SUM(VLOOKUP(C$21,'Raw - Children in Low Income'!A:Q,16,FALSE)*VLOOKUP(C7,'Raw - Children in Low Income'!A:Q,15,FALSE))/100),100)-MROUND(SUM(SUM(VLOOKUP(C7,'Raw - Children in Low Income'!A:Q,16,FALSE)*VLOOKUP(C7,'Raw - Children in Low Income'!A:Q,15,FALSE))/100),100)),SUM(MROUND(SUM(SUM(VLOOKUP(C$17,'Raw - Children in Low Income'!A:Q,16,FALSE)*VLOOKUP(C7,'Raw - Children in Low Income'!A:Q,15,FALSE))/100),100)-MROUND(SUM(SUM(VLOOKUP(C7,'Raw - Children in Low Income'!A:Q,16,FALSE)*VLOOKUP(C7,'Raw - Children in Low Income'!A:Q,15,FALSE))/100),100)))))))</f>
        <v xml:space="preserve"> </v>
      </c>
    </row>
    <row r="8" spans="2:12" s="137" customFormat="1" ht="19.5" customHeight="1">
      <c r="B8" s="216" t="s">
        <v>153</v>
      </c>
      <c r="C8" s="216" t="str">
        <f>IF(C$6="LGBF Family Group 1",Lookups!B29,IF(C$6="LGBF Family Group 2",Lookups!C29,IF(C$6="LGBF Family Group 3",Lookups!D29,Lookups!E29)))</f>
        <v>East Dunbartonshire</v>
      </c>
      <c r="D8" s="217">
        <f>VLOOKUP($C8,'Raw - Children in Low Income'!$A:$Q,4,FALSE)</f>
        <v>10.299999999999999</v>
      </c>
      <c r="E8" s="217">
        <f>VLOOKUP($C8,'Raw - Children in Low Income'!$A:$Q,8,FALSE)</f>
        <v>8.2000000000000011</v>
      </c>
      <c r="F8" s="217">
        <f>VLOOKUP($C8,'Raw - Children in Low Income'!$A:$Q,12,FALSE)</f>
        <v>11.1</v>
      </c>
      <c r="G8" s="217">
        <f>VLOOKUP($C8,'Raw - Children in Low Income'!$A:$Q,16,FALSE)</f>
        <v>11.5</v>
      </c>
      <c r="H8" s="218">
        <f>VLOOKUP(C8,'Raw - Children in Low Income'!A:Q,14,FALSE)</f>
        <v>2248</v>
      </c>
      <c r="I8" s="219">
        <f t="shared" ref="I8:I14" si="1">IFERROR(SUM(G8-D8),"-")</f>
        <v>1.2000000000000011</v>
      </c>
      <c r="J8" s="220">
        <f>IFERROR(SUM(VLOOKUP(C8,'Raw - Children in Low Income'!A:Q,14,FALSE)-VLOOKUP(C8,'Raw - Children in Low Income'!A:Q,2,FALSE)),"-")</f>
        <v>252</v>
      </c>
      <c r="K8" s="221">
        <f t="shared" si="0"/>
        <v>-1.2000000000000011</v>
      </c>
      <c r="L8" s="222">
        <f>IF(K8=""," ",IF($K$5="LGBF Family Group Average",SUM(MROUND(SUM(SUM(VLOOKUP(C$18,'Raw - Children in Low Income'!A:Q,16,FALSE)*VLOOKUP(C8,'Raw - Children in Low Income'!A:Q,15,FALSE))/100),100)-MROUND(SUM(SUM(VLOOKUP(C8,'Raw - Children in Low Income'!A:Q,16,FALSE)*VLOOKUP(C8,'Raw - Children in Low Income'!A:Q,15,FALSE))/100),100)),IF($K$5="City Region Comparator",SUM(MROUND(SUM(SUM(VLOOKUP(C$19,'Raw - Children in Low Income'!A:Q,16,FALSE)*VLOOKUP(C8,'Raw - Children in Low Income'!A:Q,15,FALSE))/100),100)-MROUND(SUM(SUM(VLOOKUP(C8,'Raw - Children in Low Income'!A:Q,16,FALSE)*VLOOKUP(C8,'Raw - Children in Low Income'!A:Q,15,FALSE))/100),100)),IF($K$5="Scotland",SUM(MROUND(SUM(SUM(VLOOKUP(C$20,'Raw - Children in Low Income'!A:Q,16,FALSE)*VLOOKUP(C8,'Raw - Children in Low Income'!A:Q,15,FALSE))/100),100)-MROUND(SUM(SUM(VLOOKUP(C8,'Raw - Children in Low Income'!A:Q,16,FALSE)*VLOOKUP(C8,'Raw - Children in Low Income'!A:Q,15,FALSE))/100),100)),IF($K$5="United Kingdom",SUM(MROUND(SUM(SUM(VLOOKUP(C$21,'Raw - Children in Low Income'!A:Q,16,FALSE)*VLOOKUP(C8,'Raw - Children in Low Income'!A:Q,15,FALSE))/100),100)-MROUND(SUM(SUM(VLOOKUP(C8,'Raw - Children in Low Income'!A:Q,16,FALSE)*VLOOKUP(C8,'Raw - Children in Low Income'!A:Q,15,FALSE))/100),100)),SUM(MROUND(SUM(SUM(VLOOKUP(C$17,'Raw - Children in Low Income'!A:Q,16,FALSE)*VLOOKUP(C8,'Raw - Children in Low Income'!A:Q,15,FALSE))/100),100)-MROUND(SUM(SUM(VLOOKUP(C8,'Raw - Children in Low Income'!A:Q,16,FALSE)*VLOOKUP(C8,'Raw - Children in Low Income'!A:Q,15,FALSE))/100),100)))))))</f>
        <v>-200</v>
      </c>
    </row>
    <row r="9" spans="2:12" s="137" customFormat="1" ht="19.5" customHeight="1">
      <c r="B9" s="216" t="s">
        <v>153</v>
      </c>
      <c r="C9" s="216" t="str">
        <f>IF(C$6="LGBF Family Group 1",Lookups!B30,IF(C$6="LGBF Family Group 2",Lookups!C30,IF(C$6="LGBF Family Group 3",Lookups!D30,Lookups!E30)))</f>
        <v>Aberdeenshire</v>
      </c>
      <c r="D9" s="217">
        <f>VLOOKUP($C9,'Raw - Children in Low Income'!$A:$Q,4,FALSE)</f>
        <v>10.8</v>
      </c>
      <c r="E9" s="217">
        <f>VLOOKUP($C9,'Raw - Children in Low Income'!$A:$Q,8,FALSE)</f>
        <v>9.6</v>
      </c>
      <c r="F9" s="217">
        <f>VLOOKUP($C9,'Raw - Children in Low Income'!$A:$Q,12,FALSE)</f>
        <v>12.1</v>
      </c>
      <c r="G9" s="217">
        <f>VLOOKUP($C9,'Raw - Children in Low Income'!$A:$Q,16,FALSE)</f>
        <v>12.3</v>
      </c>
      <c r="H9" s="218">
        <f>VLOOKUP(C9,'Raw - Children in Low Income'!A:Q,14,FALSE)</f>
        <v>5964</v>
      </c>
      <c r="I9" s="219">
        <f t="shared" si="1"/>
        <v>1.5</v>
      </c>
      <c r="J9" s="220">
        <f>IFERROR(SUM(VLOOKUP(C9,'Raw - Children in Low Income'!A:Q,14,FALSE)-VLOOKUP(C9,'Raw - Children in Low Income'!A:Q,2,FALSE)),"-")</f>
        <v>689</v>
      </c>
      <c r="K9" s="221">
        <f t="shared" si="0"/>
        <v>-2.0000000000000018</v>
      </c>
      <c r="L9" s="222">
        <f>IF(K9=""," ",IF($K$5="LGBF Family Group Average",SUM(MROUND(SUM(SUM(VLOOKUP(C$18,'Raw - Children in Low Income'!A:Q,16,FALSE)*VLOOKUP(C9,'Raw - Children in Low Income'!A:Q,15,FALSE))/100),100)-MROUND(SUM(SUM(VLOOKUP(C9,'Raw - Children in Low Income'!A:Q,16,FALSE)*VLOOKUP(C9,'Raw - Children in Low Income'!A:Q,15,FALSE))/100),100)),IF($K$5="City Region Comparator",SUM(MROUND(SUM(SUM(VLOOKUP(C$19,'Raw - Children in Low Income'!A:Q,16,FALSE)*VLOOKUP(C9,'Raw - Children in Low Income'!A:Q,15,FALSE))/100),100)-MROUND(SUM(SUM(VLOOKUP(C9,'Raw - Children in Low Income'!A:Q,16,FALSE)*VLOOKUP(C9,'Raw - Children in Low Income'!A:Q,15,FALSE))/100),100)),IF($K$5="Scotland",SUM(MROUND(SUM(SUM(VLOOKUP(C$20,'Raw - Children in Low Income'!A:Q,16,FALSE)*VLOOKUP(C9,'Raw - Children in Low Income'!A:Q,15,FALSE))/100),100)-MROUND(SUM(SUM(VLOOKUP(C9,'Raw - Children in Low Income'!A:Q,16,FALSE)*VLOOKUP(C9,'Raw - Children in Low Income'!A:Q,15,FALSE))/100),100)),IF($K$5="United Kingdom",SUM(MROUND(SUM(SUM(VLOOKUP(C$21,'Raw - Children in Low Income'!A:Q,16,FALSE)*VLOOKUP(C9,'Raw - Children in Low Income'!A:Q,15,FALSE))/100),100)-MROUND(SUM(SUM(VLOOKUP(C9,'Raw - Children in Low Income'!A:Q,16,FALSE)*VLOOKUP(C9,'Raw - Children in Low Income'!A:Q,15,FALSE))/100),100)),SUM(MROUND(SUM(SUM(VLOOKUP(C$17,'Raw - Children in Low Income'!A:Q,16,FALSE)*VLOOKUP(C9,'Raw - Children in Low Income'!A:Q,15,FALSE))/100),100)-MROUND(SUM(SUM(VLOOKUP(C9,'Raw - Children in Low Income'!A:Q,16,FALSE)*VLOOKUP(C9,'Raw - Children in Low Income'!A:Q,15,FALSE))/100),100)))))))</f>
        <v>-1000</v>
      </c>
    </row>
    <row r="10" spans="2:12" s="137" customFormat="1" ht="19.5" customHeight="1">
      <c r="B10" s="216" t="s">
        <v>153</v>
      </c>
      <c r="C10" s="216" t="str">
        <f>IF(C$6="LGBF Family Group 1",Lookups!B31,IF(C$6="LGBF Family Group 2",Lookups!C31,IF(C$6="LGBF Family Group 3",Lookups!D31,Lookups!E31)))</f>
        <v>Edinburgh, City of</v>
      </c>
      <c r="D10" s="217">
        <f>VLOOKUP($C10,'Raw - Children in Low Income'!$A:$Q,4,FALSE)</f>
        <v>12.7</v>
      </c>
      <c r="E10" s="217">
        <f>VLOOKUP($C10,'Raw - Children in Low Income'!$A:$Q,8,FALSE)</f>
        <v>11.5</v>
      </c>
      <c r="F10" s="217">
        <f>VLOOKUP($C10,'Raw - Children in Low Income'!$A:$Q,12,FALSE)</f>
        <v>14.499999999999998</v>
      </c>
      <c r="G10" s="217">
        <f>VLOOKUP($C10,'Raw - Children in Low Income'!$A:$Q,16,FALSE)</f>
        <v>15.4</v>
      </c>
      <c r="H10" s="218">
        <f>VLOOKUP(C10,'Raw - Children in Low Income'!A:Q,14,FALSE)</f>
        <v>12160</v>
      </c>
      <c r="I10" s="219">
        <f t="shared" si="1"/>
        <v>2.7000000000000011</v>
      </c>
      <c r="J10" s="220">
        <f>IFERROR(SUM(VLOOKUP(C10,'Raw - Children in Low Income'!A:Q,14,FALSE)-VLOOKUP(C10,'Raw - Children in Low Income'!A:Q,2,FALSE)),"-")</f>
        <v>2155</v>
      </c>
      <c r="K10" s="221">
        <f t="shared" si="0"/>
        <v>-5.1000000000000014</v>
      </c>
      <c r="L10" s="222">
        <f>IF(K10=""," ",IF($K$5="LGBF Family Group Average",SUM(MROUND(SUM(SUM(VLOOKUP(C$18,'Raw - Children in Low Income'!A:Q,16,FALSE)*VLOOKUP(C10,'Raw - Children in Low Income'!A:Q,15,FALSE))/100),100)-MROUND(SUM(SUM(VLOOKUP(C10,'Raw - Children in Low Income'!A:Q,16,FALSE)*VLOOKUP(C10,'Raw - Children in Low Income'!A:Q,15,FALSE))/100),100)),IF($K$5="City Region Comparator",SUM(MROUND(SUM(SUM(VLOOKUP(C$19,'Raw - Children in Low Income'!A:Q,16,FALSE)*VLOOKUP(C10,'Raw - Children in Low Income'!A:Q,15,FALSE))/100),100)-MROUND(SUM(SUM(VLOOKUP(C10,'Raw - Children in Low Income'!A:Q,16,FALSE)*VLOOKUP(C10,'Raw - Children in Low Income'!A:Q,15,FALSE))/100),100)),IF($K$5="Scotland",SUM(MROUND(SUM(SUM(VLOOKUP(C$20,'Raw - Children in Low Income'!A:Q,16,FALSE)*VLOOKUP(C10,'Raw - Children in Low Income'!A:Q,15,FALSE))/100),100)-MROUND(SUM(SUM(VLOOKUP(C10,'Raw - Children in Low Income'!A:Q,16,FALSE)*VLOOKUP(C10,'Raw - Children in Low Income'!A:Q,15,FALSE))/100),100)),IF($K$5="United Kingdom",SUM(MROUND(SUM(SUM(VLOOKUP(C$21,'Raw - Children in Low Income'!A:Q,16,FALSE)*VLOOKUP(C10,'Raw - Children in Low Income'!A:Q,15,FALSE))/100),100)-MROUND(SUM(SUM(VLOOKUP(C10,'Raw - Children in Low Income'!A:Q,16,FALSE)*VLOOKUP(C10,'Raw - Children in Low Income'!A:Q,15,FALSE))/100),100)),SUM(MROUND(SUM(SUM(VLOOKUP(C$17,'Raw - Children in Low Income'!A:Q,16,FALSE)*VLOOKUP(C10,'Raw - Children in Low Income'!A:Q,15,FALSE))/100),100)-MROUND(SUM(SUM(VLOOKUP(C10,'Raw - Children in Low Income'!A:Q,16,FALSE)*VLOOKUP(C10,'Raw - Children in Low Income'!A:Q,15,FALSE))/100),100)))))))</f>
        <v>-4100</v>
      </c>
    </row>
    <row r="11" spans="2:12" s="137" customFormat="1" ht="19.5" customHeight="1">
      <c r="B11" s="216" t="s">
        <v>153</v>
      </c>
      <c r="C11" s="216" t="str">
        <f>IF(C$6="LGBF Family Group 1",Lookups!B32,IF(C$6="LGBF Family Group 2",Lookups!C32,IF(C$6="LGBF Family Group 3",Lookups!D32,Lookups!E32)))</f>
        <v>Perth and Kinross</v>
      </c>
      <c r="D11" s="217">
        <f>VLOOKUP($C11,'Raw - Children in Low Income'!$A:$Q,4,FALSE)</f>
        <v>16.3</v>
      </c>
      <c r="E11" s="217">
        <f>VLOOKUP($C11,'Raw - Children in Low Income'!$A:$Q,8,FALSE)</f>
        <v>13.5</v>
      </c>
      <c r="F11" s="217">
        <f>VLOOKUP($C11,'Raw - Children in Low Income'!$A:$Q,12,FALSE)</f>
        <v>17.7</v>
      </c>
      <c r="G11" s="217">
        <f>VLOOKUP($C11,'Raw - Children in Low Income'!$A:$Q,16,FALSE)</f>
        <v>17.599999999999998</v>
      </c>
      <c r="H11" s="218">
        <f>VLOOKUP(C11,'Raw - Children in Low Income'!A:Q,14,FALSE)</f>
        <v>4274</v>
      </c>
      <c r="I11" s="219">
        <f t="shared" si="1"/>
        <v>1.2999999999999972</v>
      </c>
      <c r="J11" s="220">
        <f>IFERROR(SUM(VLOOKUP(C11,'Raw - Children in Low Income'!A:Q,14,FALSE)-VLOOKUP(C11,'Raw - Children in Low Income'!A:Q,2,FALSE)),"-")</f>
        <v>293</v>
      </c>
      <c r="K11" s="221">
        <f t="shared" si="0"/>
        <v>-7.2999999999999989</v>
      </c>
      <c r="L11" s="222">
        <f>IF(K11=""," ",IF($K$5="LGBF Family Group Average",SUM(MROUND(SUM(SUM(VLOOKUP(C$18,'Raw - Children in Low Income'!A:Q,16,FALSE)*VLOOKUP(C11,'Raw - Children in Low Income'!A:Q,15,FALSE))/100),100)-MROUND(SUM(SUM(VLOOKUP(C11,'Raw - Children in Low Income'!A:Q,16,FALSE)*VLOOKUP(C11,'Raw - Children in Low Income'!A:Q,15,FALSE))/100),100)),IF($K$5="City Region Comparator",SUM(MROUND(SUM(SUM(VLOOKUP(C$19,'Raw - Children in Low Income'!A:Q,16,FALSE)*VLOOKUP(C11,'Raw - Children in Low Income'!A:Q,15,FALSE))/100),100)-MROUND(SUM(SUM(VLOOKUP(C11,'Raw - Children in Low Income'!A:Q,16,FALSE)*VLOOKUP(C11,'Raw - Children in Low Income'!A:Q,15,FALSE))/100),100)),IF($K$5="Scotland",SUM(MROUND(SUM(SUM(VLOOKUP(C$20,'Raw - Children in Low Income'!A:Q,16,FALSE)*VLOOKUP(C11,'Raw - Children in Low Income'!A:Q,15,FALSE))/100),100)-MROUND(SUM(SUM(VLOOKUP(C11,'Raw - Children in Low Income'!A:Q,16,FALSE)*VLOOKUP(C11,'Raw - Children in Low Income'!A:Q,15,FALSE))/100),100)),IF($K$5="United Kingdom",SUM(MROUND(SUM(SUM(VLOOKUP(C$21,'Raw - Children in Low Income'!A:Q,16,FALSE)*VLOOKUP(C11,'Raw - Children in Low Income'!A:Q,15,FALSE))/100),100)-MROUND(SUM(SUM(VLOOKUP(C11,'Raw - Children in Low Income'!A:Q,16,FALSE)*VLOOKUP(C11,'Raw - Children in Low Income'!A:Q,15,FALSE))/100),100)),SUM(MROUND(SUM(SUM(VLOOKUP(C$17,'Raw - Children in Low Income'!A:Q,16,FALSE)*VLOOKUP(C11,'Raw - Children in Low Income'!A:Q,15,FALSE))/100),100)-MROUND(SUM(SUM(VLOOKUP(C11,'Raw - Children in Low Income'!A:Q,16,FALSE)*VLOOKUP(C11,'Raw - Children in Low Income'!A:Q,15,FALSE))/100),100)))))))</f>
        <v>-1800</v>
      </c>
    </row>
    <row r="12" spans="2:12" s="137" customFormat="1" ht="19.5" customHeight="1">
      <c r="B12" s="216" t="s">
        <v>153</v>
      </c>
      <c r="C12" s="216" t="str">
        <f>IF(C$6="LGBF Family Group 1",Lookups!B33,IF(C$6="LGBF Family Group 2",Lookups!C33,IF(C$6="LGBF Family Group 3",Lookups!D33,Lookups!E33)))</f>
        <v>Aberdeen City</v>
      </c>
      <c r="D12" s="217">
        <f>VLOOKUP($C12,'Raw - Children in Low Income'!$A:$Q,4,FALSE)</f>
        <v>15.2</v>
      </c>
      <c r="E12" s="217">
        <f>VLOOKUP($C12,'Raw - Children in Low Income'!$A:$Q,8,FALSE)</f>
        <v>13.100000000000001</v>
      </c>
      <c r="F12" s="217">
        <f>VLOOKUP($C12,'Raw - Children in Low Income'!$A:$Q,12,FALSE)</f>
        <v>16.400000000000002</v>
      </c>
      <c r="G12" s="217">
        <f>VLOOKUP($C12,'Raw - Children in Low Income'!$A:$Q,16,FALSE)</f>
        <v>17.5</v>
      </c>
      <c r="H12" s="218">
        <f>VLOOKUP(C12,'Raw - Children in Low Income'!A:Q,14,FALSE)</f>
        <v>6278</v>
      </c>
      <c r="I12" s="219">
        <f t="shared" si="1"/>
        <v>2.3000000000000007</v>
      </c>
      <c r="J12" s="220">
        <f>IFERROR(SUM(VLOOKUP(C12,'Raw - Children in Low Income'!A:Q,14,FALSE)-VLOOKUP(C12,'Raw - Children in Low Income'!A:Q,2,FALSE)),"-")</f>
        <v>900</v>
      </c>
      <c r="K12" s="221">
        <f t="shared" si="0"/>
        <v>-7.2000000000000011</v>
      </c>
      <c r="L12" s="222">
        <f>IF(K12=""," ",IF($K$5="LGBF Family Group Average",SUM(MROUND(SUM(SUM(VLOOKUP(C$18,'Raw - Children in Low Income'!A:Q,16,FALSE)*VLOOKUP(C12,'Raw - Children in Low Income'!A:Q,15,FALSE))/100),100)-MROUND(SUM(SUM(VLOOKUP(C12,'Raw - Children in Low Income'!A:Q,16,FALSE)*VLOOKUP(C12,'Raw - Children in Low Income'!A:Q,15,FALSE))/100),100)),IF($K$5="City Region Comparator",SUM(MROUND(SUM(SUM(VLOOKUP(C$19,'Raw - Children in Low Income'!A:Q,16,FALSE)*VLOOKUP(C12,'Raw - Children in Low Income'!A:Q,15,FALSE))/100),100)-MROUND(SUM(SUM(VLOOKUP(C12,'Raw - Children in Low Income'!A:Q,16,FALSE)*VLOOKUP(C12,'Raw - Children in Low Income'!A:Q,15,FALSE))/100),100)),IF($K$5="Scotland",SUM(MROUND(SUM(SUM(VLOOKUP(C$20,'Raw - Children in Low Income'!A:Q,16,FALSE)*VLOOKUP(C12,'Raw - Children in Low Income'!A:Q,15,FALSE))/100),100)-MROUND(SUM(SUM(VLOOKUP(C12,'Raw - Children in Low Income'!A:Q,16,FALSE)*VLOOKUP(C12,'Raw - Children in Low Income'!A:Q,15,FALSE))/100),100)),IF($K$5="United Kingdom",SUM(MROUND(SUM(SUM(VLOOKUP(C$21,'Raw - Children in Low Income'!A:Q,16,FALSE)*VLOOKUP(C12,'Raw - Children in Low Income'!A:Q,15,FALSE))/100),100)-MROUND(SUM(SUM(VLOOKUP(C12,'Raw - Children in Low Income'!A:Q,16,FALSE)*VLOOKUP(C12,'Raw - Children in Low Income'!A:Q,15,FALSE))/100),100)),SUM(MROUND(SUM(SUM(VLOOKUP(C$17,'Raw - Children in Low Income'!A:Q,16,FALSE)*VLOOKUP(C12,'Raw - Children in Low Income'!A:Q,15,FALSE))/100),100)-MROUND(SUM(SUM(VLOOKUP(C12,'Raw - Children in Low Income'!A:Q,16,FALSE)*VLOOKUP(C12,'Raw - Children in Low Income'!A:Q,15,FALSE))/100),100)))))))</f>
        <v>-2600</v>
      </c>
    </row>
    <row r="13" spans="2:12" s="137" customFormat="1" ht="19.5" customHeight="1">
      <c r="B13" s="216" t="s">
        <v>153</v>
      </c>
      <c r="C13" s="216" t="str">
        <f>IF(C$6="LGBF Family Group 1",Lookups!B34,IF(C$6="LGBF Family Group 2",Lookups!C34,IF(C$6="LGBF Family Group 3",Lookups!D34,Lookups!E34)))</f>
        <v>Shetland Islands</v>
      </c>
      <c r="D13" s="217">
        <f>VLOOKUP($C13,'Raw - Children in Low Income'!$A:$Q,4,FALSE)</f>
        <v>10</v>
      </c>
      <c r="E13" s="217">
        <f>VLOOKUP($C13,'Raw - Children in Low Income'!$A:$Q,8,FALSE)</f>
        <v>13</v>
      </c>
      <c r="F13" s="217">
        <f>VLOOKUP($C13,'Raw - Children in Low Income'!$A:$Q,12,FALSE)</f>
        <v>11.799999999999999</v>
      </c>
      <c r="G13" s="217">
        <f>VLOOKUP($C13,'Raw - Children in Low Income'!$A:$Q,16,FALSE)</f>
        <v>12.3</v>
      </c>
      <c r="H13" s="218">
        <f>VLOOKUP(C13,'Raw - Children in Low Income'!A:Q,14,FALSE)</f>
        <v>506</v>
      </c>
      <c r="I13" s="219">
        <f t="shared" si="1"/>
        <v>2.3000000000000007</v>
      </c>
      <c r="J13" s="220">
        <f>IFERROR(SUM(VLOOKUP(C13,'Raw - Children in Low Income'!A:Q,14,FALSE)-VLOOKUP(C13,'Raw - Children in Low Income'!A:Q,2,FALSE)),"-")</f>
        <v>86</v>
      </c>
      <c r="K13" s="221">
        <f t="shared" si="0"/>
        <v>-2.0000000000000018</v>
      </c>
      <c r="L13" s="222">
        <f>IF(K13=""," ",IF($K$5="LGBF Family Group Average",SUM(MROUND(SUM(SUM(VLOOKUP(C$18,'Raw - Children in Low Income'!A:Q,16,FALSE)*VLOOKUP(C13,'Raw - Children in Low Income'!A:Q,15,FALSE))/100),100)-MROUND(SUM(SUM(VLOOKUP(C13,'Raw - Children in Low Income'!A:Q,16,FALSE)*VLOOKUP(C13,'Raw - Children in Low Income'!A:Q,15,FALSE))/100),100)),IF($K$5="City Region Comparator",SUM(MROUND(SUM(SUM(VLOOKUP(C$19,'Raw - Children in Low Income'!A:Q,16,FALSE)*VLOOKUP(C13,'Raw - Children in Low Income'!A:Q,15,FALSE))/100),100)-MROUND(SUM(SUM(VLOOKUP(C13,'Raw - Children in Low Income'!A:Q,16,FALSE)*VLOOKUP(C13,'Raw - Children in Low Income'!A:Q,15,FALSE))/100),100)),IF($K$5="Scotland",SUM(MROUND(SUM(SUM(VLOOKUP(C$20,'Raw - Children in Low Income'!A:Q,16,FALSE)*VLOOKUP(C13,'Raw - Children in Low Income'!A:Q,15,FALSE))/100),100)-MROUND(SUM(SUM(VLOOKUP(C13,'Raw - Children in Low Income'!A:Q,16,FALSE)*VLOOKUP(C13,'Raw - Children in Low Income'!A:Q,15,FALSE))/100),100)),IF($K$5="United Kingdom",SUM(MROUND(SUM(SUM(VLOOKUP(C$21,'Raw - Children in Low Income'!A:Q,16,FALSE)*VLOOKUP(C13,'Raw - Children in Low Income'!A:Q,15,FALSE))/100),100)-MROUND(SUM(SUM(VLOOKUP(C13,'Raw - Children in Low Income'!A:Q,16,FALSE)*VLOOKUP(C13,'Raw - Children in Low Income'!A:Q,15,FALSE))/100),100)),SUM(MROUND(SUM(SUM(VLOOKUP(C$17,'Raw - Children in Low Income'!A:Q,16,FALSE)*VLOOKUP(C13,'Raw - Children in Low Income'!A:Q,15,FALSE))/100),100)-MROUND(SUM(SUM(VLOOKUP(C13,'Raw - Children in Low Income'!A:Q,16,FALSE)*VLOOKUP(C13,'Raw - Children in Low Income'!A:Q,15,FALSE))/100),100)))))))</f>
        <v>-100</v>
      </c>
    </row>
    <row r="14" spans="2:12" s="137" customFormat="1" ht="19.5" customHeight="1">
      <c r="B14" s="216" t="s">
        <v>153</v>
      </c>
      <c r="C14" s="216" t="str">
        <f>IF(C$6="LGBF Family Group 1",Lookups!B35,IF(C$6="LGBF Family Group 2",Lookups!C35,IF(C$6="LGBF Family Group 3",Lookups!D35,Lookups!E35)))</f>
        <v>Orkney Islands</v>
      </c>
      <c r="D14" s="217">
        <f>VLOOKUP($C14,'Raw - Children in Low Income'!$A:$Q,4,FALSE)</f>
        <v>15.299999999999999</v>
      </c>
      <c r="E14" s="217">
        <f>VLOOKUP($C14,'Raw - Children in Low Income'!$A:$Q,8,FALSE)</f>
        <v>12.9</v>
      </c>
      <c r="F14" s="217">
        <f>VLOOKUP($C14,'Raw - Children in Low Income'!$A:$Q,12,FALSE)</f>
        <v>15.8</v>
      </c>
      <c r="G14" s="217">
        <f>VLOOKUP($C14,'Raw - Children in Low Income'!$A:$Q,16,FALSE)</f>
        <v>15.1</v>
      </c>
      <c r="H14" s="218">
        <f>VLOOKUP(C14,'Raw - Children in Low Income'!A:Q,14,FALSE)</f>
        <v>536</v>
      </c>
      <c r="I14" s="219">
        <f t="shared" si="1"/>
        <v>-0.19999999999999929</v>
      </c>
      <c r="J14" s="220">
        <f>IFERROR(SUM(VLOOKUP(C14,'Raw - Children in Low Income'!A:Q,14,FALSE)-VLOOKUP(C14,'Raw - Children in Low Income'!A:Q,2,FALSE)),"-")</f>
        <v>-11</v>
      </c>
      <c r="K14" s="221">
        <f t="shared" si="0"/>
        <v>-4.8000000000000007</v>
      </c>
      <c r="L14" s="222">
        <f>IF(K14=""," ",IF($K$5="LGBF Family Group Average",SUM(MROUND(SUM(SUM(VLOOKUP(C$18,'Raw - Children in Low Income'!A:Q,16,FALSE)*VLOOKUP(C14,'Raw - Children in Low Income'!A:Q,15,FALSE))/100),100)-MROUND(SUM(SUM(VLOOKUP(C14,'Raw - Children in Low Income'!A:Q,16,FALSE)*VLOOKUP(C14,'Raw - Children in Low Income'!A:Q,15,FALSE))/100),100)),IF($K$5="City Region Comparator",SUM(MROUND(SUM(SUM(VLOOKUP(C$19,'Raw - Children in Low Income'!A:Q,16,FALSE)*VLOOKUP(C14,'Raw - Children in Low Income'!A:Q,15,FALSE))/100),100)-MROUND(SUM(SUM(VLOOKUP(C14,'Raw - Children in Low Income'!A:Q,16,FALSE)*VLOOKUP(C14,'Raw - Children in Low Income'!A:Q,15,FALSE))/100),100)),IF($K$5="Scotland",SUM(MROUND(SUM(SUM(VLOOKUP(C$20,'Raw - Children in Low Income'!A:Q,16,FALSE)*VLOOKUP(C14,'Raw - Children in Low Income'!A:Q,15,FALSE))/100),100)-MROUND(SUM(SUM(VLOOKUP(C14,'Raw - Children in Low Income'!A:Q,16,FALSE)*VLOOKUP(C14,'Raw - Children in Low Income'!A:Q,15,FALSE))/100),100)),IF($K$5="United Kingdom",SUM(MROUND(SUM(SUM(VLOOKUP(C$21,'Raw - Children in Low Income'!A:Q,16,FALSE)*VLOOKUP(C14,'Raw - Children in Low Income'!A:Q,15,FALSE))/100),100)-MROUND(SUM(SUM(VLOOKUP(C14,'Raw - Children in Low Income'!A:Q,16,FALSE)*VLOOKUP(C14,'Raw - Children in Low Income'!A:Q,15,FALSE))/100),100)),SUM(MROUND(SUM(SUM(VLOOKUP(C$17,'Raw - Children in Low Income'!A:Q,16,FALSE)*VLOOKUP(C14,'Raw - Children in Low Income'!A:Q,15,FALSE))/100),100)-MROUND(SUM(SUM(VLOOKUP(C14,'Raw - Children in Low Income'!A:Q,16,FALSE)*VLOOKUP(C14,'Raw - Children in Low Income'!A:Q,15,FALSE))/100),100)))))))</f>
        <v>-100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Children in Low Income'!$A$9:$A$40,MATCH(MIN('Raw - Children in Low Income'!P9:P40),'Raw - Children in Low Income'!P9:P40,0))</f>
        <v>East Renfrewshire</v>
      </c>
      <c r="D17" s="217">
        <f>VLOOKUP($C17,'Raw - Children in Low Income'!$A:$Q,4,FALSE)</f>
        <v>10.4</v>
      </c>
      <c r="E17" s="217">
        <f>VLOOKUP($C17,'Raw - Children in Low Income'!$A:$Q,8,FALSE)</f>
        <v>9</v>
      </c>
      <c r="F17" s="217">
        <f>VLOOKUP($C17,'Raw - Children in Low Income'!$A:$Q,12,FALSE)</f>
        <v>10.7</v>
      </c>
      <c r="G17" s="217">
        <f>VLOOKUP($C17,'Raw - Children in Low Income'!$A:$Q,16,FALSE)</f>
        <v>10.299999999999999</v>
      </c>
      <c r="H17" s="218">
        <f>VLOOKUP(C17,'Raw - Children in Low Income'!A:Q,14,FALSE)</f>
        <v>2021</v>
      </c>
      <c r="I17" s="219">
        <f t="shared" ref="I17" si="2">IFERROR(SUM(G17-D17),"-")</f>
        <v>-0.10000000000000142</v>
      </c>
      <c r="J17" s="220">
        <f>IFERROR(SUM(VLOOKUP(C17,'Raw - Children in Low Income'!A:Q,14,FALSE)-VLOOKUP(C17,'Raw - Children in Low Income'!A:Q,2,FALSE)),"-")</f>
        <v>-18</v>
      </c>
    </row>
    <row r="18" spans="2:12" s="137" customFormat="1" ht="19.5" customHeight="1">
      <c r="B18" s="226" t="s">
        <v>271</v>
      </c>
      <c r="C18" s="227" t="s">
        <v>246</v>
      </c>
      <c r="D18" s="217">
        <f>VLOOKUP($C18,'Raw - Children in Low Income'!$A:$Q,4,FALSE)</f>
        <v>12.657001659942765</v>
      </c>
      <c r="E18" s="217">
        <f>VLOOKUP($C18,'Raw - Children in Low Income'!$A:$Q,8,FALSE)</f>
        <v>11.119906233239295</v>
      </c>
      <c r="F18" s="217">
        <f>VLOOKUP($C18,'Raw - Children in Low Income'!$A:$Q,12,FALSE)</f>
        <v>13.994941797453528</v>
      </c>
      <c r="G18" s="217">
        <f>VLOOKUP($C18,'Raw - Children in Low Income'!$A:$Q,16,FALSE)</f>
        <v>14.497105915434075</v>
      </c>
      <c r="H18" s="218">
        <f>VLOOKUP(C18,'Raw - Children in Low Income'!A:Q,14,FALSE)</f>
        <v>33987</v>
      </c>
      <c r="I18" s="219">
        <f t="shared" ref="I18:I21" si="3">IFERROR(SUM(G18-D18),"-")</f>
        <v>1.8401042554913101</v>
      </c>
      <c r="J18" s="220">
        <f>IFERROR(SUM(VLOOKUP(C18,'Raw - Children in Low Income'!A:Q,14,FALSE)-VLOOKUP(C18,'Raw - Children in Low Income'!A:Q,2,FALSE)),"-")</f>
        <v>4346</v>
      </c>
    </row>
    <row r="19" spans="2:12" s="137" customFormat="1" ht="19.5" customHeight="1">
      <c r="B19" s="226" t="s">
        <v>270</v>
      </c>
      <c r="C19" s="216" t="s">
        <v>48</v>
      </c>
      <c r="D19" s="217">
        <f>VLOOKUP($C19,'Raw - Children in Low Income'!$A:$Q,4,FALSE)</f>
        <v>21.77431445787434</v>
      </c>
      <c r="E19" s="217">
        <f>VLOOKUP($C19,'Raw - Children in Low Income'!$A:$Q,8,FALSE)</f>
        <v>18.278088468718536</v>
      </c>
      <c r="F19" s="217">
        <f>VLOOKUP($C19,'Raw - Children in Low Income'!$A:$Q,12,FALSE)</f>
        <v>23.751422481642713</v>
      </c>
      <c r="G19" s="217">
        <f>VLOOKUP($C19,'Raw - Children in Low Income'!$A:$Q,16,FALSE)</f>
        <v>24.385895068983771</v>
      </c>
      <c r="H19" s="218">
        <f>VLOOKUP(C19,'Raw - Children in Low Income'!A:Q,14,FALSE)</f>
        <v>76521</v>
      </c>
      <c r="I19" s="219">
        <f t="shared" si="3"/>
        <v>2.6115806111094315</v>
      </c>
      <c r="J19" s="220">
        <f>IFERROR(SUM(VLOOKUP(C19,'Raw - Children in Low Income'!A:Q,14,FALSE)-VLOOKUP(C19,'Raw - Children in Low Income'!A:Q,2,FALSE)),"-")</f>
        <v>7623</v>
      </c>
    </row>
    <row r="20" spans="2:12" s="137" customFormat="1" ht="19.5" customHeight="1">
      <c r="B20" s="226" t="s">
        <v>164</v>
      </c>
      <c r="C20" s="216" t="s">
        <v>46</v>
      </c>
      <c r="D20" s="217">
        <f>VLOOKUP($C20,'Raw - Children in Low Income'!$A:$Q,4,FALSE)</f>
        <v>18.880520037019746</v>
      </c>
      <c r="E20" s="217">
        <f>VLOOKUP($C20,'Raw - Children in Low Income'!$A:$Q,8,FALSE)</f>
        <v>15.967019681722155</v>
      </c>
      <c r="F20" s="217">
        <f>VLOOKUP($C20,'Raw - Children in Low Income'!$A:$Q,12,FALSE)</f>
        <v>20.766395975561949</v>
      </c>
      <c r="G20" s="217">
        <f>VLOOKUP($C20,'Raw - Children in Low Income'!$A:$Q,16,FALSE)</f>
        <v>21.344451370248031</v>
      </c>
      <c r="H20" s="218">
        <f>VLOOKUP(C20,'Raw - Children in Low Income'!A:Q,14,FALSE)</f>
        <v>194596</v>
      </c>
      <c r="I20" s="219">
        <f t="shared" si="3"/>
        <v>2.4639313332282846</v>
      </c>
      <c r="J20" s="220">
        <f>IFERROR(SUM(VLOOKUP(C20,'Raw - Children in Low Income'!A:Q,14,FALSE)-VLOOKUP(C20,'Raw - Children in Low Income'!A:Q,2,FALSE)),"-")</f>
        <v>20744</v>
      </c>
    </row>
    <row r="21" spans="2:12" s="137" customFormat="1" ht="19.5" customHeight="1">
      <c r="B21" s="226" t="s">
        <v>164</v>
      </c>
      <c r="C21" s="216" t="s">
        <v>47</v>
      </c>
      <c r="D21" s="217">
        <f>VLOOKUP($C21,'Raw - Children in Low Income'!$A:$Q,4,FALSE)</f>
        <v>19.3</v>
      </c>
      <c r="E21" s="217">
        <f>VLOOKUP($C21,'Raw - Children in Low Income'!$A:$Q,8,FALSE)</f>
        <v>18.7</v>
      </c>
      <c r="F21" s="217">
        <f>VLOOKUP($C21,'Raw - Children in Low Income'!$A:$Q,12,FALSE)</f>
        <v>20.100000000000001</v>
      </c>
      <c r="G21" s="217">
        <f>VLOOKUP($C21,'Raw - Children in Low Income'!$A:$Q,16,FALSE)</f>
        <v>20.100000000000001</v>
      </c>
      <c r="H21" s="218">
        <f>VLOOKUP(C21,'Raw - Children in Low Income'!A:Q,14,FALSE)</f>
        <v>2480507</v>
      </c>
      <c r="I21" s="219">
        <f t="shared" si="3"/>
        <v>0.80000000000000071</v>
      </c>
      <c r="J21" s="220">
        <f>IFERROR(SUM(VLOOKUP(C21,'Raw - Children in Low Income'!A:Q,14,FALSE)-VLOOKUP(C21,'Raw - Children in Low Income'!A:Q,2,FALSE)),"-")</f>
        <v>25443</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c r="I23" s="170"/>
    </row>
    <row r="24" spans="2:12">
      <c r="B24" s="193" t="s">
        <v>207</v>
      </c>
    </row>
  </sheetData>
  <sheetProtection algorithmName="SHA-512" hashValue="pmPgPAYx8ThCLOD3od2rgxKZCsvNprOogLQRnDtmgYkdY2Jt/Hy+KPwmA03t/wkOukAOV5iK2+hAllsGI60dVg==" saltValue="teIpWVutmumfBdJ5NxGluQ==" spinCount="100000" sheet="1" sort="0"/>
  <mergeCells count="4">
    <mergeCell ref="F2:G2"/>
    <mergeCell ref="K4:L4"/>
    <mergeCell ref="I5:J5"/>
    <mergeCell ref="K5:L5"/>
  </mergeCells>
  <hyperlinks>
    <hyperlink ref="F2:G2" location="'Index RAG'!A1" display="Return to Index RAG" xr:uid="{64104018-3C2F-4143-A277-C349E144E174}"/>
    <hyperlink ref="C3" r:id="rId1" xr:uid="{54AEBE36-0E4E-4005-94A5-63F1C5546AB2}"/>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ACA89246-A033-4373-9927-E469B0015F57}">
          <x14:formula1>
            <xm:f>Lookups!$B$27:$E$27</xm:f>
          </x14:formula1>
          <xm:sqref>C6</xm:sqref>
        </x14:dataValidation>
        <x14:dataValidation type="list" allowBlank="1" showInputMessage="1" showErrorMessage="1" xr:uid="{2FA8E41E-4C50-4BEC-ABDC-F3AB0A8FE9E5}">
          <x14:formula1>
            <xm:f>Lookups!$B$36:$E$36</xm:f>
          </x14:formula1>
          <xm:sqref>C18</xm:sqref>
        </x14:dataValidation>
        <x14:dataValidation type="list" allowBlank="1" showInputMessage="1" showErrorMessage="1" xr:uid="{8D7145B1-07B9-4DC9-9A72-8F1515628AA8}">
          <x14:formula1>
            <xm:f>Lookups!$B$9:$B$13</xm:f>
          </x14:formula1>
          <xm:sqref>K5:L5</xm:sqref>
        </x14:dataValidation>
        <x14:dataValidation type="list" allowBlank="1" showInputMessage="1" showErrorMessage="1" xr:uid="{6BE0865B-E550-4D8F-A20D-0FD9EBD5CAEA}">
          <x14:formula1>
            <xm:f>Lookups!$Q$3:$Q$7</xm:f>
          </x14:formula1>
          <xm:sqref>C19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CC70-0AE9-4734-B064-BAE5D0885C7C}">
  <sheetPr>
    <pageSetUpPr autoPageBreaks="0" fitToPage="1"/>
  </sheetPr>
  <dimension ref="B1:L24"/>
  <sheetViews>
    <sheetView zoomScale="90" zoomScaleNormal="90" workbookViewId="0">
      <selection activeCell="F2" sqref="F2:G2"/>
    </sheetView>
  </sheetViews>
  <sheetFormatPr defaultColWidth="9.140625" defaultRowHeight="12"/>
  <cols>
    <col min="1" max="1" width="9.140625" style="145"/>
    <col min="2" max="2" width="31.85546875" style="145" bestFit="1" customWidth="1"/>
    <col min="3" max="3" width="24" style="145" customWidth="1" collapsed="1"/>
    <col min="4" max="7" width="14" style="145" customWidth="1" collapsed="1"/>
    <col min="8" max="12" width="14" style="145" customWidth="1"/>
    <col min="13" max="16384" width="9.140625" style="145"/>
  </cols>
  <sheetData>
    <row r="1" spans="2:12">
      <c r="C1" s="170" t="str">
        <f>CONCATENATE(C2,D1,C6)</f>
        <v>Households on Universal Credit (%) - LGBF Family Group 4</v>
      </c>
      <c r="D1" s="170" t="s">
        <v>290</v>
      </c>
    </row>
    <row r="2" spans="2:12" ht="12.75">
      <c r="B2" s="171" t="s">
        <v>49</v>
      </c>
      <c r="C2" s="172" t="s">
        <v>361</v>
      </c>
      <c r="E2" s="173"/>
      <c r="F2" s="467" t="s">
        <v>216</v>
      </c>
      <c r="G2" s="468"/>
    </row>
    <row r="3" spans="2:12" ht="12.75">
      <c r="B3" s="171" t="s">
        <v>50</v>
      </c>
      <c r="C3" s="310" t="s">
        <v>305</v>
      </c>
      <c r="D3" s="174"/>
    </row>
    <row r="4" spans="2:12" ht="12.75">
      <c r="B4" s="172"/>
      <c r="C4" s="175" t="s">
        <v>208</v>
      </c>
      <c r="D4" s="176"/>
      <c r="K4" s="463" t="s">
        <v>53</v>
      </c>
      <c r="L4" s="463"/>
    </row>
    <row r="5" spans="2:12" ht="21.95" customHeight="1">
      <c r="C5" s="177"/>
      <c r="D5" s="178"/>
      <c r="E5" s="178"/>
      <c r="F5" s="178"/>
      <c r="G5" s="178"/>
      <c r="H5" s="178"/>
      <c r="I5" s="464" t="s">
        <v>51</v>
      </c>
      <c r="J5" s="465"/>
      <c r="K5" s="466" t="s">
        <v>52</v>
      </c>
      <c r="L5" s="466"/>
    </row>
    <row r="6" spans="2:12" ht="26.1" customHeight="1">
      <c r="B6" s="179" t="s">
        <v>166</v>
      </c>
      <c r="C6" s="180" t="s">
        <v>245</v>
      </c>
      <c r="D6" s="201">
        <v>44317</v>
      </c>
      <c r="E6" s="201">
        <v>44682</v>
      </c>
      <c r="F6" s="201">
        <v>45047</v>
      </c>
      <c r="G6" s="201">
        <v>45413</v>
      </c>
      <c r="H6" s="181" t="s">
        <v>478</v>
      </c>
      <c r="I6" s="182" t="s">
        <v>54</v>
      </c>
      <c r="J6" s="182" t="s">
        <v>55</v>
      </c>
      <c r="K6" s="182" t="s">
        <v>57</v>
      </c>
      <c r="L6" s="182" t="s">
        <v>58</v>
      </c>
    </row>
    <row r="7" spans="2:12" s="137" customFormat="1" ht="19.5" customHeight="1">
      <c r="B7" s="216" t="s">
        <v>153</v>
      </c>
      <c r="C7" s="216" t="str">
        <f>IF(C$6="LGBF Family Group 1",Lookups!B28,IF(C$6="LGBF Family Group 2",Lookups!C28,IF(C$6="LGBF Family Group 3",Lookups!D28,Lookups!E28)))</f>
        <v>Na h-Eileanan Siar</v>
      </c>
      <c r="D7" s="217">
        <f>IF(VLOOKUP($C7,'Raw - Households on UC'!$A:$Q,4,FALSE)="","-",VLOOKUP($C7,'Raw - Households on UC'!$A:$Q,4,FALSE))</f>
        <v>10.119922630560929</v>
      </c>
      <c r="E7" s="217">
        <f>IF(VLOOKUP($C7,'Raw - Households on UC'!$A:$Q,8,FALSE)="","-",VLOOKUP($C7,'Raw - Households on UC'!$A:$Q,8,FALSE))</f>
        <v>9.4101339904512553</v>
      </c>
      <c r="F7" s="217">
        <f>IF(VLOOKUP($C7,'Raw - Households on UC'!$A:$Q,12,FALSE)="","-",VLOOKUP($C7,'Raw - Households on UC'!$A:$Q,12,FALSE))</f>
        <v>10.096829611119787</v>
      </c>
      <c r="G7" s="217">
        <f>IF(VLOOKUP($C7,'Raw - Households on UC'!$A:$Q,16,FALSE)="","-",VLOOKUP($C7,'Raw - Households on UC'!$A:$Q,16,FALSE))</f>
        <v>11.291582070904264</v>
      </c>
      <c r="H7" s="218">
        <f>IF(VLOOKUP($C7,'Raw - Households on UC'!$A:$Q,14,FALSE)="","-",VLOOKUP($C7,'Raw - Households on UC'!$A:$Q,14,FALSE))</f>
        <v>1446</v>
      </c>
      <c r="I7" s="219">
        <f>IFERROR(IF(G7="-","-",SUM(G7-D7)),"-")</f>
        <v>1.1716594403433351</v>
      </c>
      <c r="J7" s="220">
        <f>IFERROR(IF(H7="-","-",SUM(VLOOKUP(C7,'Raw - Households on UC'!A:Q,14,FALSE)-VLOOKUP(C7,'Raw - Households on UC'!A:Q,2,FALSE))),"-")</f>
        <v>138</v>
      </c>
      <c r="K7" s="221">
        <f>IF(G7="-","-",IF(IF($K$5="City Region Comparator",SUM(G$19-G7),IF($K$5="LGBF Family Group Average",SUM(G$18-G7),IF($K$5="Scotland",SUM(G$20-G7),IF($K$5="United Kingdom","n/a",SUM(G$17-G7)))))&gt;=0,"",IF($K$5="City Region Comparator",SUM(G$19-G7),IF($K$5="LGBF Family Group Average",SUM(G$18-G7),IF($K$5="Scotland",SUM(G$20-G7),IF($K$5="United Kingdom","n/a",SUM(G$17-G7)))))))</f>
        <v>-0.67276790015225352</v>
      </c>
      <c r="L7" s="222">
        <f>IF(K7="-","-",IF(K7=""," ",IF($K$5="LGBF Family Group Average",SUM(MROUND(SUM(SUM(VLOOKUP(C$18,'Raw - Households on UC'!A:Q,16,FALSE)*VLOOKUP(C7,'Raw - Households on UC'!A:Q,15,FALSE))/100),100)-MROUND(SUM(SUM(VLOOKUP(C7,'Raw - Households on UC'!A:Q,16,FALSE)*VLOOKUP(C7,'Raw - Households on UC'!A:Q,15,FALSE))/100),100)),IF($K$5="City Region Comparator",SUM(MROUND(SUM(SUM(VLOOKUP(C$19,'Raw - Households on UC'!A:Q,16,FALSE)*VLOOKUP(C7,'Raw - Households on UC'!A:Q,15,FALSE))/100),100)-MROUND(SUM(SUM(VLOOKUP(C7,'Raw - Households on UC'!A:Q,16,FALSE)*VLOOKUP(C7,'Raw - Households on UC'!A:Q,15,FALSE))/100),100)),IF($K$5="Scotland",SUM(MROUND(SUM(SUM(VLOOKUP(C$20,'Raw - Households on UC'!A:Q,16,FALSE)*VLOOKUP(C7,'Raw - Households on UC'!A:Q,15,FALSE))/100),100)-MROUND(SUM(SUM(VLOOKUP(C7,'Raw - Households on UC'!A:Q,16,FALSE)*VLOOKUP(C7,'Raw - Households on UC'!A:Q,15,FALSE))/100),100)),IF($K$5="United Kingdom","",SUM(MROUND(SUM(SUM(VLOOKUP(C$17,'Raw - Households on UC'!A:Q,16,FALSE)*VLOOKUP(C7,'Raw - Households on UC'!A:Q,15,FALSE))/100),100)-MROUND(SUM(SUM(VLOOKUP(C7,'Raw - Households on UC'!A:Q,16,FALSE)*VLOOKUP(C7,'Raw - Households on UC'!A:Q,15,FALSE))/100),100))))))))</f>
        <v>0</v>
      </c>
    </row>
    <row r="8" spans="2:12" s="137" customFormat="1" ht="19.5" customHeight="1">
      <c r="B8" s="216" t="s">
        <v>153</v>
      </c>
      <c r="C8" s="216" t="str">
        <f>IF(C$6="LGBF Family Group 1",Lookups!B29,IF(C$6="LGBF Family Group 2",Lookups!C29,IF(C$6="LGBF Family Group 3",Lookups!D29,Lookups!E29)))</f>
        <v>Dundee City</v>
      </c>
      <c r="D8" s="217">
        <f>IF(VLOOKUP($C8,'Raw - Households on UC'!$A:$Q,4,FALSE)="","-",VLOOKUP($C8,'Raw - Households on UC'!$A:$Q,4,FALSE))</f>
        <v>20.386386611254633</v>
      </c>
      <c r="E8" s="217">
        <f>IF(VLOOKUP($C8,'Raw - Households on UC'!$A:$Q,8,FALSE)="","-",VLOOKUP($C8,'Raw - Households on UC'!$A:$Q,8,FALSE))</f>
        <v>19.738915775233259</v>
      </c>
      <c r="F8" s="217">
        <f>IF(VLOOKUP($C8,'Raw - Households on UC'!$A:$Q,12,FALSE)="","-",VLOOKUP($C8,'Raw - Households on UC'!$A:$Q,12,FALSE))</f>
        <v>21.589569515260834</v>
      </c>
      <c r="G8" s="217">
        <f>IF(VLOOKUP($C8,'Raw - Households on UC'!$A:$Q,16,FALSE)="","-",VLOOKUP($C8,'Raw - Households on UC'!$A:$Q,16,FALSE))</f>
        <v>23.467170390148986</v>
      </c>
      <c r="H8" s="218">
        <f>IF(VLOOKUP($C8,'Raw - Households on UC'!$A:$Q,14,FALSE)="","-",VLOOKUP($C8,'Raw - Households on UC'!$A:$Q,14,FALSE))</f>
        <v>16523</v>
      </c>
      <c r="I8" s="219">
        <f t="shared" ref="I8:I14" si="0">IFERROR(IF(G8="-","-",SUM(G8-D8)),"-")</f>
        <v>3.0807837788943537</v>
      </c>
      <c r="J8" s="220">
        <f>IFERROR(IF(H8="-","-",SUM(VLOOKUP(C8,'Raw - Households on UC'!A:Q,14,FALSE)-VLOOKUP(C8,'Raw - Households on UC'!A:Q,2,FALSE))),"-")</f>
        <v>2003</v>
      </c>
      <c r="K8" s="221">
        <f t="shared" ref="K8:K14" si="1">IF(G8="-","-",IF(IF($K$5="City Region Comparator",SUM(G$19-G8),IF($K$5="LGBF Family Group Average",SUM(G$18-G8),IF($K$5="Scotland",SUM(G$20-G8),IF($K$5="United Kingdom","n/a",SUM(G$17-G8)))))&gt;=0,"",IF($K$5="City Region Comparator",SUM(G$19-G8),IF($K$5="LGBF Family Group Average",SUM(G$18-G8),IF($K$5="Scotland",SUM(G$20-G8),IF($K$5="United Kingdom","n/a",SUM(G$17-G8)))))))</f>
        <v>-12.848356219396976</v>
      </c>
      <c r="L8" s="222">
        <f>IF(K8="-","-",IF(K8=""," ",IF($K$5="LGBF Family Group Average",SUM(MROUND(SUM(SUM(VLOOKUP(C$18,'Raw - Households on UC'!A:Q,16,FALSE)*VLOOKUP(C8,'Raw - Households on UC'!A:Q,15,FALSE))/100),100)-MROUND(SUM(SUM(VLOOKUP(C8,'Raw - Households on UC'!A:Q,16,FALSE)*VLOOKUP(C8,'Raw - Households on UC'!A:Q,15,FALSE))/100),100)),IF($K$5="City Region Comparator",SUM(MROUND(SUM(SUM(VLOOKUP(C$19,'Raw - Households on UC'!A:Q,16,FALSE)*VLOOKUP(C8,'Raw - Households on UC'!A:Q,15,FALSE))/100),100)-MROUND(SUM(SUM(VLOOKUP(C8,'Raw - Households on UC'!A:Q,16,FALSE)*VLOOKUP(C8,'Raw - Households on UC'!A:Q,15,FALSE))/100),100)),IF($K$5="Scotland",SUM(MROUND(SUM(SUM(VLOOKUP(C$20,'Raw - Households on UC'!A:Q,16,FALSE)*VLOOKUP(C8,'Raw - Households on UC'!A:Q,15,FALSE))/100),100)-MROUND(SUM(SUM(VLOOKUP(C8,'Raw - Households on UC'!A:Q,16,FALSE)*VLOOKUP(C8,'Raw - Households on UC'!A:Q,15,FALSE))/100),100)),IF($K$5="United Kingdom","",SUM(MROUND(SUM(SUM(VLOOKUP(C$17,'Raw - Households on UC'!A:Q,16,FALSE)*VLOOKUP(C8,'Raw - Households on UC'!A:Q,15,FALSE))/100),100)-MROUND(SUM(SUM(VLOOKUP(C8,'Raw - Households on UC'!A:Q,16,FALSE)*VLOOKUP(C8,'Raw - Households on UC'!A:Q,15,FALSE))/100),100))))))))</f>
        <v>-9000</v>
      </c>
    </row>
    <row r="9" spans="2:12" s="137" customFormat="1" ht="19.5" customHeight="1">
      <c r="B9" s="216" t="s">
        <v>153</v>
      </c>
      <c r="C9" s="216" t="str">
        <f>IF(C$6="LGBF Family Group 1",Lookups!B30,IF(C$6="LGBF Family Group 2",Lookups!C30,IF(C$6="LGBF Family Group 3",Lookups!D30,Lookups!E30)))</f>
        <v>East Ayrshire</v>
      </c>
      <c r="D9" s="217">
        <f>IF(VLOOKUP($C9,'Raw - Households on UC'!$A:$Q,4,FALSE)="","-",VLOOKUP($C9,'Raw - Households on UC'!$A:$Q,4,FALSE))</f>
        <v>21.004826443925985</v>
      </c>
      <c r="E9" s="217">
        <f>IF(VLOOKUP($C9,'Raw - Households on UC'!$A:$Q,8,FALSE)="","-",VLOOKUP($C9,'Raw - Households on UC'!$A:$Q,8,FALSE))</f>
        <v>20.280461312940428</v>
      </c>
      <c r="F9" s="217">
        <f>IF(VLOOKUP($C9,'Raw - Households on UC'!$A:$Q,12,FALSE)="","-",VLOOKUP($C9,'Raw - Households on UC'!$A:$Q,12,FALSE))</f>
        <v>21.886366486893266</v>
      </c>
      <c r="G9" s="217">
        <f>IF(VLOOKUP($C9,'Raw - Households on UC'!$A:$Q,16,FALSE)="","-",VLOOKUP($C9,'Raw - Households on UC'!$A:$Q,16,FALSE))</f>
        <v>23.678127967604954</v>
      </c>
      <c r="H9" s="218">
        <f>IF(VLOOKUP($C9,'Raw - Households on UC'!$A:$Q,14,FALSE)="","-",VLOOKUP($C9,'Raw - Households on UC'!$A:$Q,14,FALSE))</f>
        <v>13215</v>
      </c>
      <c r="I9" s="219">
        <f t="shared" si="0"/>
        <v>2.673301523678969</v>
      </c>
      <c r="J9" s="220">
        <f>IFERROR(IF(H9="-","-",SUM(VLOOKUP(C9,'Raw - Households on UC'!A:Q,14,FALSE)-VLOOKUP(C9,'Raw - Households on UC'!A:Q,2,FALSE))),"-")</f>
        <v>1421</v>
      </c>
      <c r="K9" s="221">
        <f t="shared" si="1"/>
        <v>-13.059313796852944</v>
      </c>
      <c r="L9" s="222">
        <f>IF(K9="-","-",IF(K9=""," ",IF($K$5="LGBF Family Group Average",SUM(MROUND(SUM(SUM(VLOOKUP(C$18,'Raw - Households on UC'!A:Q,16,FALSE)*VLOOKUP(C9,'Raw - Households on UC'!A:Q,15,FALSE))/100),100)-MROUND(SUM(SUM(VLOOKUP(C9,'Raw - Households on UC'!A:Q,16,FALSE)*VLOOKUP(C9,'Raw - Households on UC'!A:Q,15,FALSE))/100),100)),IF($K$5="City Region Comparator",SUM(MROUND(SUM(SUM(VLOOKUP(C$19,'Raw - Households on UC'!A:Q,16,FALSE)*VLOOKUP(C9,'Raw - Households on UC'!A:Q,15,FALSE))/100),100)-MROUND(SUM(SUM(VLOOKUP(C9,'Raw - Households on UC'!A:Q,16,FALSE)*VLOOKUP(C9,'Raw - Households on UC'!A:Q,15,FALSE))/100),100)),IF($K$5="Scotland",SUM(MROUND(SUM(SUM(VLOOKUP(C$20,'Raw - Households on UC'!A:Q,16,FALSE)*VLOOKUP(C9,'Raw - Households on UC'!A:Q,15,FALSE))/100),100)-MROUND(SUM(SUM(VLOOKUP(C9,'Raw - Households on UC'!A:Q,16,FALSE)*VLOOKUP(C9,'Raw - Households on UC'!A:Q,15,FALSE))/100),100)),IF($K$5="United Kingdom","",SUM(MROUND(SUM(SUM(VLOOKUP(C$17,'Raw - Households on UC'!A:Q,16,FALSE)*VLOOKUP(C9,'Raw - Households on UC'!A:Q,15,FALSE))/100),100)-MROUND(SUM(SUM(VLOOKUP(C9,'Raw - Households on UC'!A:Q,16,FALSE)*VLOOKUP(C9,'Raw - Households on UC'!A:Q,15,FALSE))/100),100))))))))</f>
        <v>-7300</v>
      </c>
    </row>
    <row r="10" spans="2:12" s="137" customFormat="1" ht="19.5" customHeight="1">
      <c r="B10" s="216" t="s">
        <v>153</v>
      </c>
      <c r="C10" s="216" t="str">
        <f>IF(C$6="LGBF Family Group 1",Lookups!B31,IF(C$6="LGBF Family Group 2",Lookups!C31,IF(C$6="LGBF Family Group 3",Lookups!D31,Lookups!E31)))</f>
        <v>North Ayrshire</v>
      </c>
      <c r="D10" s="217">
        <f>IF(VLOOKUP($C10,'Raw - Households on UC'!$A:$Q,4,FALSE)="","-",VLOOKUP($C10,'Raw - Households on UC'!$A:$Q,4,FALSE))</f>
        <v>20.99220170761027</v>
      </c>
      <c r="E10" s="217">
        <f>IF(VLOOKUP($C10,'Raw - Households on UC'!$A:$Q,8,FALSE)="","-",VLOOKUP($C10,'Raw - Households on UC'!$A:$Q,8,FALSE))</f>
        <v>20.388736453239726</v>
      </c>
      <c r="F10" s="217">
        <f>IF(VLOOKUP($C10,'Raw - Households on UC'!$A:$Q,12,FALSE)="","-",VLOOKUP($C10,'Raw - Households on UC'!$A:$Q,12,FALSE))</f>
        <v>21.863444370522796</v>
      </c>
      <c r="G10" s="217">
        <f>IF(VLOOKUP($C10,'Raw - Households on UC'!$A:$Q,16,FALSE)="","-",VLOOKUP($C10,'Raw - Households on UC'!$A:$Q,16,FALSE))</f>
        <v>24.284808070180866</v>
      </c>
      <c r="H10" s="218">
        <f>IF(VLOOKUP($C10,'Raw - Households on UC'!$A:$Q,14,FALSE)="","-",VLOOKUP($C10,'Raw - Households on UC'!$A:$Q,14,FALSE))</f>
        <v>15696</v>
      </c>
      <c r="I10" s="219">
        <f t="shared" si="0"/>
        <v>3.292606362570595</v>
      </c>
      <c r="J10" s="220">
        <f>IFERROR(IF(H10="-","-",SUM(VLOOKUP(C10,'Raw - Households on UC'!A:Q,14,FALSE)-VLOOKUP(C10,'Raw - Households on UC'!A:Q,2,FALSE))),"-")</f>
        <v>2075</v>
      </c>
      <c r="K10" s="221">
        <f t="shared" si="1"/>
        <v>-13.665993899428855</v>
      </c>
      <c r="L10" s="222">
        <f>IF(K10="-","-",IF(K10=""," ",IF($K$5="LGBF Family Group Average",SUM(MROUND(SUM(SUM(VLOOKUP(C$18,'Raw - Households on UC'!A:Q,16,FALSE)*VLOOKUP(C10,'Raw - Households on UC'!A:Q,15,FALSE))/100),100)-MROUND(SUM(SUM(VLOOKUP(C10,'Raw - Households on UC'!A:Q,16,FALSE)*VLOOKUP(C10,'Raw - Households on UC'!A:Q,15,FALSE))/100),100)),IF($K$5="City Region Comparator",SUM(MROUND(SUM(SUM(VLOOKUP(C$19,'Raw - Households on UC'!A:Q,16,FALSE)*VLOOKUP(C10,'Raw - Households on UC'!A:Q,15,FALSE))/100),100)-MROUND(SUM(SUM(VLOOKUP(C10,'Raw - Households on UC'!A:Q,16,FALSE)*VLOOKUP(C10,'Raw - Households on UC'!A:Q,15,FALSE))/100),100)),IF($K$5="Scotland",SUM(MROUND(SUM(SUM(VLOOKUP(C$20,'Raw - Households on UC'!A:Q,16,FALSE)*VLOOKUP(C10,'Raw - Households on UC'!A:Q,15,FALSE))/100),100)-MROUND(SUM(SUM(VLOOKUP(C10,'Raw - Households on UC'!A:Q,16,FALSE)*VLOOKUP(C10,'Raw - Households on UC'!A:Q,15,FALSE))/100),100)),IF($K$5="United Kingdom","",SUM(MROUND(SUM(SUM(VLOOKUP(C$17,'Raw - Households on UC'!A:Q,16,FALSE)*VLOOKUP(C10,'Raw - Households on UC'!A:Q,15,FALSE))/100),100)-MROUND(SUM(SUM(VLOOKUP(C10,'Raw - Households on UC'!A:Q,16,FALSE)*VLOOKUP(C10,'Raw - Households on UC'!A:Q,15,FALSE))/100),100))))))))</f>
        <v>-8800</v>
      </c>
    </row>
    <row r="11" spans="2:12" s="137" customFormat="1" ht="19.5" customHeight="1">
      <c r="B11" s="216" t="s">
        <v>153</v>
      </c>
      <c r="C11" s="216" t="str">
        <f>IF(C$6="LGBF Family Group 1",Lookups!B32,IF(C$6="LGBF Family Group 2",Lookups!C32,IF(C$6="LGBF Family Group 3",Lookups!D32,Lookups!E32)))</f>
        <v>North Lanarkshire</v>
      </c>
      <c r="D11" s="217">
        <f>IF(VLOOKUP($C11,'Raw - Households on UC'!$A:$Q,4,FALSE)="","-",VLOOKUP($C11,'Raw - Households on UC'!$A:$Q,4,FALSE))</f>
        <v>19.240707354061037</v>
      </c>
      <c r="E11" s="217">
        <f>IF(VLOOKUP($C11,'Raw - Households on UC'!$A:$Q,8,FALSE)="","-",VLOOKUP($C11,'Raw - Households on UC'!$A:$Q,8,FALSE))</f>
        <v>18.548146804679302</v>
      </c>
      <c r="F11" s="217">
        <f>IF(VLOOKUP($C11,'Raw - Households on UC'!$A:$Q,12,FALSE)="","-",VLOOKUP($C11,'Raw - Households on UC'!$A:$Q,12,FALSE))</f>
        <v>20.327802270508933</v>
      </c>
      <c r="G11" s="217">
        <f>IF(VLOOKUP($C11,'Raw - Households on UC'!$A:$Q,16,FALSE)="","-",VLOOKUP($C11,'Raw - Households on UC'!$A:$Q,16,FALSE))</f>
        <v>23.180022665784492</v>
      </c>
      <c r="H11" s="218">
        <f>IF(VLOOKUP($C11,'Raw - Households on UC'!$A:$Q,14,FALSE)="","-",VLOOKUP($C11,'Raw - Households on UC'!$A:$Q,14,FALSE))</f>
        <v>35385</v>
      </c>
      <c r="I11" s="219">
        <f t="shared" si="0"/>
        <v>3.9393153117234547</v>
      </c>
      <c r="J11" s="220">
        <f>IFERROR(IF(H11="-","-",SUM(VLOOKUP(C11,'Raw - Households on UC'!A:Q,14,FALSE)-VLOOKUP(C11,'Raw - Households on UC'!A:Q,2,FALSE))),"-")</f>
        <v>5823</v>
      </c>
      <c r="K11" s="221">
        <f t="shared" si="1"/>
        <v>-12.561208495032481</v>
      </c>
      <c r="L11" s="222">
        <f>IF(K11="-","-",IF(K11=""," ",IF($K$5="LGBF Family Group Average",SUM(MROUND(SUM(SUM(VLOOKUP(C$18,'Raw - Households on UC'!A:Q,16,FALSE)*VLOOKUP(C11,'Raw - Households on UC'!A:Q,15,FALSE))/100),100)-MROUND(SUM(SUM(VLOOKUP(C11,'Raw - Households on UC'!A:Q,16,FALSE)*VLOOKUP(C11,'Raw - Households on UC'!A:Q,15,FALSE))/100),100)),IF($K$5="City Region Comparator",SUM(MROUND(SUM(SUM(VLOOKUP(C$19,'Raw - Households on UC'!A:Q,16,FALSE)*VLOOKUP(C11,'Raw - Households on UC'!A:Q,15,FALSE))/100),100)-MROUND(SUM(SUM(VLOOKUP(C11,'Raw - Households on UC'!A:Q,16,FALSE)*VLOOKUP(C11,'Raw - Households on UC'!A:Q,15,FALSE))/100),100)),IF($K$5="Scotland",SUM(MROUND(SUM(SUM(VLOOKUP(C$20,'Raw - Households on UC'!A:Q,16,FALSE)*VLOOKUP(C11,'Raw - Households on UC'!A:Q,15,FALSE))/100),100)-MROUND(SUM(SUM(VLOOKUP(C11,'Raw - Households on UC'!A:Q,16,FALSE)*VLOOKUP(C11,'Raw - Households on UC'!A:Q,15,FALSE))/100),100)),IF($K$5="United Kingdom","",SUM(MROUND(SUM(SUM(VLOOKUP(C$17,'Raw - Households on UC'!A:Q,16,FALSE)*VLOOKUP(C11,'Raw - Households on UC'!A:Q,15,FALSE))/100),100)-MROUND(SUM(SUM(VLOOKUP(C11,'Raw - Households on UC'!A:Q,16,FALSE)*VLOOKUP(C11,'Raw - Households on UC'!A:Q,15,FALSE))/100),100))))))))</f>
        <v>-19200</v>
      </c>
    </row>
    <row r="12" spans="2:12" s="137" customFormat="1" ht="19.5" customHeight="1">
      <c r="B12" s="216" t="s">
        <v>153</v>
      </c>
      <c r="C12" s="216" t="str">
        <f>IF(C$6="LGBF Family Group 1",Lookups!B33,IF(C$6="LGBF Family Group 2",Lookups!C33,IF(C$6="LGBF Family Group 3",Lookups!D33,Lookups!E33)))</f>
        <v>Inverclyde</v>
      </c>
      <c r="D12" s="217">
        <f>IF(VLOOKUP($C12,'Raw - Households on UC'!$A:$Q,4,FALSE)="","-",VLOOKUP($C12,'Raw - Households on UC'!$A:$Q,4,FALSE))</f>
        <v>21.099636440276097</v>
      </c>
      <c r="E12" s="217">
        <f>IF(VLOOKUP($C12,'Raw - Households on UC'!$A:$Q,8,FALSE)="","-",VLOOKUP($C12,'Raw - Households on UC'!$A:$Q,8,FALSE))</f>
        <v>21.123554346119629</v>
      </c>
      <c r="F12" s="217">
        <f>IF(VLOOKUP($C12,'Raw - Households on UC'!$A:$Q,12,FALSE)="","-",VLOOKUP($C12,'Raw - Households on UC'!$A:$Q,12,FALSE))</f>
        <v>22.35861114069656</v>
      </c>
      <c r="G12" s="217">
        <f>IF(VLOOKUP($C12,'Raw - Households on UC'!$A:$Q,16,FALSE)="","-",VLOOKUP($C12,'Raw - Households on UC'!$A:$Q,16,FALSE))</f>
        <v>24.336990094791776</v>
      </c>
      <c r="H12" s="218">
        <f>IF(VLOOKUP($C12,'Raw - Households on UC'!$A:$Q,14,FALSE)="","-",VLOOKUP($C12,'Raw - Households on UC'!$A:$Q,14,FALSE))</f>
        <v>9140</v>
      </c>
      <c r="I12" s="219">
        <f t="shared" si="0"/>
        <v>3.2373536545156796</v>
      </c>
      <c r="J12" s="220">
        <f>IFERROR(IF(H12="-","-",SUM(VLOOKUP(C12,'Raw - Households on UC'!A:Q,14,FALSE)-VLOOKUP(C12,'Raw - Households on UC'!A:Q,2,FALSE))),"-")</f>
        <v>1131</v>
      </c>
      <c r="K12" s="221">
        <f t="shared" si="1"/>
        <v>-13.718175924039766</v>
      </c>
      <c r="L12" s="222">
        <f>IF(K12="-","-",IF(K12=""," ",IF($K$5="LGBF Family Group Average",SUM(MROUND(SUM(SUM(VLOOKUP(C$18,'Raw - Households on UC'!A:Q,16,FALSE)*VLOOKUP(C12,'Raw - Households on UC'!A:Q,15,FALSE))/100),100)-MROUND(SUM(SUM(VLOOKUP(C12,'Raw - Households on UC'!A:Q,16,FALSE)*VLOOKUP(C12,'Raw - Households on UC'!A:Q,15,FALSE))/100),100)),IF($K$5="City Region Comparator",SUM(MROUND(SUM(SUM(VLOOKUP(C$19,'Raw - Households on UC'!A:Q,16,FALSE)*VLOOKUP(C12,'Raw - Households on UC'!A:Q,15,FALSE))/100),100)-MROUND(SUM(SUM(VLOOKUP(C12,'Raw - Households on UC'!A:Q,16,FALSE)*VLOOKUP(C12,'Raw - Households on UC'!A:Q,15,FALSE))/100),100)),IF($K$5="Scotland",SUM(MROUND(SUM(SUM(VLOOKUP(C$20,'Raw - Households on UC'!A:Q,16,FALSE)*VLOOKUP(C12,'Raw - Households on UC'!A:Q,15,FALSE))/100),100)-MROUND(SUM(SUM(VLOOKUP(C12,'Raw - Households on UC'!A:Q,16,FALSE)*VLOOKUP(C12,'Raw - Households on UC'!A:Q,15,FALSE))/100),100)),IF($K$5="United Kingdom","",SUM(MROUND(SUM(SUM(VLOOKUP(C$17,'Raw - Households on UC'!A:Q,16,FALSE)*VLOOKUP(C12,'Raw - Households on UC'!A:Q,15,FALSE))/100),100)-MROUND(SUM(SUM(VLOOKUP(C12,'Raw - Households on UC'!A:Q,16,FALSE)*VLOOKUP(C12,'Raw - Households on UC'!A:Q,15,FALSE))/100),100))))))))</f>
        <v>-5100</v>
      </c>
    </row>
    <row r="13" spans="2:12" s="137" customFormat="1" ht="19.5" customHeight="1">
      <c r="B13" s="216" t="s">
        <v>153</v>
      </c>
      <c r="C13" s="216" t="str">
        <f>IF(C$6="LGBF Family Group 1",Lookups!B34,IF(C$6="LGBF Family Group 2",Lookups!C34,IF(C$6="LGBF Family Group 3",Lookups!D34,Lookups!E34)))</f>
        <v>West Dunbartonshire</v>
      </c>
      <c r="D13" s="217">
        <f>IF(VLOOKUP($C13,'Raw - Households on UC'!$A:$Q,4,FALSE)="","-",VLOOKUP($C13,'Raw - Households on UC'!$A:$Q,4,FALSE))</f>
        <v>19.619961258186514</v>
      </c>
      <c r="E13" s="217">
        <f>IF(VLOOKUP($C13,'Raw - Households on UC'!$A:$Q,8,FALSE)="","-",VLOOKUP($C13,'Raw - Households on UC'!$A:$Q,8,FALSE))</f>
        <v>19.332582047331019</v>
      </c>
      <c r="F13" s="217">
        <f>IF(VLOOKUP($C13,'Raw - Households on UC'!$A:$Q,12,FALSE)="","-",VLOOKUP($C13,'Raw - Households on UC'!$A:$Q,12,FALSE))</f>
        <v>21.818224277240674</v>
      </c>
      <c r="G13" s="217">
        <f>IF(VLOOKUP($C13,'Raw - Households on UC'!$A:$Q,16,FALSE)="","-",VLOOKUP($C13,'Raw - Households on UC'!$A:$Q,16,FALSE))</f>
        <v>24.713932090981274</v>
      </c>
      <c r="H13" s="218">
        <f>IF(VLOOKUP($C13,'Raw - Households on UC'!$A:$Q,14,FALSE)="","-",VLOOKUP($C13,'Raw - Households on UC'!$A:$Q,14,FALSE))</f>
        <v>10583</v>
      </c>
      <c r="I13" s="219">
        <f t="shared" si="0"/>
        <v>5.0939708327947599</v>
      </c>
      <c r="J13" s="220">
        <f>IFERROR(IF(H13="-","-",SUM(VLOOKUP(C13,'Raw - Households on UC'!A:Q,14,FALSE)-VLOOKUP(C13,'Raw - Households on UC'!A:Q,2,FALSE))),"-")</f>
        <v>2075</v>
      </c>
      <c r="K13" s="221">
        <f t="shared" si="1"/>
        <v>-14.095117920229264</v>
      </c>
      <c r="L13" s="222">
        <f>IF(K13="-","-",IF(K13=""," ",IF($K$5="LGBF Family Group Average",SUM(MROUND(SUM(SUM(VLOOKUP(C$18,'Raw - Households on UC'!A:Q,16,FALSE)*VLOOKUP(C13,'Raw - Households on UC'!A:Q,15,FALSE))/100),100)-MROUND(SUM(SUM(VLOOKUP(C13,'Raw - Households on UC'!A:Q,16,FALSE)*VLOOKUP(C13,'Raw - Households on UC'!A:Q,15,FALSE))/100),100)),IF($K$5="City Region Comparator",SUM(MROUND(SUM(SUM(VLOOKUP(C$19,'Raw - Households on UC'!A:Q,16,FALSE)*VLOOKUP(C13,'Raw - Households on UC'!A:Q,15,FALSE))/100),100)-MROUND(SUM(SUM(VLOOKUP(C13,'Raw - Households on UC'!A:Q,16,FALSE)*VLOOKUP(C13,'Raw - Households on UC'!A:Q,15,FALSE))/100),100)),IF($K$5="Scotland",SUM(MROUND(SUM(SUM(VLOOKUP(C$20,'Raw - Households on UC'!A:Q,16,FALSE)*VLOOKUP(C13,'Raw - Households on UC'!A:Q,15,FALSE))/100),100)-MROUND(SUM(SUM(VLOOKUP(C13,'Raw - Households on UC'!A:Q,16,FALSE)*VLOOKUP(C13,'Raw - Households on UC'!A:Q,15,FALSE))/100),100)),IF($K$5="United Kingdom","",SUM(MROUND(SUM(SUM(VLOOKUP(C$17,'Raw - Households on UC'!A:Q,16,FALSE)*VLOOKUP(C13,'Raw - Households on UC'!A:Q,15,FALSE))/100),100)-MROUND(SUM(SUM(VLOOKUP(C13,'Raw - Households on UC'!A:Q,16,FALSE)*VLOOKUP(C13,'Raw - Households on UC'!A:Q,15,FALSE))/100),100))))))))</f>
        <v>-6100</v>
      </c>
    </row>
    <row r="14" spans="2:12" s="137" customFormat="1" ht="19.5" customHeight="1">
      <c r="B14" s="216" t="s">
        <v>153</v>
      </c>
      <c r="C14" s="216" t="str">
        <f>IF(C$6="LGBF Family Group 1",Lookups!B35,IF(C$6="LGBF Family Group 2",Lookups!C35,IF(C$6="LGBF Family Group 3",Lookups!D35,Lookups!E35)))</f>
        <v>Glasgow City</v>
      </c>
      <c r="D14" s="217">
        <f>IF(VLOOKUP($C14,'Raw - Households on UC'!$A:$Q,4,FALSE)="","-",VLOOKUP($C14,'Raw - Households on UC'!$A:$Q,4,FALSE))</f>
        <v>21.232269355221902</v>
      </c>
      <c r="E14" s="217">
        <f>IF(VLOOKUP($C14,'Raw - Households on UC'!$A:$Q,8,FALSE)="","-",VLOOKUP($C14,'Raw - Households on UC'!$A:$Q,8,FALSE))</f>
        <v>20.452487181194645</v>
      </c>
      <c r="F14" s="217">
        <f>IF(VLOOKUP($C14,'Raw - Households on UC'!$A:$Q,12,FALSE)="","-",VLOOKUP($C14,'Raw - Households on UC'!$A:$Q,12,FALSE))</f>
        <v>22.53972950979535</v>
      </c>
      <c r="G14" s="217">
        <f>IF(VLOOKUP($C14,'Raw - Households on UC'!$A:$Q,16,FALSE)="","-",VLOOKUP($C14,'Raw - Households on UC'!$A:$Q,16,FALSE))</f>
        <v>25.863019779007757</v>
      </c>
      <c r="H14" s="218">
        <f>IF(VLOOKUP($C14,'Raw - Households on UC'!$A:$Q,14,FALSE)="","-",VLOOKUP($C14,'Raw - Households on UC'!$A:$Q,14,FALSE))</f>
        <v>76913</v>
      </c>
      <c r="I14" s="219">
        <f t="shared" si="0"/>
        <v>4.6307504237858552</v>
      </c>
      <c r="J14" s="220">
        <f>IFERROR(IF(H14="-","-",SUM(VLOOKUP(C14,'Raw - Households on UC'!A:Q,14,FALSE)-VLOOKUP(C14,'Raw - Households on UC'!A:Q,2,FALSE))),"-")</f>
        <v>13461</v>
      </c>
      <c r="K14" s="221">
        <f t="shared" si="1"/>
        <v>-15.244205608255747</v>
      </c>
      <c r="L14" s="222">
        <f>IF(K14="-","-",IF(K14=""," ",IF($K$5="LGBF Family Group Average",SUM(MROUND(SUM(SUM(VLOOKUP(C$18,'Raw - Households on UC'!A:Q,16,FALSE)*VLOOKUP(C14,'Raw - Households on UC'!A:Q,15,FALSE))/100),100)-MROUND(SUM(SUM(VLOOKUP(C14,'Raw - Households on UC'!A:Q,16,FALSE)*VLOOKUP(C14,'Raw - Households on UC'!A:Q,15,FALSE))/100),100)),IF($K$5="City Region Comparator",SUM(MROUND(SUM(SUM(VLOOKUP(C$19,'Raw - Households on UC'!A:Q,16,FALSE)*VLOOKUP(C14,'Raw - Households on UC'!A:Q,15,FALSE))/100),100)-MROUND(SUM(SUM(VLOOKUP(C14,'Raw - Households on UC'!A:Q,16,FALSE)*VLOOKUP(C14,'Raw - Households on UC'!A:Q,15,FALSE))/100),100)),IF($K$5="Scotland",SUM(MROUND(SUM(SUM(VLOOKUP(C$20,'Raw - Households on UC'!A:Q,16,FALSE)*VLOOKUP(C14,'Raw - Households on UC'!A:Q,15,FALSE))/100),100)-MROUND(SUM(SUM(VLOOKUP(C14,'Raw - Households on UC'!A:Q,16,FALSE)*VLOOKUP(C14,'Raw - Households on UC'!A:Q,15,FALSE))/100),100)),IF($K$5="United Kingdom","",SUM(MROUND(SUM(SUM(VLOOKUP(C$17,'Raw - Households on UC'!A:Q,16,FALSE)*VLOOKUP(C14,'Raw - Households on UC'!A:Q,15,FALSE))/100),100)-MROUND(SUM(SUM(VLOOKUP(C14,'Raw - Households on UC'!A:Q,16,FALSE)*VLOOKUP(C14,'Raw - Households on UC'!A:Q,15,FALSE))/100),100))))))))</f>
        <v>-45300</v>
      </c>
    </row>
    <row r="15" spans="2:12" s="137" customFormat="1" ht="19.5" customHeight="1">
      <c r="B15" s="223"/>
      <c r="C15" s="232" t="s">
        <v>511</v>
      </c>
      <c r="D15" s="233"/>
      <c r="E15" s="233"/>
      <c r="F15" s="233"/>
      <c r="G15" s="233"/>
      <c r="H15" s="224"/>
      <c r="I15" s="233"/>
      <c r="J15" s="224"/>
      <c r="K15" s="233"/>
      <c r="L15" s="224"/>
    </row>
    <row r="16" spans="2:12" s="137" customFormat="1" ht="19.5" customHeight="1">
      <c r="B16" s="223"/>
      <c r="C16" s="223"/>
      <c r="D16" s="224"/>
      <c r="E16" s="224"/>
      <c r="F16" s="224"/>
      <c r="G16" s="224"/>
      <c r="H16" s="224"/>
      <c r="I16" s="225"/>
      <c r="J16" s="225"/>
      <c r="K16" s="225"/>
      <c r="L16" s="225"/>
    </row>
    <row r="17" spans="2:12" s="137" customFormat="1" ht="19.5" customHeight="1">
      <c r="B17" s="226" t="s">
        <v>52</v>
      </c>
      <c r="C17" s="216" t="str">
        <f>INDEX('Raw - Households on UC'!$A$9:$A$40,MATCH(MIN('Raw - Households on UC'!P9:P40),'Raw - Households on UC'!P9:P40,0))</f>
        <v>Orkney Islands</v>
      </c>
      <c r="D17" s="217">
        <f>VLOOKUP($C17,'Raw - Households on UC'!$A:$Q,4,FALSE)</f>
        <v>7.8360290016731744</v>
      </c>
      <c r="E17" s="217">
        <f>VLOOKUP($C17,'Raw - Households on UC'!$A:$Q,8,FALSE)</f>
        <v>8.0007408093341983</v>
      </c>
      <c r="F17" s="217">
        <f>VLOOKUP($C17,'Raw - Households on UC'!$A:$Q,12,FALSE)</f>
        <v>9.1388400702987695</v>
      </c>
      <c r="G17" s="217">
        <f>VLOOKUP($C17,'Raw - Households on UC'!$A:$Q,16,FALSE)</f>
        <v>10.61881417075201</v>
      </c>
      <c r="H17" s="218">
        <f>VLOOKUP(C17,'Raw - Households on UC'!A:Q,14,FALSE)</f>
        <v>1148</v>
      </c>
      <c r="I17" s="219">
        <f t="shared" ref="I17" si="2">IFERROR(IF(G17="-","-",SUM(G17-D17)),"-")</f>
        <v>2.7827851690788359</v>
      </c>
      <c r="J17" s="220">
        <f>IFERROR(IF(H17="-","-",SUM(VLOOKUP(C17,'Raw - Households on UC'!A:Q,14,FALSE)-VLOOKUP(C17,'Raw - Households on UC'!A:Q,2,FALSE))),"-")</f>
        <v>305</v>
      </c>
    </row>
    <row r="18" spans="2:12" s="137" customFormat="1" ht="19.5" customHeight="1">
      <c r="B18" s="226" t="s">
        <v>271</v>
      </c>
      <c r="C18" s="227" t="s">
        <v>247</v>
      </c>
      <c r="D18" s="217">
        <f>VLOOKUP($C18,'Raw - Households on UC'!$A:$Q,4,FALSE)</f>
        <v>14.625228519195613</v>
      </c>
      <c r="E18" s="217">
        <f>VLOOKUP($C18,'Raw - Households on UC'!$A:$Q,8,FALSE)</f>
        <v>13.380645863669146</v>
      </c>
      <c r="F18" s="217">
        <f>VLOOKUP($C18,'Raw - Households on UC'!$A:$Q,12,FALSE)</f>
        <v>14.375895597615054</v>
      </c>
      <c r="G18" s="217">
        <f>VLOOKUP($C18,'Raw - Households on UC'!$A:$Q,16,FALSE)</f>
        <v>15.945366850344225</v>
      </c>
      <c r="H18" s="218">
        <f>VLOOKUP(C18,'Raw - Households on UC'!A:Q,14,FALSE)</f>
        <v>70549</v>
      </c>
      <c r="I18" s="219">
        <f t="shared" ref="I18:I20" si="3">IFERROR(IF(G18="-","-",SUM(G18-D18)),"-")</f>
        <v>1.3201383311486126</v>
      </c>
      <c r="J18" s="220">
        <f>IFERROR(IF(H18="-","-",SUM(VLOOKUP(C18,'Raw - Households on UC'!A:Q,14,FALSE)-VLOOKUP(C18,'Raw - Households on UC'!A:Q,2,FALSE))),"-")</f>
        <v>6709</v>
      </c>
    </row>
    <row r="19" spans="2:12" s="137" customFormat="1" ht="19.5" customHeight="1">
      <c r="B19" s="226" t="s">
        <v>270</v>
      </c>
      <c r="C19" s="216" t="s">
        <v>156</v>
      </c>
      <c r="D19" s="217">
        <f>VLOOKUP($C19,'Raw - Households on UC'!$A:$Q,4,FALSE)</f>
        <v>12.569542668552568</v>
      </c>
      <c r="E19" s="217">
        <f>VLOOKUP($C19,'Raw - Households on UC'!$A:$Q,8,FALSE)</f>
        <v>11.75708869546644</v>
      </c>
      <c r="F19" s="217">
        <f>VLOOKUP($C19,'Raw - Households on UC'!$A:$Q,12,FALSE)</f>
        <v>12.613735619823466</v>
      </c>
      <c r="G19" s="217">
        <f>VLOOKUP($C19,'Raw - Households on UC'!$A:$Q,16,FALSE)</f>
        <v>13.751421009432431</v>
      </c>
      <c r="H19" s="218">
        <f>VLOOKUP(C19,'Raw - Households on UC'!A:Q,14,FALSE)</f>
        <v>31330</v>
      </c>
      <c r="I19" s="219">
        <f t="shared" si="3"/>
        <v>1.1818783408798623</v>
      </c>
      <c r="J19" s="220">
        <f>IFERROR(IF(H19="-","-",SUM(VLOOKUP(C19,'Raw - Households on UC'!A:Q,14,FALSE)-VLOOKUP(C19,'Raw - Households on UC'!A:Q,2,FALSE))),"-")</f>
        <v>3337</v>
      </c>
    </row>
    <row r="20" spans="2:12" s="137" customFormat="1" ht="19.5" customHeight="1">
      <c r="B20" s="226" t="s">
        <v>164</v>
      </c>
      <c r="C20" s="216" t="s">
        <v>46</v>
      </c>
      <c r="D20" s="217">
        <f>VLOOKUP($C20,'Raw - Households on UC'!$A:$Q,4,FALSE)</f>
        <v>16.351440966805505</v>
      </c>
      <c r="E20" s="217">
        <f>VLOOKUP($C20,'Raw - Households on UC'!$A:$Q,8,FALSE)</f>
        <v>15.363693658750089</v>
      </c>
      <c r="F20" s="217">
        <f>VLOOKUP($C20,'Raw - Households on UC'!$A:$Q,12,FALSE)</f>
        <v>16.736375433378957</v>
      </c>
      <c r="G20" s="217">
        <f>VLOOKUP($C20,'Raw - Households on UC'!$A:$Q,16,FALSE)</f>
        <v>18.74512387045371</v>
      </c>
      <c r="H20" s="218">
        <f>VLOOKUP(C20,'Raw - Households on UC'!A:Q,14,FALSE)</f>
        <v>475247</v>
      </c>
      <c r="I20" s="219">
        <f t="shared" si="3"/>
        <v>2.3936829036482052</v>
      </c>
      <c r="J20" s="220">
        <f>IFERROR(IF(H20="-","-",SUM(VLOOKUP(C20,'Raw - Households on UC'!A:Q,14,FALSE)-VLOOKUP(C20,'Raw - Households on UC'!A:Q,2,FALSE))),"-")</f>
        <v>61748</v>
      </c>
    </row>
    <row r="21" spans="2:12" ht="19.5" customHeight="1">
      <c r="B21" s="188" t="s">
        <v>164</v>
      </c>
      <c r="C21" s="183" t="s">
        <v>47</v>
      </c>
      <c r="D21" s="184" t="s">
        <v>71</v>
      </c>
      <c r="E21" s="184" t="s">
        <v>71</v>
      </c>
      <c r="F21" s="184" t="s">
        <v>71</v>
      </c>
      <c r="G21" s="184" t="s">
        <v>71</v>
      </c>
      <c r="H21" s="184" t="s">
        <v>71</v>
      </c>
      <c r="I21" s="186" t="s">
        <v>71</v>
      </c>
      <c r="J21" s="187" t="s">
        <v>71</v>
      </c>
    </row>
    <row r="22" spans="2:12" ht="19.5" customHeight="1">
      <c r="C22" s="189"/>
      <c r="D22" s="190"/>
      <c r="E22" s="190"/>
      <c r="F22" s="190"/>
      <c r="G22" s="190"/>
      <c r="H22" s="190"/>
      <c r="I22" s="190"/>
      <c r="J22" s="190"/>
      <c r="K22" s="190"/>
      <c r="L22" s="190"/>
    </row>
    <row r="23" spans="2:12">
      <c r="D23" s="191"/>
      <c r="E23" s="191"/>
      <c r="F23" s="192" t="str">
        <f>CONCATENATE(G23,H23)</f>
        <v>Volume Change Required to match Geographic Area - Top Performing Scottish Local Authority</v>
      </c>
      <c r="G23" s="192" t="s">
        <v>225</v>
      </c>
      <c r="H23" s="192" t="str">
        <f>K5</f>
        <v>Top Performing Scottish Local Authority</v>
      </c>
      <c r="I23" s="170"/>
    </row>
    <row r="24" spans="2:12">
      <c r="B24" s="193" t="s">
        <v>207</v>
      </c>
    </row>
  </sheetData>
  <sheetProtection algorithmName="SHA-512" hashValue="dPH2D7LTGcvl/w90k3VSyCacR+fntEKXlTAmmlOALmjuoknIEVgpi8XvnO92yVSccqM69+G5RsDDFfB2PMaojQ==" saltValue="DbK7v48zaQgcIfg3l9UQaA==" spinCount="100000" sheet="1" sort="0"/>
  <mergeCells count="4">
    <mergeCell ref="F2:G2"/>
    <mergeCell ref="K4:L4"/>
    <mergeCell ref="I5:J5"/>
    <mergeCell ref="K5:L5"/>
  </mergeCells>
  <hyperlinks>
    <hyperlink ref="F2:G2" location="'Index RAG'!A1" display="Return to Index RAG" xr:uid="{09C49B4D-EEB9-4BF6-95FA-6DDF402709A6}"/>
    <hyperlink ref="C3" r:id="rId1" xr:uid="{1DFBB830-DDFB-419B-B268-14ADA850BD0A}"/>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3DD0E03-D1FF-4647-8C3F-E08A3D3DF539}">
          <x14:formula1>
            <xm:f>Lookups!$B$27:$E$27</xm:f>
          </x14:formula1>
          <xm:sqref>C6</xm:sqref>
        </x14:dataValidation>
        <x14:dataValidation type="list" allowBlank="1" showInputMessage="1" showErrorMessage="1" xr:uid="{84753904-1357-478B-AA37-D3AF4743BCE9}">
          <x14:formula1>
            <xm:f>Lookups!$B$36:$E$36</xm:f>
          </x14:formula1>
          <xm:sqref>C18</xm:sqref>
        </x14:dataValidation>
        <x14:dataValidation type="list" allowBlank="1" showInputMessage="1" showErrorMessage="1" xr:uid="{40887F55-EDCA-414F-9F90-FA7B2B0BF169}">
          <x14:formula1>
            <xm:f>Lookups!$B$9:$B$13</xm:f>
          </x14:formula1>
          <xm:sqref>K5:L5</xm:sqref>
        </x14:dataValidation>
        <x14:dataValidation type="list" allowBlank="1" showInputMessage="1" showErrorMessage="1" xr:uid="{A4118B27-989A-4031-B101-E3385459BEB0}">
          <x14:formula1>
            <xm:f>Lookups!$Q$3:$Q$7</xm:f>
          </x14:formula1>
          <xm:sqref>C19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I o E A A B Q S w M E F A A C A A g A 7 E p N V j j a 4 c i k A A A A 9 g A A A B I A H A B D b 2 5 m a W c v U G F j a 2 F n Z S 5 4 b W w g o h g A K K A U A A A A A A A A A A A A A A A A A A A A A A A A A A A A h Y + x C s I w G I R f p W R v k s Z F y t 8 I O r h Y E A R x D W l s g + 1 f a V L T d 3 P w k X w F K 1 p 1 c 7 y 7 7 + D u f r 3 B Y m j q 6 G I 6 Z 1 v M S E I 5 i Q z q t r B Y Z q T 3 x 3 h O F h K 2 S p 9 U a a I R R p c O z m a k 8 v 6 c M h Z C o G F G 2 6 5 k g v O E H f L N T l e m U b F F 5 x V q Q z 6 t 4 n + L S N i / x k h B E y 6 o 4 O M m Y J M J u c U v I M b s m f 6 Y s O p r 3 3 d G G o z X S 2 C T B P b + I B 9 Q S w M E F A A C A A g A 7 E p 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x K T V b Q 2 2 g i h A E A A N o C A A A T A B w A R m 9 y b X V s Y X M v U 2 V j d G l v b j E u b S C i G A A o o B Q A A A A A A A A A A A A A A A A A A A A A A A A A A A C N U k 1 r 2 0 A Q v R v 8 H 4 Y 1 A Q l k f T U p t E G H 4 B b i S z D Y 0 I P x Y S 2 N b N H V r t g d k R T j / 9 7 R R x x C D I k u Y m b e P L 3 3 R g 5 z q o y G 9 f B O 7 q e T 6 c Q d p c U C Z m I j 9 w r j 5 A 6 8 l T w g p K k v I A O F N J 0 A P 2 v T 2 h y 5 s y r K s M c 6 7 w / u w 4 X R h J q c J 4 5 E j f s Z R c 7 k l V T c Q 9 v Y y m G O 2 r U u N P Y Q t n + j 5 2 a e D y s R H b F G F w 3 z 5 E f U F G W U x m k y t 9 g Y S y H X w g 9 g u 6 w b x U h N s p O d i S T 8 J n Z + M O i 6 y M 5 G i a f t s s g u b s T u v P 0 l S e 5 G + E y s r K k N s e V H l A V a 1 7 n s 0 e E 4 G f v e K w U r G C c P S q 1 z q a R 1 G d k W L x p m Y n G U + s C c m 3 8 N v h F u r N S u N L Z e G N X W u h s 6 7 4 q C 4 H Q S D x a l C I A Y A 4 Q v d A 7 g J J 7 a e o 9 2 5 q n S N y X 7 6 4 L t q 9 + X d H k b l p q + 3 4 Y d f b 9 1 A + v u q J + u r Z D j 4 l Q P + L Z 7 H d z X D I c k D u I 4 7 s s G D Z / l 4 9 e f k G C I o 4 d V G v j O o L / g p K + 9 l C O f d 7 + B / 5 7 7 7 E 8 n l b 4 a + P 1 / U E s B A i 0 A F A A C A A g A 7 E p N V j j a 4 c i k A A A A 9 g A A A B I A A A A A A A A A A A A A A A A A A A A A A E N v b m Z p Z y 9 Q Y W N r Y W d l L n h t b F B L A Q I t A B Q A A g A I A O x K T V Y P y u m r p A A A A O k A A A A T A A A A A A A A A A A A A A A A A P A A A A B b Q 2 9 u d G V u d F 9 U e X B l c 1 0 u e G 1 s U E s B A i 0 A F A A C A A g A 7 E p N V t D b a C K E A Q A A 2 g I A A B M A A A A A A A A A A A A A A A A A 4 Q E A A E Z v c m 1 1 b G F z L 1 N l Y 3 R p b 2 4 x L m 1 Q S w U G A A A A A A M A A w D C A A A A s 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g 0 A A A A A A A B A D 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T U l M j A o U G F n Z S U y M D I 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z I i A v P j x F b n R y e S B U e X B l P S J G a W x s R X J y b 3 J D b 2 R l I i B W Y W x 1 Z T 0 i c 1 V u a 2 5 v d 2 4 i I C 8 + P E V u d H J 5 I F R 5 c G U 9 I k Z p b G x F c n J v c k N v d W 5 0 I i B W Y W x 1 Z T 0 i b D A i I C 8 + P E V u d H J 5 I F R 5 c G U 9 I k Z p b G x M Y X N 0 V X B k Y X R l Z C I g V m F s d W U 9 I m Q y M D I z L T A y L T E z V D A 5 O j I y O j M y L j M z M j E 3 O T d a I i A v P j x F b n R y e S B U e X B l P S J G a W x s Q 2 9 s d W 1 u V H l w Z X M i I F Z h b H V l P S J z Q m d N R U F 3 T T 0 i I C 8 + P E V u d H J 5 I F R 5 c G U 9 I k Z p b G x D b 2 x 1 b W 5 O Y W 1 l c y I g V m F s d W U 9 I n N b J n F 1 b 3 Q 7 Q X J l Y S Z x d W 9 0 O y w m c X V v d D t O d W 1 i Z X J c b m 9 m I F N v Y 2 l h b F x u R W 5 0 Z X J w c m l z Z X M m c X V v d D s s J n F 1 b 3 Q 7 J S B T a G F y Z V x u b 2 Y g U 2 9 j a W F s X G 5 F b n R l c n B y a X N l c y Z x d W 9 0 O y w m c X V v d D t T b 2 N p Y W x c b k V u d G V y c H J p c 2 V z X G 5 Q Z X I g M T A s M D A w X G 5 w Z W 9 w b G U m c X V v d D s s J n F 1 b 3 Q 7 T m V 0 I E N o Y W 5 n Z V x u a W 4 g d G h l I G 5 1 b W J l c l x u b 2 Y g U 2 9 j a W F s X G 5 F b n R l c n B y a X N l c 1 x u K D I w M T U t M j A y M S k 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U Y W J s Z T A x N S A o U G F n Z S A y M i k v Q X V 0 b 1 J l b W 9 2 Z W R D b 2 x 1 b W 5 z M S 5 7 Q X J l Y S w w f S Z x d W 9 0 O y w m c X V v d D t T Z W N 0 a W 9 u M S 9 U Y W J s Z T A x N S A o U G F n Z S A y M i k v Q X V 0 b 1 J l b W 9 2 Z W R D b 2 x 1 b W 5 z M S 5 7 T n V t Y m V y X G 5 v Z i B T b 2 N p Y W x c b k V u d G V y c H J p c 2 V z L D F 9 J n F 1 b 3 Q 7 L C Z x d W 9 0 O 1 N l Y 3 R p b 2 4 x L 1 R h Y m x l M D E 1 I C h Q Y W d l I D I y K S 9 B d X R v U m V t b 3 Z l Z E N v b H V t b n M x L n s l I F N o Y X J l X G 5 v Z i B T b 2 N p Y W x c b k V u d G V y c H J p c 2 V z L D J 9 J n F 1 b 3 Q 7 L C Z x d W 9 0 O 1 N l Y 3 R p b 2 4 x L 1 R h Y m x l M D E 1 I C h Q Y W d l I D I y K S 9 B d X R v U m V t b 3 Z l Z E N v b H V t b n M x L n t T b 2 N p Y W x c b k V u d G V y c H J p c 2 V z X G 5 Q Z X I g M T A s M D A w X G 5 w Z W 9 w b G U s M 3 0 m c X V v d D s s J n F 1 b 3 Q 7 U 2 V j d G l v b j E v V G F i b G U w M T U g K F B h Z 2 U g M j I p L 0 F 1 d G 9 S Z W 1 v d m V k Q 2 9 s d W 1 u c z E u e 0 5 l d C B D a G F u Z 2 V c b m l u I H R o Z S B u d W 1 i Z X J c b m 9 m I F N v Y 2 l h b F x u R W 5 0 Z X J w c m l z Z X N c b i g y M D E 1 L T I w M j E p L D R 9 J n F 1 b 3 Q 7 X S w m c X V v d D t D b 2 x 1 b W 5 D b 3 V u d C Z x d W 9 0 O z o 1 L C Z x d W 9 0 O 0 t l e U N v b H V t b k 5 h b W V z J n F 1 b 3 Q 7 O l t d L C Z x d W 9 0 O 0 N v b H V t b k l k Z W 5 0 a X R p Z X M m c X V v d D s 6 W y Z x d W 9 0 O 1 N l Y 3 R p b 2 4 x L 1 R h Y m x l M D E 1 I C h Q Y W d l I D I y K S 9 B d X R v U m V t b 3 Z l Z E N v b H V t b n M x L n t B c m V h L D B 9 J n F 1 b 3 Q 7 L C Z x d W 9 0 O 1 N l Y 3 R p b 2 4 x L 1 R h Y m x l M D E 1 I C h Q Y W d l I D I y K S 9 B d X R v U m V t b 3 Z l Z E N v b H V t b n M x L n t O d W 1 i Z X J c b m 9 m I F N v Y 2 l h b F x u R W 5 0 Z X J w c m l z Z X M s M X 0 m c X V v d D s s J n F 1 b 3 Q 7 U 2 V j d G l v b j E v V G F i b G U w M T U g K F B h Z 2 U g M j I p L 0 F 1 d G 9 S Z W 1 v d m V k Q 2 9 s d W 1 u c z E u e y U g U 2 h h c m V c b m 9 m I F N v Y 2 l h b F x u R W 5 0 Z X J w c m l z Z X M s M n 0 m c X V v d D s s J n F 1 b 3 Q 7 U 2 V j d G l v b j E v V G F i b G U w M T U g K F B h Z 2 U g M j I p L 0 F 1 d G 9 S Z W 1 v d m V k Q 2 9 s d W 1 u c z E u e 1 N v Y 2 l h b F x u R W 5 0 Z X J w c m l z Z X N c b l B l c i A x M C w w M D B c b n B l b 3 B s Z S w z f S Z x d W 9 0 O y w m c X V v d D t T Z W N 0 a W 9 u M S 9 U Y W J s Z T A x N S A o U G F n Z S A y M i k v Q X V 0 b 1 J l b W 9 2 Z W R D b 2 x 1 b W 5 z M S 5 7 T m V 0 I E N o Y W 5 n Z V x u a W 4 g d G h l I G 5 1 b W J l c l x u b 2 Y g U 2 9 j a W F s X G 5 F b n R l c n B y a X N l c 1 x u K D I w M T U t M j A y M S k s N H 0 m c X V v d D t d L C Z x d W 9 0 O 1 J l b G F 0 a W 9 u c 2 h p c E l u Z m 8 m c X V v d D s 6 W 1 1 9 I i A v P j w v U 3 R h Y m x l R W 5 0 c m l l c z 4 8 L 0 l 0 Z W 0 + P E l 0 Z W 0 + P E l 0 Z W 1 M b 2 N h d G l v b j 4 8 S X R l b V R 5 c G U + R m 9 y b X V s Y T w v S X R l b V R 5 c G U + P E l 0 Z W 1 Q Y X R o P l N l Y 3 R p b 2 4 x L 1 R h Y m x l M D E 1 J T I w K F B h Z 2 U l M j A y M i k v U 2 9 1 c m N l P C 9 J d G V t U G F 0 a D 4 8 L 0 l 0 Z W 1 M b 2 N h d G l v b j 4 8 U 3 R h Y m x l R W 5 0 c m l l c y A v P j w v S X R l b T 4 8 S X R l b T 4 8 S X R l b U x v Y 2 F 0 a W 9 u P j x J d G V t V H l w Z T 5 G b 3 J t d W x h P C 9 J d G V t V H l w Z T 4 8 S X R l b V B h d G g + U 2 V j d G l v b j E v V G F i b G U w M T U l M j A o U G F n Z S U y M D I y K S 9 U Y W J s Z T A x N T w v S X R l b V B h d G g + P C 9 J d G V t T G 9 j Y X R p b 2 4 + P F N 0 Y W J s Z U V u d H J p Z X M g L z 4 8 L 0 l 0 Z W 0 + P E l 0 Z W 0 + P E l 0 Z W 1 M b 2 N h d G l v b j 4 8 S X R l b V R 5 c G U + R m 9 y b X V s Y T w v S X R l b V R 5 c G U + P E l 0 Z W 1 Q Y X R o P l N l Y 3 R p b 2 4 x L 1 R h Y m x l M D E 1 J T I w K F B h Z 2 U l M j A y M i k v U H J v b W 9 0 Z W Q l M j B I Z W F k Z X J z P C 9 J d G V t U G F 0 a D 4 8 L 0 l 0 Z W 1 M b 2 N h d G l v b j 4 8 U 3 R h Y m x l R W 5 0 c m l l c y A v P j w v S X R l b T 4 8 S X R l b T 4 8 S X R l b U x v Y 2 F 0 a W 9 u P j x J d G V t V H l w Z T 5 G b 3 J t d W x h P C 9 J d G V t V H l w Z T 4 8 S X R l b V B h d G g + U 2 V j d G l v b j E v V G F i b G U w M T U l M j A o U G F n Z S U y M D I y K S 9 D a G F u Z 2 V k J T I w V H l w Z T w v S X R l b V B h d G g + P C 9 J d G V t T G 9 j Y X R p b 2 4 + P F N 0 Y W J s Z U V u d H J p Z X M g L z 4 8 L 0 l 0 Z W 0 + P C 9 J d G V t c z 4 8 L 0 x v Y 2 F s U G F j a 2 F n Z U 1 l d G F k Y X R h R m l s Z T 4 W A A A A U E s F B g A A A A A A A A A A A A A A A A A A A A A A A N o A A A A B A A A A 0 I y d 3 w E V 0 R G M e g D A T 8 K X 6 w E A A A C d w m j S S w Z A R Y c D n W n S n x M T A A A A A A I A A A A A A A N m A A D A A A A A E A A A A O F N D p n j r F N Q 6 u E P z O N F R s s A A A A A B I A A A K A A A A A Q A A A A d 7 c 8 D h Y j s S I 7 z c N k h p K t 6 V A A A A A l h i 9 Y z s + y K + v 1 T c m q W y 7 Q a 7 R D u s D q L n j / 7 s p k N f z z X y Y R Z + J q o x j 9 R X v n B B I K w o G + g s S d t y E U R T x 1 o t y t + M i H s u s s j 8 f b P M C 9 w H e 5 T d c G Z R Q A A A B U H Z m a y H J g a T 4 r 4 3 S A 2 Z N x l v t h i g = = < / D a t a M a s h u p > 
</file>

<file path=customXml/item2.xml><?xml version="1.0" encoding="utf-8"?>
<sisl xmlns:xsi="http://www.w3.org/2001/XMLSchema-instance" xmlns:xsd="http://www.w3.org/2001/XMLSchema" xmlns="http://www.boldonjames.com/2008/01/sie/internal/label" sislVersion="0" policy="08955827-aeb1-42de-b749-f604362c41c2" origin="userSelected">
  <element uid="971a7eb4-36b4-4e7d-b804-a07772b8e228" value=""/>
  <element uid="6a4e5c3a-656a-4e9c-bd20-e36013bcf373" value=""/>
</sisl>
</file>

<file path=customXml/itemProps1.xml><?xml version="1.0" encoding="utf-8"?>
<ds:datastoreItem xmlns:ds="http://schemas.openxmlformats.org/officeDocument/2006/customXml" ds:itemID="{2B6A6EF9-ED22-4FA8-8517-C2466D912A6D}">
  <ds:schemaRefs>
    <ds:schemaRef ds:uri="http://schemas.microsoft.com/DataMashup"/>
  </ds:schemaRefs>
</ds:datastoreItem>
</file>

<file path=customXml/itemProps2.xml><?xml version="1.0" encoding="utf-8"?>
<ds:datastoreItem xmlns:ds="http://schemas.openxmlformats.org/officeDocument/2006/customXml" ds:itemID="{E81DB606-B777-4802-A0E0-7882435EA95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8</vt:i4>
      </vt:variant>
    </vt:vector>
  </HeadingPairs>
  <TitlesOfParts>
    <vt:vector size="75" baseType="lpstr">
      <vt:lpstr>Cover</vt:lpstr>
      <vt:lpstr>LGBF Family Groups</vt:lpstr>
      <vt:lpstr>Update</vt:lpstr>
      <vt:lpstr>Index RAG</vt:lpstr>
      <vt:lpstr>Gap Analysis</vt:lpstr>
      <vt:lpstr>Child Poverty</vt:lpstr>
      <vt:lpstr>Childcare</vt:lpstr>
      <vt:lpstr>Children in Low Income</vt:lpstr>
      <vt:lpstr>Households on UC</vt:lpstr>
      <vt:lpstr>Child Benefit</vt:lpstr>
      <vt:lpstr>Claimant Count</vt:lpstr>
      <vt:lpstr>Workless Households</vt:lpstr>
      <vt:lpstr>SLDR</vt:lpstr>
      <vt:lpstr>Participation Rate</vt:lpstr>
      <vt:lpstr>Degree Quals</vt:lpstr>
      <vt:lpstr>No Qualifications</vt:lpstr>
      <vt:lpstr>Incapacity</vt:lpstr>
      <vt:lpstr>Ill Health</vt:lpstr>
      <vt:lpstr>Economic Inactivity</vt:lpstr>
      <vt:lpstr>Employment</vt:lpstr>
      <vt:lpstr>Unemployment</vt:lpstr>
      <vt:lpstr>Low Pay Sectors</vt:lpstr>
      <vt:lpstr>Gender Gap</vt:lpstr>
      <vt:lpstr>Earnings</vt:lpstr>
      <vt:lpstr>Low Earnings</vt:lpstr>
      <vt:lpstr>Underemployment</vt:lpstr>
      <vt:lpstr>SOC1 Occupations</vt:lpstr>
      <vt:lpstr>Satisfactory hours</vt:lpstr>
      <vt:lpstr>Low pay</vt:lpstr>
      <vt:lpstr>Zero-hour contracts</vt:lpstr>
      <vt:lpstr>SME Procurement</vt:lpstr>
      <vt:lpstr>Social Enterprises</vt:lpstr>
      <vt:lpstr>GVA</vt:lpstr>
      <vt:lpstr>GVA phw</vt:lpstr>
      <vt:lpstr>Raw - Child Poverty</vt:lpstr>
      <vt:lpstr>Raw - Childcare</vt:lpstr>
      <vt:lpstr>Raw - Children in Low Income</vt:lpstr>
      <vt:lpstr>Raw - Households on UC</vt:lpstr>
      <vt:lpstr>Raw - Child Benefit</vt:lpstr>
      <vt:lpstr>Raw - Claimant Count</vt:lpstr>
      <vt:lpstr>Raw - Workless Households</vt:lpstr>
      <vt:lpstr>Raw - SLDR</vt:lpstr>
      <vt:lpstr>Raw - Participation Rate</vt:lpstr>
      <vt:lpstr>Raw - Degree Quals</vt:lpstr>
      <vt:lpstr>Raw - No Qualifications</vt:lpstr>
      <vt:lpstr>Raw - Incapacity</vt:lpstr>
      <vt:lpstr>Raw - Ill Health</vt:lpstr>
      <vt:lpstr>Raw - Economic Inactivity</vt:lpstr>
      <vt:lpstr>Raw - Employment</vt:lpstr>
      <vt:lpstr>Raw - Unemployment</vt:lpstr>
      <vt:lpstr>Raw - Low Pay Sectors</vt:lpstr>
      <vt:lpstr>Raw - Gender Emp</vt:lpstr>
      <vt:lpstr>Raw - Earnings</vt:lpstr>
      <vt:lpstr>Raw - 20th Percentile Earnings</vt:lpstr>
      <vt:lpstr>Raw - Underemployment</vt:lpstr>
      <vt:lpstr>Raw - SOC1 Occupations</vt:lpstr>
      <vt:lpstr>Raw - Satisfactory hours</vt:lpstr>
      <vt:lpstr>Raw - Low pay</vt:lpstr>
      <vt:lpstr>Raw - Zero-hour contracts</vt:lpstr>
      <vt:lpstr>Raw - SME Procurement</vt:lpstr>
      <vt:lpstr>Raw - Social Enterprises</vt:lpstr>
      <vt:lpstr>Raw - GVA</vt:lpstr>
      <vt:lpstr>Raw - GVA phw</vt:lpstr>
      <vt:lpstr>Lookups</vt:lpstr>
      <vt:lpstr>Gap Analysis Lookup</vt:lpstr>
      <vt:lpstr>Population Data</vt:lpstr>
      <vt:lpstr>Raw - LGBF Family Groups</vt:lpstr>
      <vt:lpstr>LGBF_1</vt:lpstr>
      <vt:lpstr>LGBF_2</vt:lpstr>
      <vt:lpstr>LGBF_3</vt:lpstr>
      <vt:lpstr>LGBF_4</vt:lpstr>
      <vt:lpstr>LGBF_5</vt:lpstr>
      <vt:lpstr>LGBF_6</vt:lpstr>
      <vt:lpstr>LGBF_7</vt:lpstr>
      <vt:lpstr>LGBF_8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keywords>[OFFICIAL]</cp:keywords>
  <cp:lastModifiedBy>Boyle, David Patrick (DRS)</cp:lastModifiedBy>
  <dcterms:created xsi:type="dcterms:W3CDTF">2021-02-02T14:06:33Z</dcterms:created>
  <dcterms:modified xsi:type="dcterms:W3CDTF">2024-12-03T09:40:27Z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2.1.3</vt:lpwstr>
  </property>
  <property fmtid="{D5CDD505-2E9C-101B-9397-08002B2CF9AE}" pid="4" name="docIndexRef">
    <vt:lpwstr>0ee32801-a3e7-4774-a6d8-aa321dd3e9b0</vt:lpwstr>
  </property>
  <property fmtid="{D5CDD505-2E9C-101B-9397-08002B2CF9AE}" pid="5" name="bjDocumentLabelXML">
    <vt:lpwstr>&lt;?xml version="1.0" encoding="us-ascii"?&gt;&lt;sisl xmlns:xsi="http://www.w3.org/2001/XMLSchema-instance" xmlns:xsd="http://www.w3.org/2001/XMLSchema" sislVersion="0" policy="08955827-aeb1-42de-b749-f604362c41c2" origin="userSelected" xmlns="http://www.boldonj</vt:lpwstr>
  </property>
  <property fmtid="{D5CDD505-2E9C-101B-9397-08002B2CF9AE}" pid="6" name="bjDocumentLabelXML-0">
    <vt:lpwstr>ames.com/2008/01/sie/internal/label"&gt;&lt;element uid="971a7eb4-36b4-4e7d-b804-a07772b8e228" value="" /&gt;&lt;element uid="6a4e5c3a-656a-4e9c-bd20-e36013bcf373" value="" /&gt;&lt;/sisl&gt;</vt:lpwstr>
  </property>
  <property fmtid="{D5CDD505-2E9C-101B-9397-08002B2CF9AE}" pid="7" name="bjDocumentSecurityLabel">
    <vt:lpwstr>OFFICIAL</vt:lpwstr>
  </property>
  <property fmtid="{D5CDD505-2E9C-101B-9397-08002B2CF9AE}" pid="8" name="gcc-meta-protectivemarking">
    <vt:lpwstr>[OFFICIAL]</vt:lpwstr>
  </property>
  <property fmtid="{D5CDD505-2E9C-101B-9397-08002B2CF9AE}" pid="9" name="bjSaver">
    <vt:lpwstr>GfUCufBNMzMaeVpWMCHed7bod0Z5GenZ</vt:lpwstr>
  </property>
  <property fmtid="{D5CDD505-2E9C-101B-9397-08002B2CF9AE}" pid="10" name="bjCentreHeaderLabel-first">
    <vt:lpwstr>&amp;"Arial,Regular"&amp;12&amp;B&amp;K000000OFFICIAL</vt:lpwstr>
  </property>
  <property fmtid="{D5CDD505-2E9C-101B-9397-08002B2CF9AE}" pid="11" name="bjCentreFooterLabel-first">
    <vt:lpwstr>&amp;"Arial,Regular"&amp;12&amp;B&amp;K000000OFFICIAL</vt:lpwstr>
  </property>
  <property fmtid="{D5CDD505-2E9C-101B-9397-08002B2CF9AE}" pid="12" name="bjCentreHeaderLabel-even">
    <vt:lpwstr>&amp;"Arial,Regular"&amp;12&amp;B&amp;K000000OFFICIAL</vt:lpwstr>
  </property>
  <property fmtid="{D5CDD505-2E9C-101B-9397-08002B2CF9AE}" pid="13" name="bjCentreFooterLabel-even">
    <vt:lpwstr>&amp;"Arial,Regular"&amp;12&amp;B&amp;K000000OFFICIAL</vt:lpwstr>
  </property>
  <property fmtid="{D5CDD505-2E9C-101B-9397-08002B2CF9AE}" pid="14" name="bjCentreHeaderLabel">
    <vt:lpwstr>&amp;"Arial,Regular"&amp;12&amp;B&amp;K000000OFFICIAL</vt:lpwstr>
  </property>
  <property fmtid="{D5CDD505-2E9C-101B-9397-08002B2CF9AE}" pid="15" name="bjCentreFooterLabel">
    <vt:lpwstr>&amp;"Arial,Regular"&amp;12&amp;B&amp;K000000OFFICIAL</vt:lpwstr>
  </property>
</Properties>
</file>