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66925"/>
  <mc:AlternateContent xmlns:mc="http://schemas.openxmlformats.org/markup-compatibility/2006">
    <mc:Choice Requires="x15">
      <x15ac:absPath xmlns:x15ac="http://schemas.microsoft.com/office/spreadsheetml/2010/11/ac" url="https://impservihub.sharepoint.com/sites/tpi-moneyadviceprogramme/Shared Documents/MAO Phase 4/PerfMgmtFrmwork/2022-23/Reports/Local Authority Reports/Final/"/>
    </mc:Choice>
  </mc:AlternateContent>
  <xr:revisionPtr revIDLastSave="1" documentId="8_{72FA503F-B875-46C5-92B2-CD4D054D9299}" xr6:coauthVersionLast="47" xr6:coauthVersionMax="47" xr10:uidLastSave="{EE4EE1BD-FEBF-49E1-A773-182BFF0C603C}"/>
  <bookViews>
    <workbookView xWindow="-110" yWindow="-110" windowWidth="19420" windowHeight="10420" xr2:uid="{CA18817D-08B0-4234-805E-55EF8804B090}"/>
  </bookViews>
  <sheets>
    <sheet name="Contents" sheetId="2" r:id="rId1"/>
    <sheet name="Notes &amp; Caveats" sheetId="25" r:id="rId2"/>
    <sheet name="Services" sheetId="18" r:id="rId3"/>
    <sheet name="Demographics" sheetId="27" r:id="rId4"/>
    <sheet name="Debt" sheetId="6" r:id="rId5"/>
    <sheet name="Funding" sheetId="8" r:id="rId6"/>
    <sheet name="Deflators" sheetId="49" state="hidden" r:id="rId7"/>
    <sheet name="Volume" sheetId="9" r:id="rId8"/>
    <sheet name="Financial Gain" sheetId="12" r:id="rId9"/>
    <sheet name="Chart Data" sheetId="31" state="hidden" r:id="rId10"/>
    <sheet name="Lookup" sheetId="3" state="hidden"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 i="9" l="1"/>
  <c r="A1" i="8"/>
  <c r="A1" i="6"/>
  <c r="A1" i="18"/>
  <c r="A1" i="25"/>
  <c r="A1" i="12" s="1"/>
  <c r="A1" i="27"/>
  <c r="K13" i="12" l="1"/>
  <c r="T29" i="6" a="1"/>
  <c r="T29" i="6" s="1"/>
  <c r="S29" i="6" a="1"/>
  <c r="S29" i="6" s="1"/>
  <c r="T30" i="6" a="1"/>
  <c r="T30" i="6" s="1"/>
  <c r="S30" i="6" a="1"/>
  <c r="S30" i="6" s="1"/>
  <c r="T26" i="6" a="1"/>
  <c r="T26" i="6" s="1"/>
  <c r="S26" i="6" a="1"/>
  <c r="S26" i="6" s="1"/>
  <c r="T27" i="6" a="1"/>
  <c r="T27" i="6" s="1"/>
  <c r="S27" i="6" a="1"/>
  <c r="S27" i="6" s="1"/>
  <c r="T25" i="6" a="1"/>
  <c r="T25" i="6" s="1"/>
  <c r="S25" i="6" a="1"/>
  <c r="S25" i="6" s="1"/>
  <c r="T24" i="6" a="1"/>
  <c r="T24" i="6" s="1"/>
  <c r="S24" i="6" a="1"/>
  <c r="S24" i="6" s="1"/>
  <c r="T23" i="6" a="1"/>
  <c r="T23" i="6" s="1"/>
  <c r="S23" i="6" a="1"/>
  <c r="S23" i="6" s="1"/>
  <c r="T22" i="6" a="1"/>
  <c r="T22" i="6" s="1"/>
  <c r="S22" i="6" a="1"/>
  <c r="S22" i="6" s="1"/>
  <c r="T21" i="6" a="1"/>
  <c r="T21" i="6" s="1"/>
  <c r="S21" i="6" a="1"/>
  <c r="S21" i="6" s="1"/>
  <c r="N116" i="27"/>
  <c r="N115" i="27"/>
  <c r="N114" i="27"/>
  <c r="N113" i="27"/>
  <c r="N112" i="27"/>
  <c r="N111" i="27"/>
  <c r="M116" i="27"/>
  <c r="M115" i="27"/>
  <c r="M114" i="27"/>
  <c r="M113" i="27"/>
  <c r="M112" i="27"/>
  <c r="M111" i="27"/>
  <c r="J77" i="27"/>
  <c r="J76" i="27"/>
  <c r="J75" i="27"/>
  <c r="J74" i="27"/>
  <c r="J72" i="27"/>
  <c r="I74" i="27"/>
  <c r="I73" i="27"/>
  <c r="I72" i="27"/>
  <c r="G76" i="27"/>
  <c r="G75" i="27"/>
  <c r="G74" i="27"/>
  <c r="G72" i="27"/>
  <c r="K69" i="27"/>
  <c r="C69" i="27"/>
  <c r="M60" i="27" l="1"/>
  <c r="U61" i="27"/>
  <c r="M13" i="12"/>
  <c r="V64" i="27"/>
  <c r="V62" i="27"/>
  <c r="U63" i="27"/>
  <c r="O62" i="27"/>
  <c r="O63" i="27"/>
  <c r="O64" i="27"/>
  <c r="S61" i="27"/>
  <c r="P61" i="27"/>
  <c r="P62" i="27"/>
  <c r="P63" i="27"/>
  <c r="P64" i="27"/>
  <c r="Q60" i="27"/>
  <c r="Q61" i="27"/>
  <c r="Q62" i="27"/>
  <c r="Q63" i="27"/>
  <c r="Q64" i="27"/>
  <c r="R60" i="27"/>
  <c r="U64" i="27"/>
  <c r="R61" i="27"/>
  <c r="R62" i="27"/>
  <c r="R63" i="27"/>
  <c r="R64" i="27"/>
  <c r="S60" i="27"/>
  <c r="S62" i="27"/>
  <c r="S63" i="27"/>
  <c r="S64" i="27"/>
  <c r="T60" i="27"/>
  <c r="T61" i="27"/>
  <c r="T62" i="27"/>
  <c r="T63" i="27"/>
  <c r="T64" i="27"/>
  <c r="M61" i="27"/>
  <c r="M62" i="27"/>
  <c r="M63" i="27"/>
  <c r="M64" i="27"/>
  <c r="N60" i="27"/>
  <c r="V60" i="27"/>
  <c r="V63" i="27"/>
  <c r="U62" i="27"/>
  <c r="N61" i="27"/>
  <c r="N62" i="27"/>
  <c r="N63" i="27"/>
  <c r="N64" i="27"/>
  <c r="O60" i="27"/>
  <c r="V61" i="27"/>
  <c r="O61" i="27"/>
  <c r="P60" i="27"/>
  <c r="U60" i="27"/>
  <c r="N13" i="12"/>
  <c r="I33" i="9"/>
  <c r="L36" i="9"/>
  <c r="K32" i="9"/>
  <c r="I34" i="9"/>
  <c r="L35" i="9"/>
  <c r="L32" i="9"/>
  <c r="J34" i="9"/>
  <c r="M35" i="9"/>
  <c r="L31" i="9"/>
  <c r="M32" i="9"/>
  <c r="K34" i="9"/>
  <c r="I36" i="9"/>
  <c r="M31" i="9"/>
  <c r="L34" i="9"/>
  <c r="J36" i="9"/>
  <c r="N31" i="9"/>
  <c r="J33" i="9"/>
  <c r="M34" i="9"/>
  <c r="K36" i="9"/>
  <c r="N32" i="9"/>
  <c r="K33" i="9"/>
  <c r="I35" i="9"/>
  <c r="N33" i="9"/>
  <c r="I32" i="9"/>
  <c r="L33" i="9"/>
  <c r="J35" i="9"/>
  <c r="M36" i="9"/>
  <c r="N34" i="9"/>
  <c r="J32" i="9"/>
  <c r="M33" i="9"/>
  <c r="K35" i="9"/>
  <c r="J31" i="9"/>
  <c r="N35" i="9"/>
  <c r="K31" i="9"/>
  <c r="N36" i="9"/>
  <c r="S28" i="6" a="1"/>
  <c r="S28" i="6" s="1"/>
  <c r="T28" i="6" a="1"/>
  <c r="T28" i="6" s="1"/>
  <c r="H18" i="8"/>
  <c r="G25" i="8" s="1"/>
  <c r="S31" i="6" a="1"/>
  <c r="S31" i="6" s="1"/>
  <c r="F31" i="8"/>
  <c r="F33" i="8" s="1"/>
  <c r="AG154" i="27"/>
  <c r="T31" i="6" a="1"/>
  <c r="T31" i="6" s="1"/>
  <c r="G31" i="8"/>
  <c r="G33" i="8" s="1"/>
  <c r="F25" i="8"/>
  <c r="S32" i="6" a="1"/>
  <c r="S32" i="6" s="1"/>
  <c r="T32" i="6" a="1"/>
  <c r="T32" i="6" s="1"/>
  <c r="I38" i="27"/>
  <c r="AD154" i="27"/>
  <c r="K111" i="27"/>
  <c r="J111" i="27"/>
  <c r="L111" i="27"/>
  <c r="U137" i="27"/>
  <c r="M137" i="27"/>
  <c r="V137" i="27"/>
  <c r="U138" i="27"/>
  <c r="M138" i="27"/>
  <c r="V138" i="27"/>
  <c r="V139" i="27"/>
  <c r="U139" i="27"/>
  <c r="M139" i="27"/>
  <c r="U140" i="27"/>
  <c r="M140" i="27"/>
  <c r="V140" i="27"/>
  <c r="U141" i="27"/>
  <c r="M141" i="27"/>
  <c r="V141" i="27"/>
  <c r="N137" i="27"/>
  <c r="N138" i="27"/>
  <c r="N139" i="27"/>
  <c r="N140" i="27"/>
  <c r="N141" i="27"/>
  <c r="O137" i="27"/>
  <c r="J112" i="27"/>
  <c r="J114" i="27"/>
  <c r="O139" i="27"/>
  <c r="O141" i="27"/>
  <c r="J116" i="27"/>
  <c r="P137" i="27"/>
  <c r="P138" i="27"/>
  <c r="P139" i="27"/>
  <c r="P140" i="27"/>
  <c r="P141" i="27"/>
  <c r="J113" i="27"/>
  <c r="O138" i="27"/>
  <c r="O140" i="27"/>
  <c r="J115" i="27"/>
  <c r="Q137" i="27"/>
  <c r="K112" i="27"/>
  <c r="K113" i="27"/>
  <c r="Q138" i="27"/>
  <c r="Q139" i="27"/>
  <c r="K114" i="27"/>
  <c r="K115" i="27"/>
  <c r="Q140" i="27"/>
  <c r="K116" i="27"/>
  <c r="Q141" i="27"/>
  <c r="R137" i="27"/>
  <c r="R138" i="27"/>
  <c r="R139" i="27"/>
  <c r="R140" i="27"/>
  <c r="R141" i="27"/>
  <c r="S137" i="27"/>
  <c r="L112" i="27"/>
  <c r="L113" i="27"/>
  <c r="S138" i="27"/>
  <c r="S139" i="27"/>
  <c r="L114" i="27"/>
  <c r="S140" i="27"/>
  <c r="L115" i="27"/>
  <c r="L116" i="27"/>
  <c r="S141" i="27"/>
  <c r="T137" i="27"/>
  <c r="T138" i="27"/>
  <c r="T139" i="27"/>
  <c r="T140" i="27"/>
  <c r="T141" i="27"/>
  <c r="P136" i="27"/>
  <c r="O136" i="27"/>
  <c r="V136" i="27"/>
  <c r="N136" i="27"/>
  <c r="Q136" i="27"/>
  <c r="U136" i="27"/>
  <c r="S136" i="27"/>
  <c r="R136" i="27"/>
  <c r="T136" i="27"/>
  <c r="P100" i="27"/>
  <c r="P99" i="27"/>
  <c r="L101" i="27"/>
  <c r="N102" i="27"/>
  <c r="P103" i="27"/>
  <c r="M101" i="27"/>
  <c r="O102" i="27"/>
  <c r="L100" i="27"/>
  <c r="N101" i="27"/>
  <c r="P102" i="27"/>
  <c r="K99" i="27"/>
  <c r="M100" i="27"/>
  <c r="O101" i="27"/>
  <c r="K103" i="27"/>
  <c r="L99" i="27"/>
  <c r="N100" i="27"/>
  <c r="P101" i="27"/>
  <c r="L103" i="27"/>
  <c r="M99" i="27"/>
  <c r="O100" i="27"/>
  <c r="M103" i="27"/>
  <c r="N99" i="27"/>
  <c r="L102" i="27"/>
  <c r="N103" i="27"/>
  <c r="O99" i="27"/>
  <c r="M102" i="27"/>
  <c r="O103" i="27"/>
  <c r="Q101" i="27"/>
  <c r="Q102" i="27"/>
  <c r="Q103" i="27"/>
  <c r="R99" i="27"/>
  <c r="P98" i="27"/>
  <c r="L98" i="27"/>
  <c r="O98" i="27"/>
  <c r="M98" i="27"/>
  <c r="N98" i="27"/>
  <c r="I39" i="27"/>
  <c r="I40" i="27"/>
  <c r="I41" i="27"/>
  <c r="I42" i="27"/>
  <c r="G77" i="27"/>
  <c r="I75" i="27"/>
  <c r="H72" i="27"/>
  <c r="G79" i="27" s="1"/>
  <c r="H73" i="27"/>
  <c r="I76" i="27"/>
  <c r="Q98" i="27"/>
  <c r="H74" i="27"/>
  <c r="H81" i="27" s="1"/>
  <c r="I77" i="27"/>
  <c r="Q99" i="27"/>
  <c r="Q100" i="27"/>
  <c r="R98" i="27"/>
  <c r="H75" i="27"/>
  <c r="J73" i="27"/>
  <c r="R100" i="27"/>
  <c r="R101" i="27"/>
  <c r="R102" i="27"/>
  <c r="R103" i="27"/>
  <c r="G73" i="27"/>
  <c r="H76" i="27"/>
  <c r="K100" i="27"/>
  <c r="K101" i="27"/>
  <c r="K102" i="27"/>
  <c r="H77" i="27"/>
  <c r="H41" i="27"/>
  <c r="H42" i="27"/>
  <c r="H39" i="27"/>
  <c r="H40" i="27"/>
  <c r="Z22" i="6" l="1" a="1"/>
  <c r="Z22" i="6" s="1"/>
  <c r="Z32" i="6" a="1"/>
  <c r="Z32" i="6" s="1"/>
  <c r="Z24" i="6" a="1"/>
  <c r="Z24" i="6" s="1"/>
  <c r="Z30" i="6" a="1"/>
  <c r="Z30" i="6" s="1"/>
  <c r="Z29" i="6" a="1"/>
  <c r="Z29" i="6" s="1"/>
  <c r="Z25" i="6" a="1"/>
  <c r="Z25" i="6" s="1"/>
  <c r="Z23" i="6" a="1"/>
  <c r="Z23" i="6" s="1"/>
  <c r="I123" i="27"/>
  <c r="Z26" i="6" a="1"/>
  <c r="Z26" i="6" s="1"/>
  <c r="Z21" i="6" a="1"/>
  <c r="Z21" i="6" s="1"/>
  <c r="Z27" i="6" a="1"/>
  <c r="Z27" i="6" s="1"/>
  <c r="Z31" i="6" a="1"/>
  <c r="Z31" i="6" s="1"/>
  <c r="Z28" i="6" a="1"/>
  <c r="Z28" i="6" s="1"/>
  <c r="N120" i="27"/>
  <c r="K119" i="27"/>
  <c r="AA154" i="27"/>
  <c r="J122" i="27"/>
  <c r="AH154" i="27"/>
  <c r="K121" i="27"/>
  <c r="L119" i="27"/>
  <c r="K49" i="27"/>
  <c r="L122" i="27"/>
  <c r="J123" i="27"/>
  <c r="I79" i="27"/>
  <c r="J120" i="27"/>
  <c r="K123" i="27"/>
  <c r="H83" i="27"/>
  <c r="M123" i="27"/>
  <c r="M119" i="27"/>
  <c r="M122" i="27"/>
  <c r="M121" i="27"/>
  <c r="N119" i="27"/>
  <c r="N122" i="27"/>
  <c r="N121" i="27"/>
  <c r="N123" i="27"/>
  <c r="I122" i="27"/>
  <c r="I121" i="27"/>
  <c r="I120" i="27"/>
  <c r="L121" i="27"/>
  <c r="L123" i="27"/>
  <c r="K120" i="27"/>
  <c r="J121" i="27"/>
  <c r="I119" i="27"/>
  <c r="L120" i="27"/>
  <c r="K122" i="27"/>
  <c r="J119" i="27"/>
  <c r="M120" i="27"/>
  <c r="H84" i="27"/>
  <c r="H79" i="27"/>
  <c r="J80" i="27"/>
  <c r="J79" i="27"/>
  <c r="H82" i="27"/>
  <c r="I83" i="27"/>
  <c r="I80" i="27"/>
  <c r="I84" i="27"/>
  <c r="I82" i="27"/>
  <c r="G84" i="27"/>
  <c r="J82" i="27"/>
  <c r="I49" i="27"/>
  <c r="G83" i="27"/>
  <c r="J84" i="27"/>
  <c r="G81" i="27"/>
  <c r="G82" i="27"/>
  <c r="J83" i="27"/>
  <c r="H80" i="27"/>
  <c r="G80" i="27"/>
  <c r="J81" i="27"/>
  <c r="I81" i="27"/>
  <c r="J49" i="27"/>
  <c r="H49" i="27"/>
  <c r="L49" i="27"/>
  <c r="AD160" i="27" l="1"/>
  <c r="AH160" i="27"/>
  <c r="AA160" i="27"/>
  <c r="T160" i="27"/>
  <c r="AC160" i="27"/>
  <c r="AB160" i="27"/>
  <c r="AG160" i="27"/>
  <c r="AE160" i="27"/>
  <c r="Z160" i="27"/>
  <c r="V160" i="27"/>
  <c r="Y160" i="27"/>
  <c r="AI160" i="27"/>
  <c r="X160" i="27"/>
  <c r="U160" i="27"/>
  <c r="AJ160" i="27"/>
  <c r="AF160" i="27"/>
  <c r="W160" i="27"/>
  <c r="G29" i="27" l="1"/>
  <c r="H29" i="27"/>
  <c r="J29" i="27"/>
  <c r="I29" i="27"/>
  <c r="H32" i="8" l="1"/>
  <c r="H31" i="8"/>
  <c r="C29" i="8"/>
  <c r="H33" i="8" l="1"/>
  <c r="R30" i="6" a="1"/>
  <c r="R30" i="6" s="1"/>
  <c r="R25" i="6" a="1"/>
  <c r="R25" i="6" s="1"/>
  <c r="R23" i="6" a="1"/>
  <c r="R23" i="6" s="1"/>
  <c r="AD151" i="27"/>
  <c r="L47" i="27"/>
  <c r="I46" i="27"/>
  <c r="H38" i="27"/>
  <c r="I45" i="27" s="1"/>
  <c r="U29" i="6" a="1"/>
  <c r="U29" i="6" s="1"/>
  <c r="W26" i="6" a="1"/>
  <c r="W26" i="6" s="1"/>
  <c r="V29" i="6" a="1"/>
  <c r="V29" i="6" s="1"/>
  <c r="U23" i="6" a="1"/>
  <c r="U23" i="6" s="1"/>
  <c r="W29" i="6" a="1"/>
  <c r="W29" i="6" s="1"/>
  <c r="U31" i="6" a="1"/>
  <c r="U31" i="6" s="1"/>
  <c r="V23" i="6" a="1"/>
  <c r="V23" i="6" s="1"/>
  <c r="W28" i="6" a="1"/>
  <c r="W28" i="6" s="1"/>
  <c r="U30" i="6" a="1"/>
  <c r="U30" i="6" s="1"/>
  <c r="C112" i="31"/>
  <c r="C113" i="31"/>
  <c r="C9" i="12"/>
  <c r="D99" i="31" a="1"/>
  <c r="D99" i="31" s="1"/>
  <c r="D103" i="31" a="1"/>
  <c r="D103" i="31" s="1"/>
  <c r="D95" i="31" a="1"/>
  <c r="D95" i="31" s="1"/>
  <c r="C10" i="6"/>
  <c r="C10" i="9"/>
  <c r="C35" i="6"/>
  <c r="C18" i="6"/>
  <c r="C82" i="31"/>
  <c r="C86" i="31"/>
  <c r="C87" i="31"/>
  <c r="C88" i="31"/>
  <c r="M34" i="27"/>
  <c r="C34" i="27"/>
  <c r="C145" i="27"/>
  <c r="C126" i="27"/>
  <c r="O108" i="27"/>
  <c r="C108" i="27"/>
  <c r="C88" i="27"/>
  <c r="C51" i="27"/>
  <c r="K14" i="27"/>
  <c r="C14" i="27"/>
  <c r="D17" i="31"/>
  <c r="E16" i="31"/>
  <c r="E15" i="31"/>
  <c r="D16" i="31"/>
  <c r="E17" i="31"/>
  <c r="D15" i="31"/>
  <c r="E11" i="31"/>
  <c r="E12" i="31"/>
  <c r="D13" i="31"/>
  <c r="D12" i="31"/>
  <c r="C21" i="9"/>
  <c r="C10" i="8"/>
  <c r="H16" i="8"/>
  <c r="F23" i="8" s="1"/>
  <c r="H13" i="8"/>
  <c r="F20" i="8" s="1"/>
  <c r="H15" i="8"/>
  <c r="H17" i="8"/>
  <c r="F24" i="8" s="1"/>
  <c r="H14" i="8"/>
  <c r="G21" i="8" s="1"/>
  <c r="E32" i="8" l="1"/>
  <c r="C108" i="31"/>
  <c r="F23" i="6" a="1"/>
  <c r="F23" i="6" s="1"/>
  <c r="G26" i="6" a="1"/>
  <c r="G26" i="6" s="1"/>
  <c r="F26" i="6" a="1"/>
  <c r="F26" i="6" s="1"/>
  <c r="F30" i="6" a="1"/>
  <c r="F30" i="6" s="1"/>
  <c r="G24" i="6" a="1"/>
  <c r="G24" i="6" s="1"/>
  <c r="G29" i="6" a="1"/>
  <c r="G29" i="6" s="1"/>
  <c r="G27" i="6" a="1"/>
  <c r="G27" i="6" s="1"/>
  <c r="G22" i="6" a="1"/>
  <c r="G22" i="6" s="1"/>
  <c r="F29" i="6" a="1"/>
  <c r="F29" i="6" s="1"/>
  <c r="F27" i="6" a="1"/>
  <c r="F27" i="6" s="1"/>
  <c r="G25" i="6" a="1"/>
  <c r="G25" i="6" s="1"/>
  <c r="F22" i="6" a="1"/>
  <c r="F22" i="6" s="1"/>
  <c r="F28" i="6" a="1"/>
  <c r="F28" i="6" s="1"/>
  <c r="F25" i="6" a="1"/>
  <c r="F25" i="6" s="1"/>
  <c r="D55" i="31"/>
  <c r="C55" i="31"/>
  <c r="F50" i="31"/>
  <c r="E50" i="31"/>
  <c r="F55" i="31"/>
  <c r="D50" i="31"/>
  <c r="E55" i="31"/>
  <c r="C50" i="31"/>
  <c r="D139" i="27"/>
  <c r="D137" i="27"/>
  <c r="F75" i="27"/>
  <c r="E73" i="27"/>
  <c r="C75" i="27"/>
  <c r="F74" i="27"/>
  <c r="E72" i="27"/>
  <c r="F73" i="27"/>
  <c r="C76" i="27"/>
  <c r="F72" i="27"/>
  <c r="C73" i="27"/>
  <c r="E76" i="27"/>
  <c r="C72" i="27"/>
  <c r="E75" i="27"/>
  <c r="C74" i="27"/>
  <c r="F76" i="27"/>
  <c r="E74" i="27"/>
  <c r="D72" i="31"/>
  <c r="D71" i="31"/>
  <c r="D70" i="31"/>
  <c r="D69" i="31"/>
  <c r="D68" i="31"/>
  <c r="D74" i="31"/>
  <c r="D67" i="31"/>
  <c r="D73" i="31"/>
  <c r="C31" i="8"/>
  <c r="D63" i="31"/>
  <c r="C62" i="31"/>
  <c r="D60" i="31"/>
  <c r="D62" i="31"/>
  <c r="D61" i="31"/>
  <c r="D31" i="8"/>
  <c r="D33" i="8" s="1"/>
  <c r="C60" i="31"/>
  <c r="E29" i="27"/>
  <c r="D44" i="27"/>
  <c r="G20" i="8"/>
  <c r="H46" i="27"/>
  <c r="G24" i="8"/>
  <c r="AA150" i="27"/>
  <c r="M153" i="27"/>
  <c r="E6" i="31"/>
  <c r="D6" i="31"/>
  <c r="J45" i="27"/>
  <c r="J46" i="27"/>
  <c r="J47" i="27"/>
  <c r="E43" i="31" a="1"/>
  <c r="E43" i="31" s="1"/>
  <c r="E42" i="31" a="1"/>
  <c r="E42" i="31" s="1"/>
  <c r="E41" i="31" a="1"/>
  <c r="E41" i="31" s="1"/>
  <c r="E40" i="31" s="1"/>
  <c r="E45" i="31" a="1"/>
  <c r="E45" i="31" s="1"/>
  <c r="E44" i="31" a="1"/>
  <c r="E44" i="31" s="1"/>
  <c r="C24" i="27"/>
  <c r="E28" i="27"/>
  <c r="C25" i="27"/>
  <c r="P150" i="27"/>
  <c r="P152" i="27"/>
  <c r="C136" i="27"/>
  <c r="D28" i="27"/>
  <c r="E5" i="31" s="1"/>
  <c r="M150" i="27"/>
  <c r="C27" i="27"/>
  <c r="AD150" i="27"/>
  <c r="H26" i="27"/>
  <c r="G28" i="27"/>
  <c r="F21" i="8"/>
  <c r="AG150" i="27"/>
  <c r="AD153" i="27"/>
  <c r="J27" i="27"/>
  <c r="I44" i="27"/>
  <c r="D82" i="31"/>
  <c r="V30" i="6" a="1"/>
  <c r="V30" i="6" s="1"/>
  <c r="K98" i="27"/>
  <c r="I31" i="6" a="1"/>
  <c r="I31" i="6" s="1"/>
  <c r="K28" i="6" a="1"/>
  <c r="K28" i="6" s="1"/>
  <c r="I23" i="6" a="1"/>
  <c r="I23" i="6" s="1"/>
  <c r="K22" i="6" a="1"/>
  <c r="K22" i="6" s="1"/>
  <c r="L45" i="27"/>
  <c r="G23" i="8"/>
  <c r="P151" i="27"/>
  <c r="K25" i="6" a="1"/>
  <c r="K25" i="6" s="1"/>
  <c r="U24" i="6" a="1"/>
  <c r="U24" i="6" s="1"/>
  <c r="U26" i="6" a="1"/>
  <c r="U26" i="6" s="1"/>
  <c r="U32" i="6" a="1"/>
  <c r="U32" i="6" s="1"/>
  <c r="U22" i="6" a="1"/>
  <c r="U22" i="6" s="1"/>
  <c r="V22" i="6" a="1"/>
  <c r="V22" i="6" s="1"/>
  <c r="V32" i="6" a="1"/>
  <c r="V32" i="6" s="1"/>
  <c r="V31" i="6" a="1"/>
  <c r="V31" i="6" s="1"/>
  <c r="V25" i="6" a="1"/>
  <c r="V25" i="6" s="1"/>
  <c r="V28" i="6" a="1"/>
  <c r="V28" i="6" s="1"/>
  <c r="V27" i="6" a="1"/>
  <c r="V27" i="6" s="1"/>
  <c r="W30" i="6" a="1"/>
  <c r="W30" i="6" s="1"/>
  <c r="W25" i="6" a="1"/>
  <c r="W25" i="6" s="1"/>
  <c r="W32" i="6" a="1"/>
  <c r="W32" i="6" s="1"/>
  <c r="U25" i="6" a="1"/>
  <c r="U25" i="6" s="1"/>
  <c r="W27" i="6" a="1"/>
  <c r="W27" i="6" s="1"/>
  <c r="E14" i="31"/>
  <c r="J28" i="6" a="1"/>
  <c r="J28" i="6" s="1"/>
  <c r="W24" i="6" a="1"/>
  <c r="W24" i="6" s="1"/>
  <c r="V24" i="6" a="1"/>
  <c r="V24" i="6" s="1"/>
  <c r="D94" i="31" a="1"/>
  <c r="D94" i="31" s="1"/>
  <c r="D97" i="31" a="1"/>
  <c r="D97" i="31" s="1"/>
  <c r="G23" i="6" a="1"/>
  <c r="G23" i="6" s="1"/>
  <c r="G30" i="6" a="1"/>
  <c r="G30" i="6" s="1"/>
  <c r="J27" i="6" a="1"/>
  <c r="J27" i="6" s="1"/>
  <c r="J26" i="6" a="1"/>
  <c r="J26" i="6" s="1"/>
  <c r="J25" i="6" a="1"/>
  <c r="J25" i="6" s="1"/>
  <c r="J30" i="6" a="1"/>
  <c r="J30" i="6" s="1"/>
  <c r="J29" i="6" a="1"/>
  <c r="J29" i="6" s="1"/>
  <c r="J21" i="6" a="1"/>
  <c r="J21" i="6" s="1"/>
  <c r="J23" i="6" a="1"/>
  <c r="J23" i="6" s="1"/>
  <c r="J32" i="6" a="1"/>
  <c r="J32" i="6" s="1"/>
  <c r="D81" i="31"/>
  <c r="G22" i="8"/>
  <c r="F22" i="8"/>
  <c r="K24" i="6" a="1"/>
  <c r="K24" i="6" s="1"/>
  <c r="K23" i="6" a="1"/>
  <c r="K23" i="6" s="1"/>
  <c r="K21" i="6" a="1"/>
  <c r="K21" i="6" s="1"/>
  <c r="K27" i="6" a="1"/>
  <c r="K27" i="6" s="1"/>
  <c r="G32" i="6" a="1"/>
  <c r="G32" i="6" s="1"/>
  <c r="I21" i="6"/>
  <c r="I25" i="6" a="1"/>
  <c r="I25" i="6" s="1"/>
  <c r="I22" i="6" a="1"/>
  <c r="I22" i="6" s="1"/>
  <c r="I32" i="6" a="1"/>
  <c r="I32" i="6" s="1"/>
  <c r="I24" i="6" a="1"/>
  <c r="I24" i="6" s="1"/>
  <c r="K32" i="6" a="1"/>
  <c r="K32" i="6" s="1"/>
  <c r="K31" i="6" a="1"/>
  <c r="K31" i="6" s="1"/>
  <c r="K30" i="6" a="1"/>
  <c r="K30" i="6" s="1"/>
  <c r="G21" i="6" a="1"/>
  <c r="G21" i="6" s="1"/>
  <c r="I30" i="6" a="1"/>
  <c r="I30" i="6" s="1"/>
  <c r="I29" i="6" a="1"/>
  <c r="I29" i="6" s="1"/>
  <c r="I28" i="6" a="1"/>
  <c r="I28" i="6" s="1"/>
  <c r="L118" i="27"/>
  <c r="N118" i="27"/>
  <c r="J118" i="27"/>
  <c r="K29" i="6" a="1"/>
  <c r="K29" i="6" s="1"/>
  <c r="J22" i="6" a="1"/>
  <c r="J22" i="6" s="1"/>
  <c r="K26" i="6" a="1"/>
  <c r="K26" i="6" s="1"/>
  <c r="U28" i="6" a="1"/>
  <c r="U28" i="6" s="1"/>
  <c r="U27" i="6" a="1"/>
  <c r="U27" i="6" s="1"/>
  <c r="W23" i="6" a="1"/>
  <c r="W23" i="6" s="1"/>
  <c r="W21" i="6" a="1"/>
  <c r="W21" i="6" s="1"/>
  <c r="V26" i="6" a="1"/>
  <c r="V26" i="6" s="1"/>
  <c r="W31" i="6" a="1"/>
  <c r="W31" i="6" s="1"/>
  <c r="H25" i="27"/>
  <c r="H27" i="27"/>
  <c r="I25" i="27"/>
  <c r="G26" i="27"/>
  <c r="I31" i="9"/>
  <c r="V21" i="6" a="1"/>
  <c r="V21" i="6" s="1"/>
  <c r="W22" i="6" a="1"/>
  <c r="W22" i="6" s="1"/>
  <c r="I47" i="27"/>
  <c r="H47" i="27"/>
  <c r="L46" i="27"/>
  <c r="K46" i="27"/>
  <c r="D11" i="31"/>
  <c r="M151" i="27"/>
  <c r="E13" i="31"/>
  <c r="D14" i="31"/>
  <c r="H45" i="27"/>
  <c r="K45" i="27"/>
  <c r="K47" i="27"/>
  <c r="F24" i="6" a="1"/>
  <c r="F24" i="6" s="1"/>
  <c r="C81" i="31"/>
  <c r="F32" i="6" a="1"/>
  <c r="F32" i="6" s="1"/>
  <c r="F21" i="6" a="1"/>
  <c r="F21" i="6" s="1"/>
  <c r="J31" i="6" a="1"/>
  <c r="J31" i="6" s="1"/>
  <c r="J24" i="6" a="1"/>
  <c r="J24" i="6" s="1"/>
  <c r="I26" i="6" a="1"/>
  <c r="I26" i="6" s="1"/>
  <c r="I27" i="6" a="1"/>
  <c r="I27" i="6" s="1"/>
  <c r="G25" i="27"/>
  <c r="I26" i="27"/>
  <c r="G27" i="27"/>
  <c r="I27" i="27"/>
  <c r="I28" i="27"/>
  <c r="H44" i="27"/>
  <c r="H24" i="27"/>
  <c r="I24" i="27"/>
  <c r="J24" i="27"/>
  <c r="J26" i="27"/>
  <c r="K44" i="27"/>
  <c r="J44" i="27"/>
  <c r="J25" i="27"/>
  <c r="G24" i="27"/>
  <c r="H28" i="27"/>
  <c r="J28" i="27"/>
  <c r="L44" i="27"/>
  <c r="AD152" i="27"/>
  <c r="M41" i="6"/>
  <c r="M49" i="6"/>
  <c r="M60" i="6"/>
  <c r="M63" i="6"/>
  <c r="I118" i="27"/>
  <c r="K118" i="27"/>
  <c r="M118" i="27"/>
  <c r="M136" i="27"/>
  <c r="AG153" i="27"/>
  <c r="U21" i="6"/>
  <c r="R21" i="6" a="1"/>
  <c r="R21" i="6" s="1"/>
  <c r="R24" i="6" a="1"/>
  <c r="R24" i="6" s="1"/>
  <c r="AG152" i="27"/>
  <c r="M40" i="6"/>
  <c r="M48" i="6"/>
  <c r="M52" i="6"/>
  <c r="AG151" i="27"/>
  <c r="R22" i="6" a="1"/>
  <c r="R22" i="6" s="1"/>
  <c r="R27" i="6" a="1"/>
  <c r="R27" i="6" s="1"/>
  <c r="R26" i="6" a="1"/>
  <c r="R26" i="6" s="1"/>
  <c r="R29" i="6" a="1"/>
  <c r="R29" i="6" s="1"/>
  <c r="R32" i="6" a="1"/>
  <c r="R32" i="6" s="1"/>
  <c r="D140" i="27" l="1"/>
  <c r="C31" i="9"/>
  <c r="I60" i="27"/>
  <c r="C44" i="27"/>
  <c r="H99" i="27"/>
  <c r="I62" i="27"/>
  <c r="J64" i="27"/>
  <c r="I63" i="27"/>
  <c r="H61" i="27"/>
  <c r="I64" i="27"/>
  <c r="C62" i="27"/>
  <c r="L62" i="27"/>
  <c r="K62" i="27"/>
  <c r="E60" i="27"/>
  <c r="F63" i="27"/>
  <c r="H62" i="27"/>
  <c r="J60" i="27"/>
  <c r="C63" i="27"/>
  <c r="L63" i="27"/>
  <c r="K63" i="27"/>
  <c r="E61" i="27"/>
  <c r="F64" i="27"/>
  <c r="H63" i="27"/>
  <c r="C60" i="27"/>
  <c r="L60" i="27"/>
  <c r="K60" i="27"/>
  <c r="C64" i="27"/>
  <c r="K64" i="27"/>
  <c r="L64" i="27"/>
  <c r="E62" i="27"/>
  <c r="G60" i="27"/>
  <c r="H103" i="27"/>
  <c r="H64" i="27"/>
  <c r="J61" i="27"/>
  <c r="D60" i="27"/>
  <c r="E63" i="27"/>
  <c r="G61" i="27"/>
  <c r="J62" i="27"/>
  <c r="D61" i="27"/>
  <c r="E64" i="27"/>
  <c r="G62" i="27"/>
  <c r="I61" i="27"/>
  <c r="J63" i="27"/>
  <c r="D62" i="27"/>
  <c r="F60" i="27"/>
  <c r="G63" i="27"/>
  <c r="D63" i="27"/>
  <c r="D39" i="27"/>
  <c r="F61" i="27"/>
  <c r="G64" i="27"/>
  <c r="H13" i="12"/>
  <c r="C61" i="27"/>
  <c r="L61" i="27"/>
  <c r="K61" i="27"/>
  <c r="D64" i="27"/>
  <c r="F62" i="27"/>
  <c r="H60" i="27"/>
  <c r="D141" i="27"/>
  <c r="G13" i="12"/>
  <c r="D41" i="27"/>
  <c r="D138" i="27"/>
  <c r="D40" i="27"/>
  <c r="H46" i="6"/>
  <c r="D75" i="27"/>
  <c r="D82" i="27" s="1"/>
  <c r="F100" i="27"/>
  <c r="E31" i="31" s="1" a="1"/>
  <c r="E31" i="31" s="1"/>
  <c r="D42" i="27"/>
  <c r="F137" i="27"/>
  <c r="H138" i="27"/>
  <c r="J139" i="27"/>
  <c r="C140" i="27"/>
  <c r="H64" i="6"/>
  <c r="H50" i="6"/>
  <c r="H45" i="6"/>
  <c r="H40" i="6"/>
  <c r="H63" i="6"/>
  <c r="F138" i="27"/>
  <c r="H139" i="27"/>
  <c r="J140" i="27"/>
  <c r="C141" i="27"/>
  <c r="H55" i="6"/>
  <c r="E100" i="27"/>
  <c r="E30" i="31" s="1" a="1"/>
  <c r="E30" i="31" s="1"/>
  <c r="F139" i="27"/>
  <c r="H140" i="27"/>
  <c r="J141" i="27"/>
  <c r="D136" i="27"/>
  <c r="H57" i="6"/>
  <c r="H49" i="6"/>
  <c r="H48" i="6"/>
  <c r="H43" i="6"/>
  <c r="F140" i="27"/>
  <c r="H141" i="27"/>
  <c r="J136" i="27"/>
  <c r="H62" i="6"/>
  <c r="D38" i="27"/>
  <c r="F136" i="27"/>
  <c r="F141" i="27"/>
  <c r="J151" i="27"/>
  <c r="H136" i="27"/>
  <c r="C137" i="27"/>
  <c r="H60" i="6"/>
  <c r="H52" i="6"/>
  <c r="H59" i="6"/>
  <c r="E31" i="9"/>
  <c r="J137" i="27"/>
  <c r="C138" i="27"/>
  <c r="H137" i="27"/>
  <c r="J138" i="27"/>
  <c r="C139" i="27"/>
  <c r="H56" i="6"/>
  <c r="F31" i="9"/>
  <c r="E102" i="27"/>
  <c r="E36" i="31" s="1" a="1"/>
  <c r="E36" i="31" s="1"/>
  <c r="D31" i="9"/>
  <c r="E17" i="8"/>
  <c r="C24" i="8" s="1"/>
  <c r="D36" i="9"/>
  <c r="H31" i="9"/>
  <c r="D13" i="12"/>
  <c r="D108" i="31" s="1"/>
  <c r="E13" i="12"/>
  <c r="E108" i="31" s="1"/>
  <c r="H61" i="6"/>
  <c r="H31" i="6" a="1"/>
  <c r="H31" i="6" s="1"/>
  <c r="H28" i="6" a="1"/>
  <c r="H28" i="6" s="1"/>
  <c r="H54" i="6"/>
  <c r="H23" i="6" a="1"/>
  <c r="H23" i="6" s="1"/>
  <c r="H41" i="6"/>
  <c r="H25" i="6" a="1"/>
  <c r="H25" i="6" s="1"/>
  <c r="H44" i="6"/>
  <c r="H22" i="6" a="1"/>
  <c r="H22" i="6" s="1"/>
  <c r="H39" i="6"/>
  <c r="H27" i="6" a="1"/>
  <c r="H27" i="6" s="1"/>
  <c r="H47" i="6"/>
  <c r="H29" i="6" a="1"/>
  <c r="H29" i="6" s="1"/>
  <c r="H58" i="6"/>
  <c r="H24" i="6" a="1"/>
  <c r="H24" i="6" s="1"/>
  <c r="H42" i="6"/>
  <c r="H30" i="6" a="1"/>
  <c r="H30" i="6" s="1"/>
  <c r="H53" i="6"/>
  <c r="H32" i="6" a="1"/>
  <c r="H32" i="6" s="1"/>
  <c r="H65" i="6"/>
  <c r="H26" i="6" a="1"/>
  <c r="H26" i="6" s="1"/>
  <c r="H51" i="6"/>
  <c r="H21" i="6" a="1"/>
  <c r="H21" i="6" s="1"/>
  <c r="H38" i="6"/>
  <c r="C98" i="27"/>
  <c r="G102" i="27"/>
  <c r="E38" i="31" s="1" a="1"/>
  <c r="E38" i="31" s="1"/>
  <c r="I98" i="27"/>
  <c r="D76" i="27"/>
  <c r="C83" i="27" s="1"/>
  <c r="D98" i="27"/>
  <c r="G99" i="27"/>
  <c r="J99" i="27"/>
  <c r="F103" i="27"/>
  <c r="F82" i="27"/>
  <c r="D73" i="27"/>
  <c r="E80" i="27" s="1"/>
  <c r="D72" i="27"/>
  <c r="D79" i="27" s="1"/>
  <c r="E83" i="27"/>
  <c r="E103" i="27"/>
  <c r="C99" i="27"/>
  <c r="J98" i="27"/>
  <c r="C102" i="27"/>
  <c r="D99" i="27"/>
  <c r="I99" i="27"/>
  <c r="F99" i="27"/>
  <c r="E82" i="27"/>
  <c r="E99" i="27"/>
  <c r="J100" i="27"/>
  <c r="C100" i="27"/>
  <c r="H100" i="27"/>
  <c r="E33" i="31" s="1" a="1"/>
  <c r="E33" i="31" s="1"/>
  <c r="D100" i="27"/>
  <c r="E29" i="31" s="1" a="1"/>
  <c r="E29" i="31" s="1"/>
  <c r="D74" i="27"/>
  <c r="D81" i="27" s="1"/>
  <c r="G103" i="27"/>
  <c r="C82" i="27"/>
  <c r="F77" i="27"/>
  <c r="J103" i="27"/>
  <c r="C103" i="27"/>
  <c r="C77" i="27"/>
  <c r="I103" i="27"/>
  <c r="E77" i="27"/>
  <c r="D77" i="27"/>
  <c r="D103" i="27"/>
  <c r="J154" i="27"/>
  <c r="M154" i="27"/>
  <c r="P154" i="27"/>
  <c r="E136" i="27"/>
  <c r="D111" i="27"/>
  <c r="G113" i="27"/>
  <c r="K138" i="27"/>
  <c r="H115" i="27"/>
  <c r="L140" i="27"/>
  <c r="E137" i="27"/>
  <c r="D112" i="27"/>
  <c r="E138" i="27"/>
  <c r="D113" i="27"/>
  <c r="E139" i="27"/>
  <c r="D114" i="27"/>
  <c r="E140" i="27"/>
  <c r="D115" i="27"/>
  <c r="D116" i="27"/>
  <c r="E141" i="27"/>
  <c r="G114" i="27"/>
  <c r="K139" i="27"/>
  <c r="H116" i="27"/>
  <c r="L141" i="27"/>
  <c r="G136" i="27"/>
  <c r="E111" i="27"/>
  <c r="G115" i="27"/>
  <c r="K140" i="27"/>
  <c r="E112" i="27"/>
  <c r="G137" i="27"/>
  <c r="E113" i="27"/>
  <c r="G138" i="27"/>
  <c r="G139" i="27"/>
  <c r="E114" i="27"/>
  <c r="G140" i="27"/>
  <c r="E115" i="27"/>
  <c r="E116" i="27"/>
  <c r="G141" i="27"/>
  <c r="G116" i="27"/>
  <c r="K141" i="27"/>
  <c r="I136" i="27"/>
  <c r="F111" i="27"/>
  <c r="H111" i="27"/>
  <c r="L136" i="27"/>
  <c r="F112" i="27"/>
  <c r="I137" i="27"/>
  <c r="F113" i="27"/>
  <c r="I138" i="27"/>
  <c r="F114" i="27"/>
  <c r="I139" i="27"/>
  <c r="F115" i="27"/>
  <c r="I140" i="27"/>
  <c r="F116" i="27"/>
  <c r="I141" i="27"/>
  <c r="H112" i="27"/>
  <c r="L137" i="27"/>
  <c r="G111" i="27"/>
  <c r="K136" i="27"/>
  <c r="H113" i="27"/>
  <c r="L138" i="27"/>
  <c r="G112" i="27"/>
  <c r="K137" i="27"/>
  <c r="H114" i="27"/>
  <c r="L139" i="27"/>
  <c r="G34" i="9"/>
  <c r="D33" i="9"/>
  <c r="D32" i="9"/>
  <c r="F32" i="9"/>
  <c r="E33" i="9"/>
  <c r="G33" i="9"/>
  <c r="D34" i="9"/>
  <c r="C33" i="9"/>
  <c r="H33" i="9"/>
  <c r="C35" i="9"/>
  <c r="H35" i="9"/>
  <c r="E35" i="9"/>
  <c r="G35" i="9"/>
  <c r="F34" i="9"/>
  <c r="F36" i="9"/>
  <c r="C32" i="9"/>
  <c r="H32" i="9"/>
  <c r="E32" i="9"/>
  <c r="G32" i="9"/>
  <c r="F33" i="9"/>
  <c r="C34" i="9"/>
  <c r="H34" i="9"/>
  <c r="E34" i="9"/>
  <c r="D35" i="9"/>
  <c r="F35" i="9"/>
  <c r="C36" i="9"/>
  <c r="H36" i="9"/>
  <c r="G31" i="9"/>
  <c r="E36" i="9"/>
  <c r="G36" i="9"/>
  <c r="E14" i="8"/>
  <c r="C21" i="8" s="1"/>
  <c r="C33" i="8"/>
  <c r="E31" i="8"/>
  <c r="E33" i="8" s="1"/>
  <c r="E16" i="8"/>
  <c r="D23" i="8" s="1"/>
  <c r="E13" i="8"/>
  <c r="E60" i="31" s="1"/>
  <c r="E15" i="8"/>
  <c r="D22" i="8" s="1"/>
  <c r="C63" i="31"/>
  <c r="C61" i="31"/>
  <c r="E18" i="8"/>
  <c r="D25" i="8" s="1"/>
  <c r="C38" i="27"/>
  <c r="D45" i="27" s="1"/>
  <c r="C39" i="27"/>
  <c r="F29" i="27"/>
  <c r="C42" i="27"/>
  <c r="C41" i="27"/>
  <c r="C40" i="27"/>
  <c r="D29" i="27"/>
  <c r="C29" i="27"/>
  <c r="AH150" i="27"/>
  <c r="X156" i="27" s="1"/>
  <c r="I100" i="27"/>
  <c r="F28" i="27"/>
  <c r="G100" i="27"/>
  <c r="E32" i="31" s="1" a="1"/>
  <c r="E32" i="31" s="1"/>
  <c r="D102" i="27"/>
  <c r="E35" i="31" s="1" a="1"/>
  <c r="E35" i="31" s="1"/>
  <c r="C28" i="27"/>
  <c r="D5" i="31" s="1"/>
  <c r="M152" i="27"/>
  <c r="Q152" i="27" s="1"/>
  <c r="E98" i="27"/>
  <c r="E25" i="27"/>
  <c r="G44" i="27"/>
  <c r="F27" i="27"/>
  <c r="J102" i="27"/>
  <c r="E26" i="27"/>
  <c r="I102" i="27"/>
  <c r="J153" i="27"/>
  <c r="D27" i="27"/>
  <c r="D24" i="27"/>
  <c r="E27" i="27"/>
  <c r="F26" i="27"/>
  <c r="E44" i="27"/>
  <c r="F101" i="27"/>
  <c r="D26" i="27"/>
  <c r="E4" i="31" s="1"/>
  <c r="F24" i="27"/>
  <c r="P153" i="27"/>
  <c r="Q153" i="27" s="1"/>
  <c r="E24" i="27"/>
  <c r="J150" i="27"/>
  <c r="F44" i="27"/>
  <c r="C26" i="27"/>
  <c r="D4" i="31" s="1"/>
  <c r="H102" i="27"/>
  <c r="E39" i="31" s="1" a="1"/>
  <c r="E39" i="31" s="1"/>
  <c r="F98" i="27"/>
  <c r="H98" i="27"/>
  <c r="F102" i="27"/>
  <c r="E37" i="31" s="1" a="1"/>
  <c r="E37" i="31" s="1"/>
  <c r="G98" i="27"/>
  <c r="H101" i="27"/>
  <c r="C101" i="27"/>
  <c r="F25" i="27"/>
  <c r="E101" i="27"/>
  <c r="G101" i="27"/>
  <c r="J101" i="27"/>
  <c r="D101" i="27"/>
  <c r="I101" i="27"/>
  <c r="D25" i="27"/>
  <c r="L39" i="6"/>
  <c r="M53" i="6"/>
  <c r="M64" i="6"/>
  <c r="M56" i="6"/>
  <c r="M45" i="6"/>
  <c r="M57" i="6"/>
  <c r="M44" i="6"/>
  <c r="D98" i="31" a="1"/>
  <c r="D98" i="31" s="1"/>
  <c r="D93" i="31" a="1"/>
  <c r="D93" i="31" s="1"/>
  <c r="M61" i="6"/>
  <c r="D92" i="31" a="1"/>
  <c r="D92" i="31" s="1"/>
  <c r="D96" i="31" a="1"/>
  <c r="D96" i="31" s="1"/>
  <c r="J48" i="27"/>
  <c r="M51" i="6"/>
  <c r="M62" i="6"/>
  <c r="M46" i="6"/>
  <c r="M47" i="6"/>
  <c r="M54" i="6"/>
  <c r="M65" i="6"/>
  <c r="M43" i="6"/>
  <c r="M50" i="6"/>
  <c r="M59" i="6"/>
  <c r="M39" i="6"/>
  <c r="M42" i="6"/>
  <c r="M55" i="6"/>
  <c r="M58" i="6"/>
  <c r="M38" i="6"/>
  <c r="C80" i="31"/>
  <c r="D80" i="31"/>
  <c r="L63" i="6"/>
  <c r="L51" i="6"/>
  <c r="R28" i="6" a="1"/>
  <c r="R28" i="6" s="1"/>
  <c r="L54" i="6"/>
  <c r="L53" i="6"/>
  <c r="L52" i="6"/>
  <c r="L60" i="6"/>
  <c r="L45" i="6"/>
  <c r="L40" i="6"/>
  <c r="L57" i="6"/>
  <c r="L41" i="6"/>
  <c r="L56" i="6"/>
  <c r="L65" i="6"/>
  <c r="L48" i="6"/>
  <c r="L64" i="6"/>
  <c r="L49" i="6"/>
  <c r="L44" i="6"/>
  <c r="F13" i="12"/>
  <c r="F108" i="31" s="1"/>
  <c r="D102" i="31" a="1"/>
  <c r="D102" i="31" s="1"/>
  <c r="L47" i="6"/>
  <c r="AA151" i="27"/>
  <c r="D100" i="31" a="1"/>
  <c r="D100" i="31" s="1"/>
  <c r="L61" i="6"/>
  <c r="R31" i="6" a="1"/>
  <c r="R31" i="6" s="1"/>
  <c r="L55" i="6"/>
  <c r="L42" i="6"/>
  <c r="L58" i="6"/>
  <c r="AA152" i="27"/>
  <c r="L62" i="6"/>
  <c r="L50" i="6"/>
  <c r="Q151" i="27"/>
  <c r="J152" i="27"/>
  <c r="Q150" i="27"/>
  <c r="L13" i="12"/>
  <c r="AA153" i="27"/>
  <c r="AH152" i="27"/>
  <c r="L43" i="6"/>
  <c r="AH151" i="27"/>
  <c r="L59" i="6"/>
  <c r="L46" i="6"/>
  <c r="L38" i="6"/>
  <c r="AH153" i="27"/>
  <c r="D101" i="31" a="1"/>
  <c r="D101" i="31" s="1"/>
  <c r="I48" i="27"/>
  <c r="L48" i="27"/>
  <c r="H48" i="27"/>
  <c r="K48" i="27"/>
  <c r="G64" i="6" l="1"/>
  <c r="F46" i="27"/>
  <c r="D47" i="27"/>
  <c r="F83" i="27"/>
  <c r="G54" i="6"/>
  <c r="D24" i="8"/>
  <c r="D83" i="27"/>
  <c r="E63" i="31"/>
  <c r="X31" i="6" a="1"/>
  <c r="X31" i="6" s="1"/>
  <c r="F47" i="27"/>
  <c r="F52" i="6"/>
  <c r="F47" i="6"/>
  <c r="F58" i="6"/>
  <c r="F38" i="6"/>
  <c r="F31" i="6" a="1"/>
  <c r="F31" i="6" s="1"/>
  <c r="F42" i="6"/>
  <c r="F45" i="6"/>
  <c r="F39" i="6"/>
  <c r="F50" i="6"/>
  <c r="F54" i="6"/>
  <c r="F61" i="6"/>
  <c r="F49" i="6"/>
  <c r="F41" i="6"/>
  <c r="F60" i="6"/>
  <c r="F46" i="6"/>
  <c r="F40" i="6"/>
  <c r="F56" i="6"/>
  <c r="F59" i="6"/>
  <c r="F43" i="6"/>
  <c r="F65" i="6"/>
  <c r="F57" i="6"/>
  <c r="F63" i="6"/>
  <c r="F62" i="6"/>
  <c r="F44" i="6"/>
  <c r="F51" i="6"/>
  <c r="F48" i="6"/>
  <c r="G57" i="6"/>
  <c r="G44" i="6"/>
  <c r="G55" i="6"/>
  <c r="G59" i="6"/>
  <c r="G39" i="6"/>
  <c r="G50" i="6"/>
  <c r="G43" i="6"/>
  <c r="G51" i="6"/>
  <c r="G47" i="6"/>
  <c r="G61" i="6"/>
  <c r="G53" i="6"/>
  <c r="G38" i="6"/>
  <c r="G63" i="6"/>
  <c r="F53" i="6"/>
  <c r="G42" i="6"/>
  <c r="G62" i="6"/>
  <c r="G28" i="6" a="1"/>
  <c r="G28" i="6" s="1"/>
  <c r="G40" i="6"/>
  <c r="G49" i="6"/>
  <c r="G118" i="27"/>
  <c r="G65" i="6"/>
  <c r="F64" i="6"/>
  <c r="G31" i="6" a="1"/>
  <c r="G31" i="6" s="1"/>
  <c r="G46" i="6"/>
  <c r="F55" i="6"/>
  <c r="G45" i="6"/>
  <c r="G52" i="6"/>
  <c r="G58" i="6"/>
  <c r="G60" i="6"/>
  <c r="G56" i="6"/>
  <c r="G41" i="6"/>
  <c r="G48" i="6"/>
  <c r="C120" i="27"/>
  <c r="G119" i="27"/>
  <c r="F123" i="27"/>
  <c r="D80" i="27"/>
  <c r="C79" i="27"/>
  <c r="F79" i="27"/>
  <c r="E28" i="31"/>
  <c r="N31" i="6" a="1"/>
  <c r="N31" i="6" s="1"/>
  <c r="N22" i="6" a="1"/>
  <c r="N22" i="6" s="1"/>
  <c r="N30" i="6" a="1"/>
  <c r="N30" i="6" s="1"/>
  <c r="E62" i="31"/>
  <c r="D20" i="8"/>
  <c r="N21" i="6" a="1"/>
  <c r="N21" i="6" s="1"/>
  <c r="N24" i="6" a="1"/>
  <c r="N24" i="6" s="1"/>
  <c r="N25" i="6" a="1"/>
  <c r="N25" i="6" s="1"/>
  <c r="N23" i="6" a="1"/>
  <c r="N23" i="6" s="1"/>
  <c r="N29" i="6" a="1"/>
  <c r="N29" i="6" s="1"/>
  <c r="N26" i="6" a="1"/>
  <c r="N26" i="6" s="1"/>
  <c r="N32" i="6" a="1"/>
  <c r="N32" i="6" s="1"/>
  <c r="N27" i="6" a="1"/>
  <c r="N27" i="6" s="1"/>
  <c r="N28" i="6" a="1"/>
  <c r="N28" i="6" s="1"/>
  <c r="H120" i="27"/>
  <c r="E84" i="27"/>
  <c r="H122" i="27"/>
  <c r="C121" i="27"/>
  <c r="F80" i="27"/>
  <c r="F121" i="27"/>
  <c r="C80" i="27"/>
  <c r="H121" i="27"/>
  <c r="H119" i="27"/>
  <c r="F120" i="27"/>
  <c r="G123" i="27"/>
  <c r="E120" i="27"/>
  <c r="H123" i="27"/>
  <c r="G120" i="27"/>
  <c r="E79" i="27"/>
  <c r="C122" i="27"/>
  <c r="D120" i="27"/>
  <c r="D118" i="27"/>
  <c r="C118" i="27"/>
  <c r="C84" i="27"/>
  <c r="E81" i="27"/>
  <c r="F81" i="27"/>
  <c r="E123" i="27"/>
  <c r="E122" i="27"/>
  <c r="D119" i="27"/>
  <c r="F119" i="27"/>
  <c r="E119" i="27"/>
  <c r="F122" i="27"/>
  <c r="H118" i="27"/>
  <c r="G122" i="27"/>
  <c r="D123" i="27"/>
  <c r="D84" i="27"/>
  <c r="F84" i="27"/>
  <c r="G121" i="27"/>
  <c r="F118" i="27"/>
  <c r="E121" i="27"/>
  <c r="E118" i="27"/>
  <c r="D122" i="27"/>
  <c r="C119" i="27"/>
  <c r="C81" i="27"/>
  <c r="D121" i="27"/>
  <c r="C123" i="27"/>
  <c r="Q154" i="27"/>
  <c r="S160" i="27" s="1"/>
  <c r="E61" i="31"/>
  <c r="D21" i="8"/>
  <c r="C23" i="8"/>
  <c r="C22" i="8"/>
  <c r="C20" i="8"/>
  <c r="N59" i="6"/>
  <c r="C25" i="8"/>
  <c r="N65" i="6"/>
  <c r="N53" i="6"/>
  <c r="N61" i="6"/>
  <c r="N56" i="6"/>
  <c r="N54" i="6"/>
  <c r="N50" i="6"/>
  <c r="N41" i="6"/>
  <c r="N62" i="6"/>
  <c r="N57" i="6"/>
  <c r="N51" i="6"/>
  <c r="N43" i="6"/>
  <c r="N44" i="6"/>
  <c r="N40" i="6"/>
  <c r="N63" i="6"/>
  <c r="N58" i="6"/>
  <c r="N47" i="6"/>
  <c r="N49" i="6"/>
  <c r="N45" i="6"/>
  <c r="N38" i="6"/>
  <c r="N42" i="6"/>
  <c r="N64" i="6"/>
  <c r="N60" i="6"/>
  <c r="N46" i="6"/>
  <c r="N55" i="6"/>
  <c r="N48" i="6"/>
  <c r="N52" i="6"/>
  <c r="N39" i="6"/>
  <c r="G46" i="27"/>
  <c r="D48" i="27"/>
  <c r="E46" i="27"/>
  <c r="C45" i="27"/>
  <c r="G48" i="27"/>
  <c r="F45" i="27"/>
  <c r="C49" i="27"/>
  <c r="G45" i="27"/>
  <c r="C47" i="27"/>
  <c r="Y156" i="27"/>
  <c r="AH156" i="27"/>
  <c r="C48" i="27"/>
  <c r="D46" i="27"/>
  <c r="E45" i="27"/>
  <c r="C46" i="27"/>
  <c r="E47" i="27"/>
  <c r="E48" i="27"/>
  <c r="F48" i="27"/>
  <c r="AA156" i="27"/>
  <c r="G47" i="27"/>
  <c r="E49" i="27"/>
  <c r="D49" i="27"/>
  <c r="G49" i="27"/>
  <c r="AF156" i="27"/>
  <c r="F49" i="27"/>
  <c r="Y31" i="6" a="1"/>
  <c r="Y31" i="6" s="1"/>
  <c r="Y30" i="6" a="1"/>
  <c r="Y30" i="6" s="1"/>
  <c r="AI156" i="27"/>
  <c r="U156" i="27"/>
  <c r="AB156" i="27"/>
  <c r="V156" i="27"/>
  <c r="AJ156" i="27"/>
  <c r="T156" i="27"/>
  <c r="W156" i="27"/>
  <c r="Z156" i="27"/>
  <c r="AG156" i="27"/>
  <c r="AC156" i="27"/>
  <c r="AD156" i="27"/>
  <c r="AE156" i="27"/>
  <c r="Y24" i="6" a="1"/>
  <c r="Y24" i="6" s="1"/>
  <c r="Y32" i="6" a="1"/>
  <c r="Y32" i="6" s="1"/>
  <c r="Y21" i="6" a="1"/>
  <c r="Y21" i="6" s="1"/>
  <c r="Y26" i="6" a="1"/>
  <c r="Y26" i="6" s="1"/>
  <c r="Y25" i="6" a="1"/>
  <c r="Y25" i="6" s="1"/>
  <c r="Y22" i="6" a="1"/>
  <c r="Y22" i="6" s="1"/>
  <c r="Y28" i="6" a="1"/>
  <c r="Y28" i="6" s="1"/>
  <c r="Q156" i="27"/>
  <c r="E34" i="31"/>
  <c r="F159" i="27"/>
  <c r="AH157" i="27"/>
  <c r="Z159" i="27"/>
  <c r="Y29" i="6" a="1"/>
  <c r="Y29" i="6" s="1"/>
  <c r="Y27" i="6" a="1"/>
  <c r="Y27" i="6" s="1"/>
  <c r="Y23" i="6" a="1"/>
  <c r="Y23" i="6" s="1"/>
  <c r="Q158" i="27"/>
  <c r="X32" i="6" a="1"/>
  <c r="X32" i="6" s="1"/>
  <c r="AH158" i="27"/>
  <c r="AG157" i="27"/>
  <c r="Z158" i="27"/>
  <c r="D156" i="27"/>
  <c r="S156" i="27"/>
  <c r="AH159" i="27"/>
  <c r="AD158" i="27"/>
  <c r="X21" i="6" a="1"/>
  <c r="X21" i="6" s="1"/>
  <c r="X27" i="6" a="1"/>
  <c r="X27" i="6" s="1"/>
  <c r="D158" i="27"/>
  <c r="N158" i="27"/>
  <c r="E158" i="27"/>
  <c r="K158" i="27"/>
  <c r="J158" i="27"/>
  <c r="O158" i="27"/>
  <c r="P158" i="27"/>
  <c r="H158" i="27"/>
  <c r="L158" i="27"/>
  <c r="S158" i="27"/>
  <c r="R158" i="27"/>
  <c r="C158" i="27"/>
  <c r="G158" i="27"/>
  <c r="I156" i="27"/>
  <c r="Q157" i="27"/>
  <c r="I157" i="27"/>
  <c r="N157" i="27"/>
  <c r="R157" i="27"/>
  <c r="P157" i="27"/>
  <c r="H157" i="27"/>
  <c r="G157" i="27"/>
  <c r="F157" i="27"/>
  <c r="D157" i="27"/>
  <c r="K157" i="27"/>
  <c r="C157" i="27"/>
  <c r="L157" i="27"/>
  <c r="J157" i="27"/>
  <c r="S157" i="27"/>
  <c r="O157" i="27"/>
  <c r="E157" i="27"/>
  <c r="M158" i="27"/>
  <c r="K156" i="27"/>
  <c r="M156" i="27"/>
  <c r="C79" i="31"/>
  <c r="D79" i="31"/>
  <c r="X26" i="6" a="1"/>
  <c r="X26" i="6" s="1"/>
  <c r="W159" i="27"/>
  <c r="T159" i="27"/>
  <c r="V159" i="27"/>
  <c r="AD159" i="27"/>
  <c r="AJ159" i="27"/>
  <c r="AI159" i="27"/>
  <c r="AA159" i="27"/>
  <c r="X159" i="27"/>
  <c r="AC159" i="27"/>
  <c r="Y159" i="27"/>
  <c r="U159" i="27"/>
  <c r="AE159" i="27"/>
  <c r="AF159" i="27"/>
  <c r="AB159" i="27"/>
  <c r="F158" i="27"/>
  <c r="G156" i="27"/>
  <c r="L156" i="27"/>
  <c r="M157" i="27"/>
  <c r="X30" i="6" a="1"/>
  <c r="X30" i="6" s="1"/>
  <c r="V158" i="27"/>
  <c r="AA158" i="27"/>
  <c r="Y158" i="27"/>
  <c r="AF158" i="27"/>
  <c r="T158" i="27"/>
  <c r="AJ158" i="27"/>
  <c r="U158" i="27"/>
  <c r="AC158" i="27"/>
  <c r="AE158" i="27"/>
  <c r="W158" i="27"/>
  <c r="AB158" i="27"/>
  <c r="X158" i="27"/>
  <c r="AI158" i="27"/>
  <c r="N159" i="27"/>
  <c r="J159" i="27"/>
  <c r="AG159" i="27"/>
  <c r="Q159" i="27"/>
  <c r="O159" i="27"/>
  <c r="E156" i="27"/>
  <c r="O156" i="27"/>
  <c r="C156" i="27"/>
  <c r="H159" i="27"/>
  <c r="X28" i="6" a="1"/>
  <c r="X28" i="6" s="1"/>
  <c r="AG158" i="27"/>
  <c r="G159" i="27"/>
  <c r="E159" i="27"/>
  <c r="C159" i="27"/>
  <c r="M159" i="27"/>
  <c r="L159" i="27"/>
  <c r="P156" i="27"/>
  <c r="J156" i="27"/>
  <c r="N156" i="27"/>
  <c r="X23" i="6" a="1"/>
  <c r="X23" i="6" s="1"/>
  <c r="I158" i="27"/>
  <c r="R159" i="27"/>
  <c r="K159" i="27"/>
  <c r="W157" i="27"/>
  <c r="H156" i="27"/>
  <c r="R156" i="27"/>
  <c r="X24" i="6" a="1"/>
  <c r="X24" i="6" s="1"/>
  <c r="X22" i="6" a="1"/>
  <c r="X22" i="6" s="1"/>
  <c r="S159" i="27"/>
  <c r="X25" i="6" a="1"/>
  <c r="X25" i="6" s="1"/>
  <c r="I159" i="27"/>
  <c r="D159" i="27"/>
  <c r="P159" i="27"/>
  <c r="AA157" i="27"/>
  <c r="X157" i="27"/>
  <c r="T157" i="27"/>
  <c r="AC157" i="27"/>
  <c r="AF157" i="27"/>
  <c r="AD157" i="27"/>
  <c r="AJ157" i="27"/>
  <c r="AI157" i="27"/>
  <c r="Z157" i="27"/>
  <c r="V157" i="27"/>
  <c r="U157" i="27"/>
  <c r="Y157" i="27"/>
  <c r="AB157" i="27"/>
  <c r="AE157" i="27"/>
  <c r="X29" i="6" a="1"/>
  <c r="X29" i="6" s="1"/>
  <c r="F156" i="27"/>
  <c r="C23" i="31" l="1"/>
  <c r="M30" i="6" a="1"/>
  <c r="M30" i="6" s="1"/>
  <c r="M21" i="6" a="1"/>
  <c r="M21" i="6" s="1"/>
  <c r="M24" i="6" a="1"/>
  <c r="M24" i="6" s="1"/>
  <c r="M32" i="6" a="1"/>
  <c r="M32" i="6" s="1"/>
  <c r="M27" i="6" a="1"/>
  <c r="M27" i="6" s="1"/>
  <c r="M29" i="6" a="1"/>
  <c r="M29" i="6" s="1"/>
  <c r="M25" i="6" a="1"/>
  <c r="M25" i="6" s="1"/>
  <c r="M31" i="6" a="1"/>
  <c r="M31" i="6" s="1"/>
  <c r="M22" i="6" a="1"/>
  <c r="M22" i="6" s="1"/>
  <c r="M26" i="6" a="1"/>
  <c r="M26" i="6" s="1"/>
  <c r="M23" i="6" a="1"/>
  <c r="M23" i="6" s="1"/>
  <c r="M28" i="6" a="1"/>
  <c r="M28" i="6" s="1"/>
  <c r="D23" i="31"/>
  <c r="L31" i="6" a="1"/>
  <c r="L31" i="6" s="1"/>
  <c r="L25" i="6" a="1"/>
  <c r="L25" i="6" s="1"/>
  <c r="L30" i="6" a="1"/>
  <c r="L30" i="6" s="1"/>
  <c r="L26" i="6" a="1"/>
  <c r="L26" i="6" s="1"/>
  <c r="L32" i="6" a="1"/>
  <c r="L32" i="6" s="1"/>
  <c r="L21" i="6" a="1"/>
  <c r="L21" i="6" s="1"/>
  <c r="L22" i="6" a="1"/>
  <c r="L22" i="6" s="1"/>
  <c r="L28" i="6" a="1"/>
  <c r="L28" i="6" s="1"/>
  <c r="L23" i="6" a="1"/>
  <c r="L23" i="6" s="1"/>
  <c r="L24" i="6" a="1"/>
  <c r="L24" i="6" s="1"/>
  <c r="L27" i="6" a="1"/>
  <c r="L27" i="6" s="1"/>
  <c r="L29" i="6" a="1"/>
  <c r="L29" i="6" s="1"/>
  <c r="C22" i="31"/>
  <c r="M160" i="27"/>
  <c r="D21" i="31"/>
  <c r="J160" i="27"/>
  <c r="C21" i="31"/>
  <c r="E160" i="27"/>
  <c r="G160" i="27"/>
  <c r="P160" i="27"/>
  <c r="L160" i="27"/>
  <c r="Q160" i="27"/>
  <c r="D160" i="27"/>
  <c r="C160" i="27"/>
  <c r="K160" i="27"/>
  <c r="N160" i="27"/>
  <c r="R160" i="27"/>
  <c r="H160" i="27"/>
  <c r="F160" i="27"/>
  <c r="I160" i="27"/>
  <c r="D24" i="31"/>
  <c r="C24" i="31"/>
  <c r="D22" i="31"/>
  <c r="O160" i="27"/>
</calcChain>
</file>

<file path=xl/sharedStrings.xml><?xml version="1.0" encoding="utf-8"?>
<sst xmlns="http://schemas.openxmlformats.org/spreadsheetml/2006/main" count="915" uniqueCount="293">
  <si>
    <t>Common Advice Performance Management Reporting Framework Summary 2022/23</t>
  </si>
  <si>
    <t>Midlothian</t>
  </si>
  <si>
    <t>Contents</t>
  </si>
  <si>
    <t>Notes &amp; Caveats</t>
  </si>
  <si>
    <t>Tables</t>
  </si>
  <si>
    <t>Services</t>
  </si>
  <si>
    <t>Demographics</t>
  </si>
  <si>
    <t>Debt</t>
  </si>
  <si>
    <t>Funding</t>
  </si>
  <si>
    <t>Volume</t>
  </si>
  <si>
    <t>Financial Gain</t>
  </si>
  <si>
    <t>Return to Contents</t>
  </si>
  <si>
    <t>The information presented in this spreadsheet relates to data from money and welfare rights advice services funded by local authorities in Scotland, covering the period 1st April 2022 - 31st March 2023.</t>
  </si>
  <si>
    <t xml:space="preserve">This data is presented at a Scotland level which is aggregated from data returns from 32 Scottish local authorities. </t>
  </si>
  <si>
    <t xml:space="preserve">Please note that several caveats apply to the data supplied, which must be considered when interpreting findings. </t>
  </si>
  <si>
    <t xml:space="preserve">These gaps often occur when some services cannot record the data in the format defined in the Indicator Guide. </t>
  </si>
  <si>
    <t xml:space="preserve">An overview of these gaps is provided below. </t>
  </si>
  <si>
    <t>General</t>
  </si>
  <si>
    <t xml:space="preserve">2020/21 figures cover the period 1st April 2020 - 31st March 2021. Money and Welfare Rights Advice Services were heavily impacted my COVID-19 lockdown restrictions during this period, with face-to-face appointments  severely limited. These restrictions, alongside changes to working practices and changes in the nature of advice required has resulted in a decrease in overall volume of advice provided for some services. There was also difficulty recording some data during this period. Therefore, figures for 2020/21 may be lower than previous years, however this does not necessarily reflect a decrease in demand.  </t>
  </si>
  <si>
    <t xml:space="preserve">2019/20 figures cover the period 1st April 2019 – 31st March 2020. The majority of the reporting period predates the COVID-19 crisis, and as such does not reflect the changes to service demand and delivery resulting from this crisis. As the reporting period covers March 2020 some figures may have been partially influenced by changes caused by the pandemic, however this impact is minimal.  </t>
  </si>
  <si>
    <t xml:space="preserve">Some services have multiple funding streams and therefore it can be difficult to extract data that specifically relates to local authority funded activity. 
Some services can more easily extract data relating to local authority funded activity only. However, in other services local authority funding may be spread across different resources and therefore multiple funding streams contribute to the work of advisors. As such some figures may include activitty not directly funded by the local authority and changes over time may be relate to fluctuations in the proportion of activity attributed to local authority funding. </t>
  </si>
  <si>
    <t xml:space="preserve">To illustrate how the demographics of clients accessing the services compares with the population of Scotland, comparisons have been made using data from the 2021 Scottish Household Survey (SHS). This helps demonstrate which demographic groups are overrepresented or underrepresented within advice services. </t>
  </si>
  <si>
    <t>Table C2.1</t>
  </si>
  <si>
    <t>Table C2.2</t>
  </si>
  <si>
    <t>Table C2.3</t>
  </si>
  <si>
    <t>Table C2.4</t>
  </si>
  <si>
    <t>Table C2.5</t>
  </si>
  <si>
    <t>Prior to 2020/21 totals were calculated as an aggregate of breakdown figures. These breakdowns may have included the same client more than once and therefore the totals may have been overinflated. Therefore the totals are not directly comparable year on year.</t>
  </si>
  <si>
    <t>Table C3.1</t>
  </si>
  <si>
    <t>Table C3.2</t>
  </si>
  <si>
    <t>Not all services are able to extract the specific local authority funding that can be attributed to money and welfare rights advice. As such, some of the funding for external services may have included funding for other areas of advice such as housing and employment.</t>
  </si>
  <si>
    <t>Table I2.1</t>
  </si>
  <si>
    <t>Table I2.2</t>
  </si>
  <si>
    <t>Table A1.1</t>
  </si>
  <si>
    <t>Table A1.2</t>
  </si>
  <si>
    <t>Table OC1.1</t>
  </si>
  <si>
    <t>External Services</t>
  </si>
  <si>
    <t>Clients by Demographics</t>
  </si>
  <si>
    <t>Gender</t>
  </si>
  <si>
    <t>Age</t>
  </si>
  <si>
    <t>Ethnicity</t>
  </si>
  <si>
    <t>Household Income</t>
  </si>
  <si>
    <t>Household Composition</t>
  </si>
  <si>
    <t>Table C2.1 Money and Welfare Rights Advice Clients by Gender in 2017/18 to 2022/23</t>
  </si>
  <si>
    <t>Clients</t>
  </si>
  <si>
    <t>Population (SHS)</t>
  </si>
  <si>
    <t>Scotland</t>
  </si>
  <si>
    <t>Male</t>
  </si>
  <si>
    <t>Female</t>
  </si>
  <si>
    <t>Not Recorded</t>
  </si>
  <si>
    <t>Prefer not to answer</t>
  </si>
  <si>
    <t>Identified in another way</t>
  </si>
  <si>
    <t>Refused</t>
  </si>
  <si>
    <t>Number</t>
  </si>
  <si>
    <t>2017/18</t>
  </si>
  <si>
    <t>-</t>
  </si>
  <si>
    <t>2018/19</t>
  </si>
  <si>
    <t>2019/20</t>
  </si>
  <si>
    <t>2020/21</t>
  </si>
  <si>
    <t>2021/22</t>
  </si>
  <si>
    <t>2022/23</t>
  </si>
  <si>
    <t>Proportion</t>
  </si>
  <si>
    <r>
      <t>Table C2.2 Money and Welfare Rights Advice Clients by Age Bracket in 2017/18 to 2022/23</t>
    </r>
    <r>
      <rPr>
        <vertAlign val="superscript"/>
        <sz val="11"/>
        <color theme="1"/>
        <rFont val="Calibri"/>
        <family val="2"/>
        <scheme val="minor"/>
      </rPr>
      <t>1</t>
    </r>
  </si>
  <si>
    <t>General Breakdown</t>
  </si>
  <si>
    <t>16-34</t>
  </si>
  <si>
    <t>35-59</t>
  </si>
  <si>
    <t>60+</t>
  </si>
  <si>
    <t>Detailed Breakdown</t>
  </si>
  <si>
    <t>0-15</t>
  </si>
  <si>
    <t>16-24</t>
  </si>
  <si>
    <t>25-34</t>
  </si>
  <si>
    <t>35-44</t>
  </si>
  <si>
    <t>45-59</t>
  </si>
  <si>
    <t>60-64</t>
  </si>
  <si>
    <t>65-70</t>
  </si>
  <si>
    <t>71+</t>
  </si>
  <si>
    <t>Number of Clients</t>
  </si>
  <si>
    <t>Proportion of Clients</t>
  </si>
  <si>
    <t>Table C2.3 Money &amp; Welfare Rights Advice Clients by Ethnicity in 2017/18 to 2022/23</t>
  </si>
  <si>
    <t>White</t>
  </si>
  <si>
    <t>Minority Ethnic Groups</t>
  </si>
  <si>
    <t>Not recorded</t>
  </si>
  <si>
    <t>Don't know</t>
  </si>
  <si>
    <t>Mixed or Multiple Ethnic Groups</t>
  </si>
  <si>
    <t>Asian, Asian Scottish or Asian British</t>
  </si>
  <si>
    <t>African</t>
  </si>
  <si>
    <t>Caribbean or Black</t>
  </si>
  <si>
    <t>Other Ethnic Group</t>
  </si>
  <si>
    <r>
      <t>Table C2.4 Money Advice Clients by Household Income in 2017/18 to 2022/23</t>
    </r>
    <r>
      <rPr>
        <vertAlign val="superscript"/>
        <sz val="11"/>
        <color theme="1"/>
        <rFont val="Calibri"/>
        <family val="2"/>
        <scheme val="minor"/>
      </rPr>
      <t>2</t>
    </r>
  </si>
  <si>
    <t>Income</t>
  </si>
  <si>
    <t>£10,000 or less</t>
  </si>
  <si>
    <t>£10,001-£20,000</t>
  </si>
  <si>
    <t>£20,001-£30,000</t>
  </si>
  <si>
    <t>Over £30,000</t>
  </si>
  <si>
    <t>£6,000 or less</t>
  </si>
  <si>
    <t>£6,001-£10,000</t>
  </si>
  <si>
    <t>£10,001-£15,000</t>
  </si>
  <si>
    <t>£15,001-£20,000</t>
  </si>
  <si>
    <t>£20,001-£25,000</t>
  </si>
  <si>
    <t>£25,001-£30,000</t>
  </si>
  <si>
    <t>£30,001-£40,000</t>
  </si>
  <si>
    <t>Over £40,000</t>
  </si>
  <si>
    <r>
      <t>Table C2.5 Money and Welfare Rights Advice Clients by Household Composition in 2018/19 to 2021/22</t>
    </r>
    <r>
      <rPr>
        <vertAlign val="superscript"/>
        <sz val="11"/>
        <color theme="1"/>
        <rFont val="Calibri"/>
        <family val="2"/>
        <scheme val="minor"/>
      </rPr>
      <t>1</t>
    </r>
  </si>
  <si>
    <t>Households with children</t>
  </si>
  <si>
    <t>Households with no children</t>
  </si>
  <si>
    <t>Single Parent Families</t>
  </si>
  <si>
    <t>Two Parent Families</t>
  </si>
  <si>
    <t>Single Households</t>
  </si>
  <si>
    <t>Family Households</t>
  </si>
  <si>
    <r>
      <t>Small Single Parent</t>
    </r>
    <r>
      <rPr>
        <vertAlign val="superscript"/>
        <sz val="10"/>
        <color theme="1"/>
        <rFont val="Calibri"/>
        <family val="2"/>
        <scheme val="minor"/>
      </rPr>
      <t>3</t>
    </r>
  </si>
  <si>
    <r>
      <t>Large Single Parent</t>
    </r>
    <r>
      <rPr>
        <vertAlign val="superscript"/>
        <sz val="10"/>
        <color theme="1"/>
        <rFont val="Calibri"/>
        <family val="2"/>
        <scheme val="minor"/>
      </rPr>
      <t>4</t>
    </r>
  </si>
  <si>
    <r>
      <t>Young Single Parent</t>
    </r>
    <r>
      <rPr>
        <vertAlign val="superscript"/>
        <sz val="10"/>
        <color theme="1"/>
        <rFont val="Calibri"/>
        <family val="2"/>
        <scheme val="minor"/>
      </rPr>
      <t>5</t>
    </r>
  </si>
  <si>
    <t>Total Single Parent Families</t>
  </si>
  <si>
    <t>Family Household</t>
  </si>
  <si>
    <r>
      <t>Large Family Household</t>
    </r>
    <r>
      <rPr>
        <vertAlign val="superscript"/>
        <sz val="10"/>
        <color theme="1"/>
        <rFont val="Calibri"/>
        <family val="2"/>
        <scheme val="minor"/>
      </rPr>
      <t>6</t>
    </r>
  </si>
  <si>
    <t>Total Two Parent Households</t>
  </si>
  <si>
    <t>Total Households with children</t>
  </si>
  <si>
    <t>Single Adult</t>
  </si>
  <si>
    <t>Single Pensioner</t>
  </si>
  <si>
    <t>Total Single Households</t>
  </si>
  <si>
    <t>Adult Family Household</t>
  </si>
  <si>
    <t>Older Family Household</t>
  </si>
  <si>
    <t>Total Family Households (no children)</t>
  </si>
  <si>
    <t>Total Households with no children</t>
  </si>
  <si>
    <t>1. Categories have changed between 2017/18 and 2018/19</t>
  </si>
  <si>
    <t>2. 2022/23 data relates to money advice clients only, previous years may have included some welfare rights advice clients</t>
  </si>
  <si>
    <t>3. Single parent family with 1 or 2 children</t>
  </si>
  <si>
    <t>4. Single parent family with 3 or more children</t>
  </si>
  <si>
    <t>5. Single parent under the age of 25 with 1 or more children</t>
  </si>
  <si>
    <t>6. Two parent family with 3 or more children</t>
  </si>
  <si>
    <t>Debt Clients and Amount Owed</t>
  </si>
  <si>
    <t>Total Clients &amp; Amount Owed</t>
  </si>
  <si>
    <t>Breakdown of Amount Owed</t>
  </si>
  <si>
    <r>
      <t>Table C3.1 Total number of debt clients and amount owed in 2017/18 to 2022/23</t>
    </r>
    <r>
      <rPr>
        <vertAlign val="superscript"/>
        <sz val="11"/>
        <color theme="1"/>
        <rFont val="Calibri"/>
        <family val="2"/>
        <scheme val="minor"/>
      </rPr>
      <t>1</t>
    </r>
  </si>
  <si>
    <t>Total number of debt clients</t>
  </si>
  <si>
    <t>Total amount owed</t>
  </si>
  <si>
    <t>Table C3.2 Amount Owed by Debt Clients for Each Debt Type in 2017/18 to 2022/23</t>
  </si>
  <si>
    <t>Amount Owed</t>
  </si>
  <si>
    <t>Debt Type</t>
  </si>
  <si>
    <t>Bank and Building Society overdrafts</t>
  </si>
  <si>
    <t>Benefit overpayment</t>
  </si>
  <si>
    <t>Catalogue debts</t>
  </si>
  <si>
    <t>Council Tax arrears</t>
  </si>
  <si>
    <t>Credit, store and charge card debts</t>
  </si>
  <si>
    <t>Mortgage arrears</t>
  </si>
  <si>
    <t>High-cost credit</t>
  </si>
  <si>
    <t>Rent arrears</t>
  </si>
  <si>
    <t>Rent-to-Own debts</t>
  </si>
  <si>
    <t>Personal Loan</t>
  </si>
  <si>
    <t>Utility arrears</t>
  </si>
  <si>
    <t>Other</t>
  </si>
  <si>
    <r>
      <t>Debt Type</t>
    </r>
    <r>
      <rPr>
        <b/>
        <vertAlign val="superscript"/>
        <sz val="11"/>
        <color theme="1"/>
        <rFont val="Calibri"/>
        <family val="2"/>
        <scheme val="minor"/>
      </rPr>
      <t>2</t>
    </r>
  </si>
  <si>
    <t>Business debts</t>
  </si>
  <si>
    <t>Court Fines</t>
  </si>
  <si>
    <t>DWP</t>
  </si>
  <si>
    <t>Family/Friends loan</t>
  </si>
  <si>
    <t>HMRC</t>
  </si>
  <si>
    <t>Legal Fees</t>
  </si>
  <si>
    <t>Maintenance/child support</t>
  </si>
  <si>
    <t>Penalty Charge Notices</t>
  </si>
  <si>
    <t>Housing Association Rent Arrears</t>
  </si>
  <si>
    <t>Local Authority Rent Arrears</t>
  </si>
  <si>
    <t>Private Rent Arrears</t>
  </si>
  <si>
    <t>Student debts</t>
  </si>
  <si>
    <t>Unpaid Bill</t>
  </si>
  <si>
    <t>Utility Arrears</t>
  </si>
  <si>
    <t>Electricity</t>
  </si>
  <si>
    <t>Gas</t>
  </si>
  <si>
    <t>Phone/internet/telecom bills</t>
  </si>
  <si>
    <t>1. Full breakdown by debt type is not always available, therefore Scotland totals may be higher than the sum of the breakdown. Prior to 2020/21 figures for clients may have counted the same client more than once</t>
  </si>
  <si>
    <t>2. Additional breakdown categories were added in 2020/21</t>
  </si>
  <si>
    <t>Local Authority Funding</t>
  </si>
  <si>
    <t>Proportion of LA funding</t>
  </si>
  <si>
    <t>Table I2.1 Local Authority Funding for Each Type of Provision in 2017/18 to 2022/23</t>
  </si>
  <si>
    <t>Internal</t>
  </si>
  <si>
    <t>External</t>
  </si>
  <si>
    <t>Total LA Funding</t>
  </si>
  <si>
    <t>Table I2.2 Local Authority Funding as a proportion of all funding for money and welfare rights advice 2022/23</t>
  </si>
  <si>
    <t>Total</t>
  </si>
  <si>
    <t>All funding (including funding from other sources)</t>
  </si>
  <si>
    <t>Local authority funding as a proportion of all funding</t>
  </si>
  <si>
    <t>Year</t>
  </si>
  <si>
    <t>Deflator</t>
  </si>
  <si>
    <t>2010-11</t>
  </si>
  <si>
    <t>2011-12</t>
  </si>
  <si>
    <t>2012-13</t>
  </si>
  <si>
    <t>2013-14</t>
  </si>
  <si>
    <t>2014-15</t>
  </si>
  <si>
    <t>2015-16</t>
  </si>
  <si>
    <t>2016-17</t>
  </si>
  <si>
    <t>2017-18</t>
  </si>
  <si>
    <t>2018-19</t>
  </si>
  <si>
    <t>2019-20</t>
  </si>
  <si>
    <t>2020-21</t>
  </si>
  <si>
    <t>Clients &amp; New Clients</t>
  </si>
  <si>
    <t>Contact Channel</t>
  </si>
  <si>
    <t>Table A1.1 Total Number of Clients and New Clients in 2017/18 to 2022/23</t>
  </si>
  <si>
    <t>Activity</t>
  </si>
  <si>
    <t>Total Clients</t>
  </si>
  <si>
    <t>New Clients</t>
  </si>
  <si>
    <t>Table A1.2 Initial Contacts by Channel in 2017/18 to 2022/23</t>
  </si>
  <si>
    <t>Initial Contacts by Channel</t>
  </si>
  <si>
    <t>Email</t>
  </si>
  <si>
    <t>Face-to-face</t>
  </si>
  <si>
    <t>Telephone</t>
  </si>
  <si>
    <t>Web</t>
  </si>
  <si>
    <t>Webchat</t>
  </si>
  <si>
    <t>Total Financial Gain</t>
  </si>
  <si>
    <t>Table OC1.1 Total verified and unverified financial gain, 2017/18 to 2022/23</t>
  </si>
  <si>
    <t>Type of Financial Gain</t>
  </si>
  <si>
    <t>Total verified welfare benefits financial gain</t>
  </si>
  <si>
    <t>Total verified money advice financial gain</t>
  </si>
  <si>
    <t>Total Verified Financial Gain</t>
  </si>
  <si>
    <t>Gender Chart</t>
  </si>
  <si>
    <t>Scotland Clients</t>
  </si>
  <si>
    <t>Scotland Population (SHS)</t>
  </si>
  <si>
    <t>Disability Chart</t>
  </si>
  <si>
    <t>Disability</t>
  </si>
  <si>
    <t>No Disability</t>
  </si>
  <si>
    <t>Income Chart</t>
  </si>
  <si>
    <t>Less than £15,000</t>
  </si>
  <si>
    <t>More than £15,000</t>
  </si>
  <si>
    <t>Ethnicity Chart</t>
  </si>
  <si>
    <t>Total Ethnic Minority Groups</t>
  </si>
  <si>
    <t>Debt Clients Chart</t>
  </si>
  <si>
    <t>Debt Owed Chart</t>
  </si>
  <si>
    <t>Funding Chart</t>
  </si>
  <si>
    <t>Volume Chart</t>
  </si>
  <si>
    <t>Referral Chart</t>
  </si>
  <si>
    <t>Self-referrals</t>
  </si>
  <si>
    <t>Referrals from other organisations/services</t>
  </si>
  <si>
    <t>Debt Strategy Chart</t>
  </si>
  <si>
    <t>Debt Strategy Agreed</t>
  </si>
  <si>
    <t>Awaiting Outcome</t>
  </si>
  <si>
    <t>Did not agree a debt strategy</t>
  </si>
  <si>
    <t>Welfare Rights Activity Chart</t>
  </si>
  <si>
    <t>Claims</t>
  </si>
  <si>
    <t>Mandatory Reconsiderations</t>
  </si>
  <si>
    <t>Appeals</t>
  </si>
  <si>
    <t>Financial Gain Chart</t>
  </si>
  <si>
    <t>Verified Financial Gain</t>
  </si>
  <si>
    <t>LA Only Chart</t>
  </si>
  <si>
    <t>Total Local Authority Funding</t>
  </si>
  <si>
    <t>Aberdeen City</t>
  </si>
  <si>
    <t>Aberdeenshire</t>
  </si>
  <si>
    <t>Angus</t>
  </si>
  <si>
    <t>Argyll &amp; Bute</t>
  </si>
  <si>
    <t>Clackmannanshire</t>
  </si>
  <si>
    <t>Dumfries &amp; Galloway</t>
  </si>
  <si>
    <t>Dundee City</t>
  </si>
  <si>
    <t>East Ayrshire</t>
  </si>
  <si>
    <t>East Dunbartonshire</t>
  </si>
  <si>
    <t>East Lothian</t>
  </si>
  <si>
    <t>East Renfrewshire</t>
  </si>
  <si>
    <t>Edinburgh City</t>
  </si>
  <si>
    <t>Na h-Eileanan an Iar</t>
  </si>
  <si>
    <t>Falkirk</t>
  </si>
  <si>
    <t>Fife</t>
  </si>
  <si>
    <t>Glasgow City</t>
  </si>
  <si>
    <t>Highland</t>
  </si>
  <si>
    <t>Inverclyde</t>
  </si>
  <si>
    <t>Moray</t>
  </si>
  <si>
    <t>North Ayrshire</t>
  </si>
  <si>
    <t>North Lanarkshire</t>
  </si>
  <si>
    <t>Orkney Islands</t>
  </si>
  <si>
    <t>Perth &amp; Kinross</t>
  </si>
  <si>
    <t>Renfrewshire</t>
  </si>
  <si>
    <t>Scottish Borders</t>
  </si>
  <si>
    <t>Shetland</t>
  </si>
  <si>
    <t>South Ayrshire</t>
  </si>
  <si>
    <t>South Lanarkshire</t>
  </si>
  <si>
    <t>Stirling</t>
  </si>
  <si>
    <t>West Dunbartonshire</t>
  </si>
  <si>
    <t>West Lothian</t>
  </si>
  <si>
    <t>Table A1.2 - 2022/23 and 2018/19 figures do not include Dalkeith CAB or Penicuik CAB.</t>
  </si>
  <si>
    <t xml:space="preserve">Table C2.4 - 2018/19 figures do not include Midlothian Council Welfare Rights Team. </t>
  </si>
  <si>
    <t>Table C2.5 - 2021/22, 2020/21, 2019/20 and 2018/19 figures do not include Midlothian Council Welfare Rights Team.</t>
  </si>
  <si>
    <t>Table C3.2 - 2017/18 figures do not include Penicuik CAB.</t>
  </si>
  <si>
    <t>Table C3.1 - 2017/18 figures for total amount owed do not include Penicuik CAB.</t>
  </si>
  <si>
    <t>Table I2.1 - 2020/21 figures for Midlothian Council Welfare Rights Team have been overstated.</t>
  </si>
  <si>
    <t>Table A1.1 - 2018/19 figures for New Clients do not include Penicuik CAB.</t>
  </si>
  <si>
    <r>
      <t xml:space="preserve">The Common Advice Performance Management Reporting Framework (CAPMRF) has been developed in consultation with local authorities and other key stakeholders. 
It aims to measure key performance indicators for money and welfare rights advice services funded by local authorities on both an in-house and commissioned basis. 
</t>
    </r>
    <r>
      <rPr>
        <b/>
        <sz val="11"/>
        <color theme="1"/>
        <rFont val="Calibri"/>
        <family val="2"/>
        <scheme val="minor"/>
      </rPr>
      <t>This is a summary of the key findings from the data returns for 2022/23 for Midlothian council.</t>
    </r>
  </si>
  <si>
    <t>In 2021/22 Midlothian Council funded 3 services to deliver Money and Welfare Rights Advice.</t>
  </si>
  <si>
    <t>One of these services is delivered internally within the council whilst the other two are externally commissioned to deliver advice.</t>
  </si>
  <si>
    <t xml:space="preserve">These services are listed below. </t>
  </si>
  <si>
    <t>Internal Service</t>
  </si>
  <si>
    <t>Service Name</t>
  </si>
  <si>
    <t>Advice Provided</t>
  </si>
  <si>
    <t>Midlothian Council Welfare Rights Team</t>
  </si>
  <si>
    <t>Welfare Rights Advice Only</t>
  </si>
  <si>
    <t>Dalkeith CAB</t>
  </si>
  <si>
    <t>Money &amp; Welfare Rights Advice</t>
  </si>
  <si>
    <t>Penicuik CAB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</si>
</sst>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_-* #,##0_-;\-* #,##0_-;_-* &quot;-&quot;??_-;_-@_-"/>
    <numFmt numFmtId="165" formatCode="0.0%"/>
    <numFmt numFmtId="166" formatCode="&quot;£&quot;#,##0"/>
    <numFmt numFmtId="167" formatCode="&quot;£&quot;#,##0.00"/>
    <numFmt numFmtId="168" formatCode="&quot;£&quot;#,##0.0"/>
  </numFmts>
  <fonts count="22"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vertAlign val="superscript"/>
      <sz val="11"/>
      <color theme="1"/>
      <name val="Calibri"/>
      <family val="2"/>
      <scheme val="minor"/>
    </font>
    <font>
      <b/>
      <sz val="14"/>
      <color theme="1"/>
      <name val="Calibri"/>
      <family val="2"/>
      <scheme val="minor"/>
    </font>
    <font>
      <u/>
      <sz val="11"/>
      <color theme="10"/>
      <name val="Calibri"/>
      <family val="2"/>
      <scheme val="minor"/>
    </font>
    <font>
      <b/>
      <sz val="10"/>
      <color theme="1"/>
      <name val="Calibri"/>
      <family val="2"/>
      <scheme val="minor"/>
    </font>
    <font>
      <sz val="10"/>
      <color theme="1"/>
      <name val="Calibri"/>
      <family val="2"/>
      <scheme val="minor"/>
    </font>
    <font>
      <vertAlign val="superscript"/>
      <sz val="10"/>
      <color theme="1"/>
      <name val="Calibri"/>
      <family val="2"/>
      <scheme val="minor"/>
    </font>
    <font>
      <sz val="8"/>
      <name val="Calibri"/>
      <family val="2"/>
      <scheme val="minor"/>
    </font>
    <font>
      <sz val="11"/>
      <name val="Calibri"/>
      <family val="2"/>
      <scheme val="minor"/>
    </font>
    <font>
      <sz val="11"/>
      <color rgb="FF000000"/>
      <name val="Calibri"/>
      <family val="2"/>
      <scheme val="minor"/>
    </font>
    <font>
      <b/>
      <sz val="11"/>
      <color theme="0"/>
      <name val="Calibri"/>
      <family val="2"/>
      <scheme val="minor"/>
    </font>
    <font>
      <b/>
      <sz val="16"/>
      <color theme="1"/>
      <name val="Calibri"/>
      <family val="2"/>
      <scheme val="minor"/>
    </font>
    <font>
      <sz val="11"/>
      <name val="Calibri"/>
      <family val="2"/>
    </font>
    <font>
      <i/>
      <sz val="11"/>
      <color theme="1"/>
      <name val="Calibri"/>
      <family val="2"/>
      <scheme val="minor"/>
    </font>
    <font>
      <vertAlign val="superscript"/>
      <sz val="11"/>
      <color theme="1"/>
      <name val="Calibri"/>
      <family val="2"/>
      <scheme val="minor"/>
    </font>
    <font>
      <b/>
      <sz val="11"/>
      <name val="Calibri"/>
      <family val="2"/>
      <scheme val="minor"/>
    </font>
    <font>
      <sz val="11"/>
      <color rgb="FF000000"/>
      <name val="Calibri"/>
      <family val="2"/>
    </font>
    <font>
      <sz val="11"/>
      <name val="Calibri"/>
      <family val="2"/>
      <charset val="1"/>
    </font>
    <font>
      <b/>
      <sz val="11"/>
      <color rgb="FF00000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4" tint="0.39997558519241921"/>
        <bgColor indexed="64"/>
      </patternFill>
    </fill>
    <fill>
      <patternFill patternType="solid">
        <fgColor rgb="FFFFFFFF"/>
        <bgColor rgb="FF000000"/>
      </patternFill>
    </fill>
    <fill>
      <patternFill patternType="solid">
        <fgColor rgb="FFE7E6E6"/>
        <bgColor rgb="FF000000"/>
      </patternFill>
    </fill>
  </fills>
  <borders count="70">
    <border>
      <left/>
      <right/>
      <top/>
      <bottom/>
      <diagonal/>
    </border>
    <border>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right/>
      <top/>
      <bottom style="thin">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diagonal/>
    </border>
    <border>
      <left style="medium">
        <color indexed="64"/>
      </left>
      <right/>
      <top/>
      <bottom/>
      <diagonal/>
    </border>
    <border>
      <left/>
      <right/>
      <top style="medium">
        <color indexed="64"/>
      </top>
      <bottom/>
      <diagonal/>
    </border>
    <border>
      <left style="thin">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top/>
      <bottom style="hair">
        <color indexed="64"/>
      </bottom>
      <diagonal/>
    </border>
    <border>
      <left style="dashDotDot">
        <color indexed="64"/>
      </left>
      <right/>
      <top/>
      <bottom style="medium">
        <color indexed="64"/>
      </bottom>
      <diagonal/>
    </border>
    <border>
      <left style="dashDotDot">
        <color indexed="64"/>
      </left>
      <right/>
      <top/>
      <bottom style="hair">
        <color indexed="64"/>
      </bottom>
      <diagonal/>
    </border>
    <border>
      <left style="dashDotDot">
        <color indexed="64"/>
      </left>
      <right/>
      <top style="medium">
        <color indexed="64"/>
      </top>
      <bottom/>
      <diagonal/>
    </border>
    <border>
      <left style="dashDotDot">
        <color indexed="64"/>
      </left>
      <right/>
      <top/>
      <bottom/>
      <diagonal/>
    </border>
    <border>
      <left style="dashDotDot">
        <color indexed="64"/>
      </left>
      <right/>
      <top style="thin">
        <color indexed="64"/>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dashDot">
        <color indexed="64"/>
      </right>
      <top/>
      <bottom/>
      <diagonal/>
    </border>
    <border>
      <left/>
      <right style="dashDot">
        <color indexed="64"/>
      </right>
      <top/>
      <bottom style="medium">
        <color indexed="64"/>
      </bottom>
      <diagonal/>
    </border>
    <border>
      <left/>
      <right style="dashDot">
        <color indexed="64"/>
      </right>
      <top/>
      <bottom style="thin">
        <color indexed="64"/>
      </bottom>
      <diagonal/>
    </border>
    <border>
      <left/>
      <right style="hair">
        <color indexed="64"/>
      </right>
      <top style="thin">
        <color indexed="64"/>
      </top>
      <bottom style="medium">
        <color indexed="64"/>
      </bottom>
      <diagonal/>
    </border>
    <border>
      <left/>
      <right style="hair">
        <color indexed="64"/>
      </right>
      <top/>
      <bottom/>
      <diagonal/>
    </border>
    <border>
      <left/>
      <right style="hair">
        <color indexed="64"/>
      </right>
      <top/>
      <bottom style="thin">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right style="dashDot">
        <color indexed="64"/>
      </right>
      <top style="thin">
        <color indexed="64"/>
      </top>
      <bottom style="medium">
        <color indexed="64"/>
      </bottom>
      <diagonal/>
    </border>
    <border>
      <left style="hair">
        <color indexed="64"/>
      </left>
      <right/>
      <top/>
      <bottom/>
      <diagonal/>
    </border>
    <border>
      <left style="hair">
        <color indexed="64"/>
      </left>
      <right/>
      <top/>
      <bottom style="thin">
        <color indexed="64"/>
      </bottom>
      <diagonal/>
    </border>
    <border>
      <left/>
      <right/>
      <top style="hair">
        <color indexed="64"/>
      </top>
      <bottom style="medium">
        <color indexed="64"/>
      </bottom>
      <diagonal/>
    </border>
    <border>
      <left/>
      <right/>
      <top style="hair">
        <color indexed="64"/>
      </top>
      <bottom/>
      <diagonal/>
    </border>
    <border>
      <left style="thin">
        <color indexed="64"/>
      </left>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thin">
        <color auto="1"/>
      </right>
      <top/>
      <bottom/>
      <diagonal/>
    </border>
    <border>
      <left/>
      <right style="hair">
        <color indexed="64"/>
      </right>
      <top style="hair">
        <color indexed="64"/>
      </top>
      <bottom style="hair">
        <color indexed="64"/>
      </bottom>
      <diagonal/>
    </border>
    <border>
      <left style="hair">
        <color indexed="64"/>
      </left>
      <right/>
      <top style="hair">
        <color indexed="64"/>
      </top>
      <bottom style="medium">
        <color indexed="64"/>
      </bottom>
      <diagonal/>
    </border>
    <border>
      <left style="dashDotDot">
        <color indexed="64"/>
      </left>
      <right/>
      <top style="hair">
        <color indexed="64"/>
      </top>
      <bottom style="hair">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auto="1"/>
      </right>
      <top/>
      <bottom style="dashed">
        <color indexed="64"/>
      </bottom>
      <diagonal/>
    </border>
    <border>
      <left style="thin">
        <color indexed="64"/>
      </left>
      <right style="thin">
        <color auto="1"/>
      </right>
      <top style="dashed">
        <color indexed="64"/>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right style="hair">
        <color indexed="64"/>
      </right>
      <top style="hair">
        <color indexed="64"/>
      </top>
      <bottom/>
      <diagonal/>
    </border>
    <border>
      <left style="dashDotDot">
        <color indexed="64"/>
      </left>
      <right/>
      <top/>
      <bottom style="thin">
        <color indexed="64"/>
      </bottom>
      <diagonal/>
    </border>
    <border>
      <left style="hair">
        <color indexed="64"/>
      </left>
      <right/>
      <top style="hair">
        <color indexed="64"/>
      </top>
      <bottom/>
      <diagonal/>
    </border>
    <border>
      <left style="thin">
        <color indexed="64"/>
      </left>
      <right/>
      <top style="hair">
        <color indexed="64"/>
      </top>
      <bottom/>
      <diagonal/>
    </border>
    <border>
      <left/>
      <right style="dashDotDot">
        <color indexed="64"/>
      </right>
      <top style="hair">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dashDotDot">
        <color indexed="64"/>
      </right>
      <top/>
      <bottom style="medium">
        <color indexed="64"/>
      </bottom>
      <diagonal/>
    </border>
    <border>
      <left/>
      <right style="dashDotDot">
        <color indexed="64"/>
      </right>
      <top/>
      <bottom style="hair">
        <color indexed="64"/>
      </bottom>
      <diagonal/>
    </border>
    <border>
      <left style="dashDot">
        <color indexed="64"/>
      </left>
      <right style="thin">
        <color indexed="64"/>
      </right>
      <top/>
      <bottom style="medium">
        <color indexed="64"/>
      </bottom>
      <diagonal/>
    </border>
    <border>
      <left style="dashDotDot">
        <color indexed="64"/>
      </left>
      <right style="thin">
        <color indexed="64"/>
      </right>
      <top/>
      <bottom style="medium">
        <color indexed="64"/>
      </bottom>
      <diagonal/>
    </border>
    <border>
      <left/>
      <right style="thin">
        <color indexed="64"/>
      </right>
      <top style="hair">
        <color indexed="64"/>
      </top>
      <bottom style="hair">
        <color indexed="64"/>
      </bottom>
      <diagonal/>
    </border>
    <border>
      <left/>
      <right style="thin">
        <color indexed="64"/>
      </right>
      <top style="medium">
        <color indexed="64"/>
      </top>
      <bottom/>
      <diagonal/>
    </border>
    <border>
      <left/>
      <right style="thin">
        <color indexed="64"/>
      </right>
      <top style="hair">
        <color indexed="64"/>
      </top>
      <bottom style="medium">
        <color indexed="64"/>
      </bottom>
      <diagonal/>
    </border>
  </borders>
  <cellStyleXfs count="28">
    <xf numFmtId="0" fontId="0"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5" fillId="0" borderId="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444">
    <xf numFmtId="0" fontId="0" fillId="0" borderId="0" xfId="0"/>
    <xf numFmtId="0" fontId="0" fillId="2" borderId="2" xfId="0" applyFill="1" applyBorder="1" applyAlignment="1">
      <alignment horizontal="center"/>
    </xf>
    <xf numFmtId="0" fontId="0" fillId="2" borderId="0" xfId="0" applyFill="1"/>
    <xf numFmtId="0" fontId="2" fillId="2" borderId="5" xfId="0" applyFont="1" applyFill="1" applyBorder="1" applyAlignment="1">
      <alignment horizontal="center"/>
    </xf>
    <xf numFmtId="0" fontId="0" fillId="3" borderId="2" xfId="0" applyFill="1" applyBorder="1" applyAlignment="1">
      <alignment horizontal="center"/>
    </xf>
    <xf numFmtId="0" fontId="2" fillId="2" borderId="0" xfId="0" applyFont="1" applyFill="1"/>
    <xf numFmtId="1" fontId="0" fillId="2" borderId="0" xfId="0" applyNumberFormat="1" applyFill="1"/>
    <xf numFmtId="0" fontId="2" fillId="2" borderId="0" xfId="0" applyFont="1" applyFill="1" applyAlignment="1">
      <alignment wrapText="1"/>
    </xf>
    <xf numFmtId="0" fontId="2" fillId="2" borderId="1" xfId="0" applyFont="1" applyFill="1" applyBorder="1" applyAlignment="1">
      <alignment wrapText="1"/>
    </xf>
    <xf numFmtId="0" fontId="2" fillId="2" borderId="10" xfId="0" applyFont="1" applyFill="1" applyBorder="1" applyAlignment="1">
      <alignment wrapText="1"/>
    </xf>
    <xf numFmtId="0" fontId="3" fillId="2" borderId="0" xfId="0" applyFont="1" applyFill="1"/>
    <xf numFmtId="0" fontId="1" fillId="0" borderId="15" xfId="0" applyFont="1" applyBorder="1"/>
    <xf numFmtId="0" fontId="1" fillId="0" borderId="16" xfId="0" applyFont="1" applyBorder="1"/>
    <xf numFmtId="0" fontId="2" fillId="2" borderId="2" xfId="0" applyFont="1" applyFill="1" applyBorder="1" applyAlignment="1">
      <alignment horizontal="left"/>
    </xf>
    <xf numFmtId="0" fontId="2" fillId="2" borderId="17" xfId="0" applyFont="1" applyFill="1" applyBorder="1" applyAlignment="1">
      <alignment horizontal="center"/>
    </xf>
    <xf numFmtId="9" fontId="0" fillId="2" borderId="0" xfId="0" applyNumberFormat="1" applyFill="1"/>
    <xf numFmtId="0" fontId="2" fillId="2" borderId="18" xfId="0" applyFont="1" applyFill="1" applyBorder="1" applyAlignment="1">
      <alignment horizontal="center"/>
    </xf>
    <xf numFmtId="164" fontId="1" fillId="2" borderId="4" xfId="1" applyNumberFormat="1" applyFont="1" applyFill="1" applyBorder="1" applyAlignment="1">
      <alignment horizontal="right"/>
    </xf>
    <xf numFmtId="164" fontId="1" fillId="2" borderId="0" xfId="1" applyNumberFormat="1" applyFont="1" applyFill="1" applyBorder="1" applyAlignment="1">
      <alignment horizontal="right"/>
    </xf>
    <xf numFmtId="0" fontId="0" fillId="2" borderId="4" xfId="0" applyFill="1" applyBorder="1" applyAlignment="1">
      <alignment horizontal="right"/>
    </xf>
    <xf numFmtId="9" fontId="0" fillId="2" borderId="0" xfId="2" applyFont="1" applyFill="1" applyBorder="1" applyAlignment="1">
      <alignment horizontal="right"/>
    </xf>
    <xf numFmtId="9" fontId="1" fillId="2" borderId="4" xfId="2" applyFont="1" applyFill="1" applyBorder="1" applyAlignment="1">
      <alignment horizontal="right"/>
    </xf>
    <xf numFmtId="9" fontId="1" fillId="2" borderId="0" xfId="2" applyFont="1" applyFill="1" applyBorder="1" applyAlignment="1">
      <alignment horizontal="right"/>
    </xf>
    <xf numFmtId="9" fontId="2" fillId="2" borderId="17" xfId="2" applyFont="1" applyFill="1" applyBorder="1"/>
    <xf numFmtId="9" fontId="2" fillId="2" borderId="0" xfId="2" applyFont="1" applyFill="1" applyBorder="1"/>
    <xf numFmtId="0" fontId="0" fillId="2" borderId="18" xfId="0" applyFill="1" applyBorder="1"/>
    <xf numFmtId="164" fontId="0" fillId="2" borderId="4" xfId="1" applyNumberFormat="1" applyFont="1" applyFill="1" applyBorder="1" applyAlignment="1">
      <alignment horizontal="center"/>
    </xf>
    <xf numFmtId="164" fontId="0" fillId="2" borderId="0" xfId="1" applyNumberFormat="1" applyFont="1" applyFill="1" applyBorder="1" applyAlignment="1">
      <alignment horizontal="center"/>
    </xf>
    <xf numFmtId="164" fontId="0" fillId="3" borderId="4" xfId="1" applyNumberFormat="1" applyFont="1" applyFill="1" applyBorder="1" applyAlignment="1">
      <alignment horizontal="center"/>
    </xf>
    <xf numFmtId="164" fontId="0" fillId="3" borderId="0" xfId="1" applyNumberFormat="1" applyFont="1" applyFill="1" applyBorder="1" applyAlignment="1">
      <alignment horizontal="center"/>
    </xf>
    <xf numFmtId="164" fontId="1" fillId="3" borderId="4" xfId="1" applyNumberFormat="1" applyFont="1" applyFill="1" applyBorder="1" applyAlignment="1">
      <alignment horizontal="right"/>
    </xf>
    <xf numFmtId="164" fontId="1" fillId="3" borderId="0" xfId="1" applyNumberFormat="1" applyFont="1" applyFill="1" applyBorder="1" applyAlignment="1">
      <alignment horizontal="right"/>
    </xf>
    <xf numFmtId="9" fontId="1" fillId="3" borderId="4" xfId="2" applyFont="1" applyFill="1" applyBorder="1" applyAlignment="1">
      <alignment horizontal="right"/>
    </xf>
    <xf numFmtId="9" fontId="1" fillId="3" borderId="0" xfId="2" applyFont="1" applyFill="1" applyBorder="1" applyAlignment="1">
      <alignment horizontal="right"/>
    </xf>
    <xf numFmtId="0" fontId="2" fillId="2" borderId="17" xfId="2" applyNumberFormat="1" applyFont="1" applyFill="1" applyBorder="1"/>
    <xf numFmtId="0" fontId="1" fillId="2" borderId="0" xfId="2" applyNumberFormat="1" applyFont="1" applyFill="1" applyBorder="1" applyAlignment="1">
      <alignment horizontal="center"/>
    </xf>
    <xf numFmtId="9" fontId="2" fillId="2" borderId="1" xfId="2" applyFont="1" applyFill="1" applyBorder="1"/>
    <xf numFmtId="0" fontId="1" fillId="3" borderId="0" xfId="2" applyNumberFormat="1" applyFont="1" applyFill="1" applyBorder="1" applyAlignment="1">
      <alignment horizontal="center"/>
    </xf>
    <xf numFmtId="0" fontId="2" fillId="2" borderId="12" xfId="0" applyFont="1" applyFill="1" applyBorder="1" applyAlignment="1">
      <alignment horizontal="center"/>
    </xf>
    <xf numFmtId="0" fontId="2" fillId="2" borderId="13" xfId="0" applyFont="1" applyFill="1" applyBorder="1" applyAlignment="1">
      <alignment horizontal="center"/>
    </xf>
    <xf numFmtId="0" fontId="2" fillId="2" borderId="13" xfId="2" applyNumberFormat="1" applyFont="1" applyFill="1" applyBorder="1"/>
    <xf numFmtId="0" fontId="0" fillId="3" borderId="7" xfId="0" applyFill="1" applyBorder="1" applyAlignment="1">
      <alignment horizontal="center"/>
    </xf>
    <xf numFmtId="9" fontId="0" fillId="3" borderId="4" xfId="0" applyNumberFormat="1" applyFill="1" applyBorder="1" applyAlignment="1">
      <alignment horizontal="right"/>
    </xf>
    <xf numFmtId="9" fontId="0" fillId="3" borderId="0" xfId="0" applyNumberFormat="1" applyFill="1" applyAlignment="1">
      <alignment horizontal="right"/>
    </xf>
    <xf numFmtId="9" fontId="0" fillId="2" borderId="4" xfId="0" applyNumberFormat="1" applyFill="1" applyBorder="1" applyAlignment="1">
      <alignment horizontal="right"/>
    </xf>
    <xf numFmtId="9" fontId="0" fillId="2" borderId="0" xfId="0" applyNumberFormat="1" applyFill="1" applyAlignment="1">
      <alignment horizontal="right"/>
    </xf>
    <xf numFmtId="9" fontId="0" fillId="2" borderId="0" xfId="2" applyFont="1" applyFill="1" applyBorder="1" applyAlignment="1">
      <alignment horizontal="right" wrapText="1"/>
    </xf>
    <xf numFmtId="0" fontId="2" fillId="2" borderId="17" xfId="0" applyFont="1" applyFill="1" applyBorder="1" applyAlignment="1">
      <alignment horizontal="center" wrapText="1"/>
    </xf>
    <xf numFmtId="9" fontId="2" fillId="2" borderId="13" xfId="2" applyFont="1" applyFill="1" applyBorder="1"/>
    <xf numFmtId="0" fontId="2" fillId="2" borderId="18" xfId="0" applyFont="1" applyFill="1" applyBorder="1" applyAlignment="1">
      <alignment horizontal="center" wrapText="1"/>
    </xf>
    <xf numFmtId="9" fontId="0" fillId="3" borderId="4" xfId="2" applyFont="1" applyFill="1" applyBorder="1" applyAlignment="1">
      <alignment wrapText="1"/>
    </xf>
    <xf numFmtId="9" fontId="0" fillId="2" borderId="4" xfId="2" applyFont="1" applyFill="1" applyBorder="1" applyAlignment="1">
      <alignment wrapText="1"/>
    </xf>
    <xf numFmtId="9" fontId="0" fillId="3" borderId="0" xfId="2" applyFont="1" applyFill="1" applyBorder="1" applyAlignment="1">
      <alignment horizontal="right" wrapText="1"/>
    </xf>
    <xf numFmtId="9" fontId="0" fillId="3" borderId="4" xfId="2" applyFont="1" applyFill="1" applyBorder="1" applyAlignment="1">
      <alignment horizontal="right" wrapText="1"/>
    </xf>
    <xf numFmtId="9" fontId="0" fillId="2" borderId="4" xfId="2" applyFont="1" applyFill="1" applyBorder="1" applyAlignment="1">
      <alignment horizontal="right" wrapText="1"/>
    </xf>
    <xf numFmtId="0" fontId="0" fillId="2" borderId="0" xfId="0" applyFill="1" applyAlignment="1">
      <alignment horizontal="right"/>
    </xf>
    <xf numFmtId="0" fontId="2" fillId="2" borderId="24" xfId="0" applyFont="1" applyFill="1" applyBorder="1" applyAlignment="1">
      <alignment horizontal="center" wrapText="1"/>
    </xf>
    <xf numFmtId="164" fontId="0" fillId="3" borderId="25" xfId="1" applyNumberFormat="1" applyFont="1" applyFill="1" applyBorder="1" applyAlignment="1">
      <alignment horizontal="center"/>
    </xf>
    <xf numFmtId="164" fontId="0" fillId="2" borderId="25" xfId="1" applyNumberFormat="1" applyFont="1" applyFill="1" applyBorder="1" applyAlignment="1">
      <alignment horizontal="center"/>
    </xf>
    <xf numFmtId="0" fontId="2" fillId="2" borderId="26" xfId="0" applyFont="1" applyFill="1" applyBorder="1" applyAlignment="1">
      <alignment horizontal="center" wrapText="1"/>
    </xf>
    <xf numFmtId="9" fontId="0" fillId="3" borderId="25" xfId="2" applyFont="1" applyFill="1" applyBorder="1" applyAlignment="1">
      <alignment wrapText="1"/>
    </xf>
    <xf numFmtId="9" fontId="0" fillId="2" borderId="25" xfId="2" applyFont="1" applyFill="1" applyBorder="1" applyAlignment="1">
      <alignment wrapText="1"/>
    </xf>
    <xf numFmtId="165" fontId="0" fillId="3" borderId="0" xfId="2" applyNumberFormat="1" applyFont="1" applyFill="1" applyBorder="1" applyAlignment="1">
      <alignment wrapText="1"/>
    </xf>
    <xf numFmtId="165" fontId="0" fillId="2" borderId="0" xfId="2" applyNumberFormat="1" applyFont="1" applyFill="1" applyBorder="1" applyAlignment="1">
      <alignment wrapText="1"/>
    </xf>
    <xf numFmtId="0" fontId="7" fillId="2" borderId="1" xfId="0" applyFont="1" applyFill="1" applyBorder="1" applyAlignment="1">
      <alignment horizontal="center" wrapText="1"/>
    </xf>
    <xf numFmtId="0" fontId="7" fillId="2" borderId="5" xfId="0" applyFont="1" applyFill="1" applyBorder="1" applyAlignment="1">
      <alignment horizontal="center" wrapText="1"/>
    </xf>
    <xf numFmtId="0" fontId="7" fillId="2" borderId="22" xfId="0" applyFont="1" applyFill="1" applyBorder="1" applyAlignment="1">
      <alignment horizontal="center" wrapText="1"/>
    </xf>
    <xf numFmtId="0" fontId="7" fillId="2" borderId="4" xfId="0" applyFont="1" applyFill="1" applyBorder="1" applyAlignment="1">
      <alignment horizontal="center" wrapText="1"/>
    </xf>
    <xf numFmtId="0" fontId="7" fillId="2" borderId="0" xfId="0" applyFont="1" applyFill="1" applyAlignment="1">
      <alignment horizontal="center" wrapText="1"/>
    </xf>
    <xf numFmtId="164" fontId="0" fillId="3" borderId="4" xfId="1" applyNumberFormat="1" applyFont="1" applyFill="1" applyBorder="1" applyAlignment="1">
      <alignment horizontal="right"/>
    </xf>
    <xf numFmtId="164" fontId="0" fillId="3" borderId="0" xfId="1" applyNumberFormat="1" applyFont="1" applyFill="1" applyBorder="1" applyAlignment="1">
      <alignment horizontal="right"/>
    </xf>
    <xf numFmtId="164" fontId="0" fillId="3" borderId="0" xfId="1" applyNumberFormat="1" applyFont="1" applyFill="1" applyBorder="1" applyAlignment="1"/>
    <xf numFmtId="164" fontId="0" fillId="2" borderId="4" xfId="1" applyNumberFormat="1" applyFont="1" applyFill="1" applyBorder="1" applyAlignment="1">
      <alignment horizontal="right"/>
    </xf>
    <xf numFmtId="164" fontId="0" fillId="2" borderId="0" xfId="1" applyNumberFormat="1" applyFont="1" applyFill="1" applyBorder="1" applyAlignment="1">
      <alignment horizontal="right"/>
    </xf>
    <xf numFmtId="164" fontId="0" fillId="2" borderId="0" xfId="1" applyNumberFormat="1" applyFont="1" applyFill="1" applyBorder="1" applyAlignment="1"/>
    <xf numFmtId="0" fontId="2" fillId="2" borderId="17" xfId="0" applyFont="1" applyFill="1" applyBorder="1"/>
    <xf numFmtId="164" fontId="0" fillId="3" borderId="9" xfId="1" applyNumberFormat="1" applyFont="1" applyFill="1" applyBorder="1" applyAlignment="1">
      <alignment horizontal="right"/>
    </xf>
    <xf numFmtId="164" fontId="0" fillId="3" borderId="7" xfId="1" applyNumberFormat="1" applyFont="1" applyFill="1" applyBorder="1" applyAlignment="1">
      <alignment horizontal="right"/>
    </xf>
    <xf numFmtId="164" fontId="0" fillId="2" borderId="4" xfId="1" applyNumberFormat="1" applyFont="1" applyFill="1" applyBorder="1" applyAlignment="1"/>
    <xf numFmtId="164" fontId="0" fillId="2" borderId="0" xfId="0" applyNumberFormat="1" applyFill="1"/>
    <xf numFmtId="0" fontId="0" fillId="2" borderId="17" xfId="0" applyFill="1" applyBorder="1"/>
    <xf numFmtId="0" fontId="0" fillId="3" borderId="0" xfId="0" applyFill="1"/>
    <xf numFmtId="0" fontId="0" fillId="2" borderId="4" xfId="0" applyFill="1" applyBorder="1"/>
    <xf numFmtId="0" fontId="0" fillId="2" borderId="1" xfId="0" applyFill="1" applyBorder="1" applyAlignment="1">
      <alignment horizontal="center"/>
    </xf>
    <xf numFmtId="9" fontId="0" fillId="2" borderId="1" xfId="2" applyFont="1" applyFill="1" applyBorder="1" applyAlignment="1">
      <alignment horizontal="right" wrapText="1"/>
    </xf>
    <xf numFmtId="0" fontId="0" fillId="2" borderId="7" xfId="0" applyFill="1" applyBorder="1" applyAlignment="1">
      <alignment horizontal="center"/>
    </xf>
    <xf numFmtId="0" fontId="0" fillId="2" borderId="4" xfId="0" applyFill="1" applyBorder="1" applyAlignment="1">
      <alignment horizontal="center" wrapText="1"/>
    </xf>
    <xf numFmtId="0" fontId="0" fillId="2" borderId="0" xfId="0" applyFill="1" applyAlignment="1">
      <alignment horizontal="center" wrapText="1"/>
    </xf>
    <xf numFmtId="0" fontId="2" fillId="2" borderId="33" xfId="0" applyFont="1" applyFill="1" applyBorder="1" applyAlignment="1">
      <alignment horizontal="center" wrapText="1"/>
    </xf>
    <xf numFmtId="0" fontId="0" fillId="2" borderId="38" xfId="0" applyFill="1" applyBorder="1" applyAlignment="1">
      <alignment horizontal="center" wrapText="1"/>
    </xf>
    <xf numFmtId="0" fontId="2" fillId="2" borderId="29" xfId="0" applyFont="1" applyFill="1" applyBorder="1" applyAlignment="1">
      <alignment horizontal="center" wrapText="1"/>
    </xf>
    <xf numFmtId="164" fontId="0" fillId="3" borderId="38" xfId="1" applyNumberFormat="1" applyFont="1" applyFill="1" applyBorder="1" applyAlignment="1">
      <alignment horizontal="right"/>
    </xf>
    <xf numFmtId="9" fontId="0" fillId="3" borderId="38" xfId="2" applyFont="1" applyFill="1" applyBorder="1" applyAlignment="1">
      <alignment horizontal="right" wrapText="1"/>
    </xf>
    <xf numFmtId="164" fontId="2" fillId="3" borderId="33" xfId="1" applyNumberFormat="1" applyFont="1" applyFill="1" applyBorder="1" applyAlignment="1">
      <alignment horizontal="right"/>
    </xf>
    <xf numFmtId="9" fontId="2" fillId="3" borderId="33" xfId="2" applyFont="1" applyFill="1" applyBorder="1" applyAlignment="1">
      <alignment horizontal="right" wrapText="1"/>
    </xf>
    <xf numFmtId="164" fontId="2" fillId="3" borderId="29" xfId="1" applyNumberFormat="1" applyFont="1" applyFill="1" applyBorder="1" applyAlignment="1">
      <alignment horizontal="right"/>
    </xf>
    <xf numFmtId="9" fontId="2" fillId="3" borderId="29" xfId="2" applyFont="1" applyFill="1" applyBorder="1" applyAlignment="1">
      <alignment horizontal="right" wrapText="1"/>
    </xf>
    <xf numFmtId="0" fontId="8" fillId="2" borderId="6" xfId="0" applyFont="1" applyFill="1" applyBorder="1" applyAlignment="1">
      <alignment horizontal="center" wrapText="1"/>
    </xf>
    <xf numFmtId="0" fontId="8" fillId="2" borderId="14" xfId="0" applyFont="1" applyFill="1" applyBorder="1" applyAlignment="1">
      <alignment horizontal="center" wrapText="1"/>
    </xf>
    <xf numFmtId="0" fontId="7" fillId="2" borderId="32" xfId="0" applyFont="1" applyFill="1" applyBorder="1" applyAlignment="1">
      <alignment horizontal="center" wrapText="1"/>
    </xf>
    <xf numFmtId="0" fontId="8" fillId="2" borderId="36" xfId="0" applyFont="1" applyFill="1" applyBorder="1" applyAlignment="1">
      <alignment horizontal="center" wrapText="1"/>
    </xf>
    <xf numFmtId="0" fontId="7" fillId="2" borderId="37" xfId="0" applyFont="1" applyFill="1" applyBorder="1" applyAlignment="1">
      <alignment horizontal="center" wrapText="1"/>
    </xf>
    <xf numFmtId="0" fontId="7" fillId="2" borderId="8" xfId="0" applyFont="1" applyFill="1" applyBorder="1" applyAlignment="1">
      <alignment horizontal="center" wrapText="1"/>
    </xf>
    <xf numFmtId="0" fontId="7" fillId="2" borderId="14" xfId="0" applyFont="1" applyFill="1" applyBorder="1" applyAlignment="1">
      <alignment horizontal="center" wrapText="1"/>
    </xf>
    <xf numFmtId="0" fontId="2" fillId="2" borderId="40" xfId="0" applyFont="1" applyFill="1" applyBorder="1" applyAlignment="1">
      <alignment horizontal="right"/>
    </xf>
    <xf numFmtId="0" fontId="2" fillId="2" borderId="42" xfId="0" applyFont="1" applyFill="1" applyBorder="1" applyAlignment="1">
      <alignment horizontal="right"/>
    </xf>
    <xf numFmtId="0" fontId="2" fillId="2" borderId="43" xfId="0" applyFont="1" applyFill="1" applyBorder="1" applyAlignment="1">
      <alignment horizontal="right"/>
    </xf>
    <xf numFmtId="9" fontId="0" fillId="3" borderId="0" xfId="2" applyFont="1" applyFill="1" applyBorder="1" applyAlignment="1">
      <alignment horizontal="center"/>
    </xf>
    <xf numFmtId="9" fontId="0" fillId="2" borderId="0" xfId="2" applyFont="1" applyFill="1" applyBorder="1" applyAlignment="1">
      <alignment horizontal="center"/>
    </xf>
    <xf numFmtId="9" fontId="0" fillId="3" borderId="0" xfId="2" applyFont="1" applyFill="1" applyBorder="1" applyAlignment="1">
      <alignment horizontal="right"/>
    </xf>
    <xf numFmtId="166" fontId="0" fillId="3" borderId="4" xfId="5" applyNumberFormat="1" applyFont="1" applyFill="1" applyBorder="1" applyAlignment="1">
      <alignment horizontal="right"/>
    </xf>
    <xf numFmtId="166" fontId="0" fillId="3" borderId="0" xfId="5" applyNumberFormat="1" applyFont="1" applyFill="1" applyBorder="1" applyAlignment="1">
      <alignment horizontal="right"/>
    </xf>
    <xf numFmtId="166" fontId="0" fillId="3" borderId="33" xfId="5" applyNumberFormat="1" applyFont="1" applyFill="1" applyBorder="1" applyAlignment="1">
      <alignment horizontal="right"/>
    </xf>
    <xf numFmtId="166" fontId="0" fillId="2" borderId="4" xfId="5" applyNumberFormat="1" applyFont="1" applyFill="1" applyBorder="1" applyAlignment="1">
      <alignment horizontal="right"/>
    </xf>
    <xf numFmtId="166" fontId="0" fillId="2" borderId="0" xfId="5" applyNumberFormat="1" applyFont="1" applyFill="1" applyBorder="1" applyAlignment="1">
      <alignment horizontal="right"/>
    </xf>
    <xf numFmtId="166" fontId="0" fillId="2" borderId="33" xfId="5" applyNumberFormat="1" applyFont="1" applyFill="1" applyBorder="1" applyAlignment="1">
      <alignment horizontal="right"/>
    </xf>
    <xf numFmtId="0" fontId="8" fillId="2" borderId="0" xfId="0" applyFont="1" applyFill="1"/>
    <xf numFmtId="0" fontId="6" fillId="2" borderId="0" xfId="4" applyFill="1"/>
    <xf numFmtId="0" fontId="0" fillId="2" borderId="5" xfId="0" applyFill="1" applyBorder="1" applyAlignment="1">
      <alignment horizontal="center"/>
    </xf>
    <xf numFmtId="166" fontId="0" fillId="3" borderId="4" xfId="0" applyNumberFormat="1" applyFill="1" applyBorder="1" applyAlignment="1">
      <alignment horizontal="center"/>
    </xf>
    <xf numFmtId="166" fontId="0" fillId="3" borderId="0" xfId="0" applyNumberFormat="1" applyFill="1" applyAlignment="1">
      <alignment horizontal="center"/>
    </xf>
    <xf numFmtId="166" fontId="0" fillId="2" borderId="4" xfId="0" applyNumberFormat="1" applyFill="1" applyBorder="1" applyAlignment="1">
      <alignment horizontal="center"/>
    </xf>
    <xf numFmtId="166" fontId="0" fillId="2" borderId="0" xfId="0" applyNumberFormat="1" applyFill="1" applyAlignment="1">
      <alignment horizontal="center"/>
    </xf>
    <xf numFmtId="0" fontId="0" fillId="3" borderId="0" xfId="0" applyFill="1" applyAlignment="1">
      <alignment horizontal="center"/>
    </xf>
    <xf numFmtId="0" fontId="0" fillId="2" borderId="0" xfId="0" applyFill="1" applyAlignment="1">
      <alignment horizontal="center"/>
    </xf>
    <xf numFmtId="166" fontId="2" fillId="3" borderId="0" xfId="0" applyNumberFormat="1" applyFont="1" applyFill="1" applyAlignment="1">
      <alignment horizontal="center"/>
    </xf>
    <xf numFmtId="166" fontId="2" fillId="2" borderId="0" xfId="0" applyNumberFormat="1" applyFont="1" applyFill="1" applyAlignment="1">
      <alignment horizontal="center"/>
    </xf>
    <xf numFmtId="9" fontId="0" fillId="2" borderId="4" xfId="2" applyFont="1" applyFill="1" applyBorder="1" applyAlignment="1">
      <alignment horizontal="center"/>
    </xf>
    <xf numFmtId="9" fontId="0" fillId="3" borderId="4" xfId="2" applyFont="1" applyFill="1" applyBorder="1" applyAlignment="1">
      <alignment horizontal="center"/>
    </xf>
    <xf numFmtId="0" fontId="2" fillId="2" borderId="13" xfId="0" applyFont="1" applyFill="1" applyBorder="1"/>
    <xf numFmtId="0" fontId="0" fillId="2" borderId="13" xfId="0" applyFill="1" applyBorder="1"/>
    <xf numFmtId="0" fontId="0" fillId="2" borderId="12" xfId="0" applyFill="1" applyBorder="1"/>
    <xf numFmtId="0" fontId="0" fillId="3" borderId="17" xfId="0" applyFill="1" applyBorder="1"/>
    <xf numFmtId="9" fontId="0" fillId="2" borderId="1" xfId="2" applyFont="1" applyFill="1" applyBorder="1"/>
    <xf numFmtId="0" fontId="2" fillId="2" borderId="0" xfId="0" applyFont="1" applyFill="1" applyAlignment="1">
      <alignment horizontal="right"/>
    </xf>
    <xf numFmtId="164" fontId="0" fillId="3" borderId="18" xfId="1" applyNumberFormat="1" applyFont="1" applyFill="1" applyBorder="1" applyAlignment="1"/>
    <xf numFmtId="164" fontId="0" fillId="3" borderId="17" xfId="1" applyNumberFormat="1" applyFont="1" applyFill="1" applyBorder="1" applyAlignment="1"/>
    <xf numFmtId="0" fontId="2" fillId="2" borderId="4" xfId="0" applyFont="1" applyFill="1" applyBorder="1" applyAlignment="1">
      <alignment horizontal="right"/>
    </xf>
    <xf numFmtId="164" fontId="0" fillId="3" borderId="4" xfId="1" applyNumberFormat="1" applyFont="1" applyFill="1" applyBorder="1" applyAlignment="1"/>
    <xf numFmtId="9" fontId="0" fillId="3" borderId="4" xfId="2" applyFont="1" applyFill="1" applyBorder="1" applyAlignment="1">
      <alignment horizontal="right"/>
    </xf>
    <xf numFmtId="9" fontId="0" fillId="2" borderId="4" xfId="2" applyFont="1" applyFill="1" applyBorder="1" applyAlignment="1">
      <alignment horizontal="right"/>
    </xf>
    <xf numFmtId="0" fontId="2" fillId="2" borderId="1" xfId="0" applyFont="1" applyFill="1" applyBorder="1"/>
    <xf numFmtId="0" fontId="2" fillId="2" borderId="2" xfId="0" applyFont="1" applyFill="1" applyBorder="1"/>
    <xf numFmtId="9" fontId="0" fillId="2" borderId="0" xfId="2" applyFont="1" applyFill="1"/>
    <xf numFmtId="0" fontId="2" fillId="0" borderId="0" xfId="0" applyFont="1"/>
    <xf numFmtId="0" fontId="0" fillId="3" borderId="2" xfId="0" applyFill="1" applyBorder="1"/>
    <xf numFmtId="0" fontId="2" fillId="2" borderId="3" xfId="0" applyFont="1" applyFill="1" applyBorder="1"/>
    <xf numFmtId="0" fontId="2" fillId="2" borderId="1" xfId="0" applyFont="1" applyFill="1" applyBorder="1" applyAlignment="1">
      <alignment horizontal="center"/>
    </xf>
    <xf numFmtId="0" fontId="0" fillId="2" borderId="2" xfId="0" applyFill="1" applyBorder="1"/>
    <xf numFmtId="166" fontId="0" fillId="2" borderId="0" xfId="0" applyNumberFormat="1" applyFill="1"/>
    <xf numFmtId="0" fontId="2" fillId="2" borderId="12" xfId="0" applyFont="1" applyFill="1" applyBorder="1" applyAlignment="1">
      <alignment horizontal="center" wrapText="1"/>
    </xf>
    <xf numFmtId="0" fontId="2" fillId="2" borderId="13" xfId="0" applyFont="1" applyFill="1" applyBorder="1" applyAlignment="1">
      <alignment horizontal="center" wrapText="1"/>
    </xf>
    <xf numFmtId="0" fontId="2" fillId="2" borderId="4" xfId="0" applyFont="1" applyFill="1" applyBorder="1" applyAlignment="1">
      <alignment horizontal="center" wrapText="1"/>
    </xf>
    <xf numFmtId="0" fontId="0" fillId="2" borderId="1" xfId="0" applyFill="1" applyBorder="1"/>
    <xf numFmtId="0" fontId="0" fillId="2" borderId="0" xfId="0" applyFill="1" applyAlignment="1">
      <alignment wrapText="1"/>
    </xf>
    <xf numFmtId="0" fontId="5" fillId="2" borderId="0" xfId="0" applyFont="1" applyFill="1"/>
    <xf numFmtId="0" fontId="0" fillId="0" borderId="0" xfId="0" applyAlignment="1">
      <alignment vertical="top" wrapText="1"/>
    </xf>
    <xf numFmtId="0" fontId="14" fillId="2" borderId="0" xfId="0" applyFont="1" applyFill="1"/>
    <xf numFmtId="0" fontId="6" fillId="2" borderId="0" xfId="4" applyFill="1" applyAlignment="1">
      <alignment horizontal="left" indent="1"/>
    </xf>
    <xf numFmtId="9" fontId="0" fillId="0" borderId="0" xfId="0" applyNumberFormat="1"/>
    <xf numFmtId="0" fontId="2" fillId="2" borderId="0" xfId="0" applyFont="1" applyFill="1" applyAlignment="1">
      <alignment horizontal="center" wrapText="1"/>
    </xf>
    <xf numFmtId="0" fontId="2" fillId="2" borderId="0" xfId="0" applyFont="1" applyFill="1" applyAlignment="1">
      <alignment horizontal="center"/>
    </xf>
    <xf numFmtId="0" fontId="2" fillId="2" borderId="4" xfId="0" applyFont="1" applyFill="1" applyBorder="1" applyAlignment="1">
      <alignment horizontal="center"/>
    </xf>
    <xf numFmtId="166" fontId="0" fillId="2" borderId="0" xfId="2" applyNumberFormat="1" applyFont="1" applyFill="1"/>
    <xf numFmtId="9" fontId="2" fillId="2" borderId="0" xfId="0" applyNumberFormat="1" applyFont="1" applyFill="1"/>
    <xf numFmtId="164" fontId="2" fillId="2" borderId="33" xfId="1" applyNumberFormat="1" applyFont="1" applyFill="1" applyBorder="1" applyAlignment="1">
      <alignment horizontal="right"/>
    </xf>
    <xf numFmtId="164" fontId="0" fillId="2" borderId="38" xfId="1" applyNumberFormat="1" applyFont="1" applyFill="1" applyBorder="1" applyAlignment="1">
      <alignment horizontal="right"/>
    </xf>
    <xf numFmtId="164" fontId="2" fillId="2" borderId="29" xfId="1" applyNumberFormat="1" applyFont="1" applyFill="1" applyBorder="1" applyAlignment="1">
      <alignment horizontal="right"/>
    </xf>
    <xf numFmtId="9" fontId="2" fillId="2" borderId="0" xfId="2" applyFont="1" applyFill="1" applyBorder="1" applyAlignment="1">
      <alignment horizontal="right" wrapText="1"/>
    </xf>
    <xf numFmtId="9" fontId="2" fillId="2" borderId="33" xfId="2" applyFont="1" applyFill="1" applyBorder="1" applyAlignment="1">
      <alignment horizontal="right" wrapText="1"/>
    </xf>
    <xf numFmtId="9" fontId="0" fillId="2" borderId="38" xfId="2" applyFont="1" applyFill="1" applyBorder="1" applyAlignment="1">
      <alignment horizontal="right" wrapText="1"/>
    </xf>
    <xf numFmtId="9" fontId="2" fillId="2" borderId="29" xfId="2" applyFont="1" applyFill="1" applyBorder="1" applyAlignment="1">
      <alignment horizontal="right" wrapText="1"/>
    </xf>
    <xf numFmtId="164" fontId="0" fillId="2" borderId="0" xfId="2" applyNumberFormat="1" applyFont="1" applyFill="1" applyBorder="1" applyAlignment="1">
      <alignment horizontal="right" wrapText="1"/>
    </xf>
    <xf numFmtId="164" fontId="0" fillId="3" borderId="18" xfId="1" applyNumberFormat="1" applyFont="1" applyFill="1" applyBorder="1"/>
    <xf numFmtId="164" fontId="0" fillId="3" borderId="17" xfId="1" applyNumberFormat="1" applyFont="1" applyFill="1" applyBorder="1"/>
    <xf numFmtId="164" fontId="2" fillId="2" borderId="0" xfId="5" applyNumberFormat="1" applyFont="1" applyFill="1" applyBorder="1" applyAlignment="1">
      <alignment horizontal="right"/>
    </xf>
    <xf numFmtId="9" fontId="2" fillId="2" borderId="0" xfId="2" applyFont="1" applyFill="1" applyBorder="1" applyAlignment="1">
      <alignment horizontal="right"/>
    </xf>
    <xf numFmtId="0" fontId="11" fillId="3" borderId="0" xfId="0" applyFont="1" applyFill="1"/>
    <xf numFmtId="9" fontId="11" fillId="3" borderId="0" xfId="2" applyFont="1" applyFill="1" applyBorder="1" applyAlignment="1">
      <alignment horizontal="right"/>
    </xf>
    <xf numFmtId="0" fontId="16" fillId="3" borderId="41" xfId="0" applyFont="1" applyFill="1" applyBorder="1" applyAlignment="1">
      <alignment horizontal="left" indent="2"/>
    </xf>
    <xf numFmtId="9" fontId="16" fillId="3" borderId="41" xfId="2" applyFont="1" applyFill="1" applyBorder="1" applyAlignment="1">
      <alignment horizontal="right"/>
    </xf>
    <xf numFmtId="0" fontId="16" fillId="3" borderId="0" xfId="0" applyFont="1" applyFill="1" applyAlignment="1">
      <alignment horizontal="left" indent="2"/>
    </xf>
    <xf numFmtId="9" fontId="16" fillId="3" borderId="0" xfId="2" applyFont="1" applyFill="1" applyBorder="1" applyAlignment="1">
      <alignment horizontal="right"/>
    </xf>
    <xf numFmtId="0" fontId="16" fillId="3" borderId="21" xfId="0" applyFont="1" applyFill="1" applyBorder="1" applyAlignment="1">
      <alignment horizontal="left" indent="2"/>
    </xf>
    <xf numFmtId="9" fontId="16" fillId="3" borderId="21" xfId="2" applyFont="1" applyFill="1" applyBorder="1" applyAlignment="1">
      <alignment horizontal="right"/>
    </xf>
    <xf numFmtId="9" fontId="0" fillId="2" borderId="1" xfId="2" applyFont="1" applyFill="1" applyBorder="1" applyAlignment="1">
      <alignment horizontal="right"/>
    </xf>
    <xf numFmtId="166" fontId="0" fillId="2" borderId="5" xfId="5" applyNumberFormat="1" applyFont="1" applyFill="1" applyBorder="1" applyAlignment="1">
      <alignment horizontal="right"/>
    </xf>
    <xf numFmtId="166" fontId="0" fillId="2" borderId="1" xfId="5" applyNumberFormat="1" applyFont="1" applyFill="1" applyBorder="1" applyAlignment="1">
      <alignment horizontal="right"/>
    </xf>
    <xf numFmtId="166" fontId="0" fillId="2" borderId="35" xfId="5" applyNumberFormat="1" applyFont="1" applyFill="1" applyBorder="1" applyAlignment="1">
      <alignment horizontal="right"/>
    </xf>
    <xf numFmtId="0" fontId="0" fillId="2" borderId="40" xfId="0" applyFill="1" applyBorder="1"/>
    <xf numFmtId="9" fontId="0" fillId="2" borderId="40" xfId="2" applyFont="1" applyFill="1" applyBorder="1" applyAlignment="1">
      <alignment horizontal="right"/>
    </xf>
    <xf numFmtId="0" fontId="0" fillId="3" borderId="0" xfId="0" applyFill="1" applyAlignment="1">
      <alignment horizontal="center" vertical="center"/>
    </xf>
    <xf numFmtId="166" fontId="2" fillId="3" borderId="0" xfId="0" applyNumberFormat="1" applyFont="1" applyFill="1" applyAlignment="1">
      <alignment horizontal="center" vertical="center"/>
    </xf>
    <xf numFmtId="9" fontId="0" fillId="3" borderId="0" xfId="2" applyFont="1" applyFill="1" applyBorder="1" applyAlignment="1">
      <alignment horizontal="center" vertical="center"/>
    </xf>
    <xf numFmtId="9" fontId="0" fillId="3" borderId="4" xfId="2" applyFont="1" applyFill="1" applyBorder="1" applyAlignment="1">
      <alignment horizontal="center" vertical="center"/>
    </xf>
    <xf numFmtId="0" fontId="7" fillId="2" borderId="0" xfId="0" applyFont="1" applyFill="1" applyAlignment="1">
      <alignment vertical="top"/>
    </xf>
    <xf numFmtId="166" fontId="0" fillId="2" borderId="0" xfId="0" applyNumberFormat="1" applyFill="1" applyAlignment="1">
      <alignment horizontal="right"/>
    </xf>
    <xf numFmtId="166" fontId="0" fillId="3" borderId="0" xfId="0" applyNumberFormat="1" applyFill="1" applyAlignment="1">
      <alignment horizontal="right"/>
    </xf>
    <xf numFmtId="0" fontId="2" fillId="2" borderId="46" xfId="0" applyFont="1" applyFill="1" applyBorder="1" applyAlignment="1">
      <alignment horizontal="right"/>
    </xf>
    <xf numFmtId="1" fontId="2" fillId="2" borderId="0" xfId="0" applyNumberFormat="1" applyFont="1" applyFill="1"/>
    <xf numFmtId="0" fontId="6" fillId="2" borderId="0" xfId="4" quotePrefix="1" applyFill="1"/>
    <xf numFmtId="0" fontId="2" fillId="2" borderId="2" xfId="0" applyFont="1" applyFill="1" applyBorder="1" applyAlignment="1">
      <alignment horizontal="center" wrapText="1"/>
    </xf>
    <xf numFmtId="0" fontId="2" fillId="2" borderId="22" xfId="0" applyFont="1" applyFill="1" applyBorder="1" applyAlignment="1">
      <alignment horizontal="center"/>
    </xf>
    <xf numFmtId="0" fontId="2" fillId="2" borderId="25" xfId="0" applyFont="1" applyFill="1" applyBorder="1" applyAlignment="1">
      <alignment horizontal="center"/>
    </xf>
    <xf numFmtId="164" fontId="1" fillId="3" borderId="25" xfId="1" applyNumberFormat="1" applyFont="1" applyFill="1" applyBorder="1" applyAlignment="1">
      <alignment horizontal="right"/>
    </xf>
    <xf numFmtId="164" fontId="1" fillId="2" borderId="25" xfId="1" applyNumberFormat="1" applyFont="1" applyFill="1" applyBorder="1" applyAlignment="1">
      <alignment horizontal="right"/>
    </xf>
    <xf numFmtId="0" fontId="0" fillId="2" borderId="25" xfId="0" applyFill="1" applyBorder="1" applyAlignment="1">
      <alignment horizontal="right"/>
    </xf>
    <xf numFmtId="0" fontId="2" fillId="2" borderId="24" xfId="0" applyFont="1" applyFill="1" applyBorder="1" applyAlignment="1">
      <alignment horizontal="center"/>
    </xf>
    <xf numFmtId="9" fontId="0" fillId="3" borderId="25" xfId="0" applyNumberFormat="1" applyFill="1" applyBorder="1" applyAlignment="1">
      <alignment horizontal="right"/>
    </xf>
    <xf numFmtId="9" fontId="0" fillId="2" borderId="25" xfId="0" applyNumberFormat="1" applyFill="1" applyBorder="1" applyAlignment="1">
      <alignment horizontal="right"/>
    </xf>
    <xf numFmtId="9" fontId="0" fillId="3" borderId="25" xfId="2" applyFont="1" applyFill="1" applyBorder="1" applyAlignment="1">
      <alignment horizontal="right" wrapText="1"/>
    </xf>
    <xf numFmtId="9" fontId="0" fillId="2" borderId="25" xfId="2" applyFont="1" applyFill="1" applyBorder="1" applyAlignment="1">
      <alignment horizontal="right" wrapText="1"/>
    </xf>
    <xf numFmtId="166" fontId="0" fillId="2" borderId="5" xfId="0" applyNumberFormat="1" applyFill="1" applyBorder="1"/>
    <xf numFmtId="166" fontId="0" fillId="2" borderId="1" xfId="0" applyNumberFormat="1" applyFill="1" applyBorder="1"/>
    <xf numFmtId="0" fontId="0" fillId="3" borderId="17" xfId="0" applyFill="1" applyBorder="1" applyAlignment="1">
      <alignment horizontal="left" wrapText="1"/>
    </xf>
    <xf numFmtId="0" fontId="0" fillId="2" borderId="1" xfId="0" applyFill="1" applyBorder="1" applyAlignment="1">
      <alignment horizontal="left" wrapText="1"/>
    </xf>
    <xf numFmtId="9" fontId="2" fillId="3" borderId="0" xfId="2" applyFont="1" applyFill="1" applyBorder="1" applyAlignment="1">
      <alignment horizontal="center"/>
    </xf>
    <xf numFmtId="9" fontId="2" fillId="2" borderId="0" xfId="2" applyFont="1" applyFill="1" applyBorder="1" applyAlignment="1">
      <alignment horizontal="center"/>
    </xf>
    <xf numFmtId="166" fontId="0" fillId="3" borderId="4" xfId="0" applyNumberFormat="1" applyFill="1" applyBorder="1" applyAlignment="1">
      <alignment horizontal="right"/>
    </xf>
    <xf numFmtId="166" fontId="0" fillId="2" borderId="4" xfId="0" applyNumberFormat="1" applyFill="1" applyBorder="1" applyAlignment="1">
      <alignment horizontal="right"/>
    </xf>
    <xf numFmtId="0" fontId="0" fillId="2" borderId="0" xfId="0" applyFill="1" applyAlignment="1">
      <alignment horizontal="center" vertical="center"/>
    </xf>
    <xf numFmtId="9" fontId="0" fillId="2" borderId="0" xfId="2" applyFont="1" applyFill="1" applyBorder="1" applyAlignment="1">
      <alignment horizontal="center" vertical="center"/>
    </xf>
    <xf numFmtId="167" fontId="0" fillId="2" borderId="0" xfId="0" applyNumberFormat="1" applyFill="1"/>
    <xf numFmtId="9" fontId="1" fillId="3" borderId="1" xfId="2" applyFont="1" applyFill="1" applyBorder="1" applyAlignment="1">
      <alignment horizontal="right"/>
    </xf>
    <xf numFmtId="165" fontId="0" fillId="2" borderId="0" xfId="0" applyNumberFormat="1" applyFill="1"/>
    <xf numFmtId="9" fontId="0" fillId="0" borderId="0" xfId="2" applyFont="1"/>
    <xf numFmtId="0" fontId="0" fillId="0" borderId="0" xfId="0" applyAlignment="1">
      <alignment horizontal="center" vertical="center"/>
    </xf>
    <xf numFmtId="0" fontId="0" fillId="0" borderId="53" xfId="0" applyBorder="1"/>
    <xf numFmtId="9" fontId="0" fillId="0" borderId="53" xfId="2" applyFont="1" applyBorder="1"/>
    <xf numFmtId="0" fontId="0" fillId="0" borderId="0" xfId="0" applyAlignment="1">
      <alignment wrapText="1"/>
    </xf>
    <xf numFmtId="0" fontId="0" fillId="0" borderId="53" xfId="0" applyBorder="1" applyAlignment="1">
      <alignment wrapText="1"/>
    </xf>
    <xf numFmtId="0" fontId="0" fillId="2" borderId="53" xfId="0" applyFill="1" applyBorder="1" applyAlignment="1">
      <alignment horizontal="center"/>
    </xf>
    <xf numFmtId="9" fontId="0" fillId="0" borderId="53" xfId="0" applyNumberFormat="1" applyBorder="1"/>
    <xf numFmtId="165" fontId="0" fillId="0" borderId="53" xfId="2" applyNumberFormat="1" applyFont="1" applyBorder="1"/>
    <xf numFmtId="0" fontId="0" fillId="0" borderId="53" xfId="0" applyBorder="1" applyAlignment="1">
      <alignment horizontal="right"/>
    </xf>
    <xf numFmtId="0" fontId="0" fillId="0" borderId="53" xfId="0" applyBorder="1" applyAlignment="1">
      <alignment horizontal="left" wrapText="1"/>
    </xf>
    <xf numFmtId="164" fontId="1" fillId="0" borderId="53" xfId="1" applyNumberFormat="1" applyFont="1" applyFill="1" applyBorder="1"/>
    <xf numFmtId="166" fontId="1" fillId="0" borderId="53" xfId="1" applyNumberFormat="1" applyFont="1" applyFill="1" applyBorder="1"/>
    <xf numFmtId="0" fontId="0" fillId="0" borderId="53" xfId="0" applyBorder="1" applyAlignment="1">
      <alignment horizontal="center"/>
    </xf>
    <xf numFmtId="0" fontId="0" fillId="0" borderId="53" xfId="0" applyBorder="1" applyAlignment="1">
      <alignment horizontal="center" vertical="center"/>
    </xf>
    <xf numFmtId="0" fontId="0" fillId="0" borderId="53" xfId="0" applyBorder="1" applyAlignment="1">
      <alignment horizontal="left" vertical="top" wrapText="1"/>
    </xf>
    <xf numFmtId="168" fontId="0" fillId="0" borderId="53" xfId="0" applyNumberFormat="1" applyBorder="1" applyAlignment="1">
      <alignment horizontal="center"/>
    </xf>
    <xf numFmtId="164" fontId="0" fillId="0" borderId="53" xfId="1" applyNumberFormat="1" applyFont="1" applyBorder="1"/>
    <xf numFmtId="0" fontId="0" fillId="2" borderId="53" xfId="0" applyFill="1" applyBorder="1"/>
    <xf numFmtId="0" fontId="8" fillId="2" borderId="53" xfId="0" applyFont="1" applyFill="1" applyBorder="1" applyAlignment="1">
      <alignment horizontal="center" wrapText="1"/>
    </xf>
    <xf numFmtId="9" fontId="1" fillId="2" borderId="53" xfId="2" applyFont="1" applyFill="1" applyBorder="1" applyAlignment="1"/>
    <xf numFmtId="0" fontId="0" fillId="2" borderId="53" xfId="0" applyFill="1" applyBorder="1" applyAlignment="1">
      <alignment horizontal="left" vertical="center" indent="2"/>
    </xf>
    <xf numFmtId="9" fontId="0" fillId="2" borderId="53" xfId="0" applyNumberFormat="1" applyFill="1" applyBorder="1"/>
    <xf numFmtId="0" fontId="0" fillId="2" borderId="53" xfId="0" applyFill="1" applyBorder="1" applyAlignment="1">
      <alignment vertical="center"/>
    </xf>
    <xf numFmtId="166" fontId="0" fillId="2" borderId="53" xfId="0" applyNumberFormat="1" applyFill="1" applyBorder="1" applyAlignment="1">
      <alignment horizontal="right" vertical="center"/>
    </xf>
    <xf numFmtId="9" fontId="2" fillId="3" borderId="2" xfId="2" applyFont="1" applyFill="1" applyBorder="1" applyAlignment="1">
      <alignment horizontal="right" wrapText="1"/>
    </xf>
    <xf numFmtId="9" fontId="2" fillId="2" borderId="2" xfId="2" applyFont="1" applyFill="1" applyBorder="1" applyAlignment="1">
      <alignment horizontal="right" wrapText="1"/>
    </xf>
    <xf numFmtId="9" fontId="2" fillId="3" borderId="0" xfId="2" applyFont="1" applyFill="1" applyBorder="1" applyAlignment="1">
      <alignment horizontal="right" wrapText="1"/>
    </xf>
    <xf numFmtId="166" fontId="0" fillId="2" borderId="53" xfId="0" applyNumberFormat="1" applyFill="1" applyBorder="1"/>
    <xf numFmtId="0" fontId="12" fillId="5" borderId="51" xfId="0" applyFont="1" applyFill="1" applyBorder="1" applyAlignment="1">
      <alignment horizontal="left" vertical="center" wrapText="1" indent="2"/>
    </xf>
    <xf numFmtId="0" fontId="13" fillId="4" borderId="44" xfId="0" applyFont="1" applyFill="1" applyBorder="1" applyAlignment="1">
      <alignment wrapText="1"/>
    </xf>
    <xf numFmtId="0" fontId="13" fillId="4" borderId="50" xfId="0" applyFont="1" applyFill="1" applyBorder="1"/>
    <xf numFmtId="0" fontId="12" fillId="0" borderId="52" xfId="0" applyFont="1" applyBorder="1" applyAlignment="1">
      <alignment horizontal="left" wrapText="1" indent="2"/>
    </xf>
    <xf numFmtId="0" fontId="12" fillId="0" borderId="44" xfId="0" applyFont="1" applyBorder="1" applyAlignment="1">
      <alignment horizontal="left" wrapText="1" indent="2"/>
    </xf>
    <xf numFmtId="0" fontId="6" fillId="2" borderId="0" xfId="4" applyFill="1" applyAlignment="1">
      <alignment horizontal="left" vertical="center"/>
    </xf>
    <xf numFmtId="0" fontId="6" fillId="2" borderId="55" xfId="4" applyFill="1" applyBorder="1" applyAlignment="1">
      <alignment horizontal="left" vertical="center"/>
    </xf>
    <xf numFmtId="0" fontId="6" fillId="2" borderId="52" xfId="4" applyFill="1" applyBorder="1" applyAlignment="1">
      <alignment horizontal="left" vertical="center"/>
    </xf>
    <xf numFmtId="0" fontId="6" fillId="2" borderId="54" xfId="4" applyFill="1" applyBorder="1" applyAlignment="1">
      <alignment horizontal="left" vertical="center"/>
    </xf>
    <xf numFmtId="0" fontId="6" fillId="0" borderId="55" xfId="4" applyFill="1" applyBorder="1"/>
    <xf numFmtId="0" fontId="2" fillId="2" borderId="1" xfId="0" applyFont="1" applyFill="1" applyBorder="1" applyAlignment="1">
      <alignment horizontal="center" wrapText="1"/>
    </xf>
    <xf numFmtId="0" fontId="0" fillId="3" borderId="3" xfId="0" applyFill="1" applyBorder="1" applyAlignment="1">
      <alignment horizontal="center"/>
    </xf>
    <xf numFmtId="9" fontId="0" fillId="2" borderId="4" xfId="0" applyNumberFormat="1" applyFill="1" applyBorder="1"/>
    <xf numFmtId="0" fontId="7" fillId="2" borderId="6" xfId="0" applyFont="1" applyFill="1" applyBorder="1" applyAlignment="1">
      <alignment horizontal="center" wrapText="1"/>
    </xf>
    <xf numFmtId="9" fontId="2" fillId="3" borderId="4" xfId="2" applyFont="1" applyFill="1" applyBorder="1" applyAlignment="1">
      <alignment horizontal="right" wrapText="1"/>
    </xf>
    <xf numFmtId="9" fontId="2" fillId="2" borderId="4" xfId="2" applyFont="1" applyFill="1" applyBorder="1" applyAlignment="1">
      <alignment horizontal="right" wrapText="1"/>
    </xf>
    <xf numFmtId="0" fontId="1" fillId="0" borderId="0" xfId="0" applyFont="1"/>
    <xf numFmtId="166" fontId="11" fillId="3" borderId="4" xfId="5" applyNumberFormat="1" applyFont="1" applyFill="1" applyBorder="1" applyAlignment="1">
      <alignment horizontal="right"/>
    </xf>
    <xf numFmtId="166" fontId="11" fillId="3" borderId="33" xfId="5" applyNumberFormat="1" applyFont="1" applyFill="1" applyBorder="1" applyAlignment="1">
      <alignment horizontal="right"/>
    </xf>
    <xf numFmtId="166" fontId="16" fillId="3" borderId="59" xfId="5" applyNumberFormat="1" applyFont="1" applyFill="1" applyBorder="1" applyAlignment="1">
      <alignment horizontal="right"/>
    </xf>
    <xf numFmtId="166" fontId="16" fillId="3" borderId="56" xfId="5" applyNumberFormat="1" applyFont="1" applyFill="1" applyBorder="1" applyAlignment="1">
      <alignment horizontal="right"/>
    </xf>
    <xf numFmtId="166" fontId="16" fillId="3" borderId="4" xfId="5" applyNumberFormat="1" applyFont="1" applyFill="1" applyBorder="1" applyAlignment="1">
      <alignment horizontal="right"/>
    </xf>
    <xf numFmtId="166" fontId="16" fillId="3" borderId="33" xfId="5" applyNumberFormat="1" applyFont="1" applyFill="1" applyBorder="1" applyAlignment="1">
      <alignment horizontal="right"/>
    </xf>
    <xf numFmtId="166" fontId="16" fillId="3" borderId="19" xfId="5" applyNumberFormat="1" applyFont="1" applyFill="1" applyBorder="1" applyAlignment="1">
      <alignment horizontal="right"/>
    </xf>
    <xf numFmtId="166" fontId="16" fillId="3" borderId="62" xfId="5" applyNumberFormat="1" applyFont="1" applyFill="1" applyBorder="1" applyAlignment="1">
      <alignment horizontal="right"/>
    </xf>
    <xf numFmtId="166" fontId="0" fillId="2" borderId="42" xfId="5" applyNumberFormat="1" applyFont="1" applyFill="1" applyBorder="1" applyAlignment="1">
      <alignment horizontal="right"/>
    </xf>
    <xf numFmtId="166" fontId="0" fillId="2" borderId="43" xfId="5" applyNumberFormat="1" applyFont="1" applyFill="1" applyBorder="1" applyAlignment="1">
      <alignment horizontal="right"/>
    </xf>
    <xf numFmtId="9" fontId="11" fillId="3" borderId="38" xfId="2" applyFont="1" applyFill="1" applyBorder="1" applyAlignment="1">
      <alignment horizontal="right"/>
    </xf>
    <xf numFmtId="9" fontId="0" fillId="2" borderId="38" xfId="2" applyFont="1" applyFill="1" applyBorder="1" applyAlignment="1">
      <alignment horizontal="right"/>
    </xf>
    <xf numFmtId="9" fontId="0" fillId="3" borderId="38" xfId="2" applyFont="1" applyFill="1" applyBorder="1" applyAlignment="1">
      <alignment horizontal="right"/>
    </xf>
    <xf numFmtId="9" fontId="16" fillId="3" borderId="58" xfId="2" applyFont="1" applyFill="1" applyBorder="1" applyAlignment="1">
      <alignment horizontal="right"/>
    </xf>
    <xf numFmtId="9" fontId="16" fillId="3" borderId="38" xfId="2" applyFont="1" applyFill="1" applyBorder="1" applyAlignment="1">
      <alignment horizontal="right"/>
    </xf>
    <xf numFmtId="9" fontId="16" fillId="3" borderId="61" xfId="2" applyFont="1" applyFill="1" applyBorder="1" applyAlignment="1">
      <alignment horizontal="right"/>
    </xf>
    <xf numFmtId="9" fontId="0" fillId="2" borderId="46" xfId="2" applyFont="1" applyFill="1" applyBorder="1" applyAlignment="1">
      <alignment horizontal="right"/>
    </xf>
    <xf numFmtId="166" fontId="2" fillId="2" borderId="0" xfId="0" applyNumberFormat="1" applyFont="1" applyFill="1" applyAlignment="1">
      <alignment horizontal="center" vertical="center"/>
    </xf>
    <xf numFmtId="9" fontId="0" fillId="2" borderId="4" xfId="2" applyFont="1" applyFill="1" applyBorder="1" applyAlignment="1">
      <alignment horizontal="center" vertical="center"/>
    </xf>
    <xf numFmtId="9" fontId="0" fillId="3" borderId="0" xfId="2" applyFont="1" applyFill="1" applyBorder="1" applyAlignment="1">
      <alignment wrapText="1"/>
    </xf>
    <xf numFmtId="9" fontId="0" fillId="2" borderId="0" xfId="2" applyFont="1" applyFill="1" applyBorder="1" applyAlignment="1">
      <alignment wrapText="1"/>
    </xf>
    <xf numFmtId="0" fontId="0" fillId="2" borderId="10" xfId="0" applyFill="1" applyBorder="1" applyAlignment="1">
      <alignment horizontal="center"/>
    </xf>
    <xf numFmtId="164" fontId="1" fillId="2" borderId="9" xfId="1" applyNumberFormat="1" applyFont="1" applyFill="1" applyBorder="1" applyAlignment="1">
      <alignment horizontal="right"/>
    </xf>
    <xf numFmtId="164" fontId="1" fillId="2" borderId="7" xfId="1" applyNumberFormat="1" applyFont="1" applyFill="1" applyBorder="1" applyAlignment="1">
      <alignment horizontal="right"/>
    </xf>
    <xf numFmtId="164" fontId="1" fillId="2" borderId="57" xfId="1" applyNumberFormat="1" applyFont="1" applyFill="1" applyBorder="1" applyAlignment="1">
      <alignment horizontal="right"/>
    </xf>
    <xf numFmtId="9" fontId="1" fillId="3" borderId="2" xfId="2" applyFont="1" applyFill="1" applyBorder="1" applyAlignment="1">
      <alignment horizontal="right"/>
    </xf>
    <xf numFmtId="0" fontId="0" fillId="2" borderId="3" xfId="0" applyFill="1" applyBorder="1"/>
    <xf numFmtId="9" fontId="1" fillId="3" borderId="29" xfId="2" applyFont="1" applyFill="1" applyBorder="1" applyAlignment="1">
      <alignment horizontal="right"/>
    </xf>
    <xf numFmtId="164" fontId="0" fillId="2" borderId="9" xfId="1" applyNumberFormat="1" applyFont="1" applyFill="1" applyBorder="1" applyAlignment="1">
      <alignment horizontal="center"/>
    </xf>
    <xf numFmtId="164" fontId="0" fillId="2" borderId="7" xfId="1" applyNumberFormat="1" applyFont="1" applyFill="1" applyBorder="1" applyAlignment="1">
      <alignment horizontal="center"/>
    </xf>
    <xf numFmtId="164" fontId="0" fillId="2" borderId="57" xfId="1" applyNumberFormat="1" applyFont="1" applyFill="1" applyBorder="1" applyAlignment="1">
      <alignment horizontal="center"/>
    </xf>
    <xf numFmtId="9" fontId="0" fillId="2" borderId="1" xfId="0" applyNumberFormat="1" applyFill="1" applyBorder="1" applyAlignment="1">
      <alignment horizontal="right"/>
    </xf>
    <xf numFmtId="0" fontId="0" fillId="2" borderId="3" xfId="0" applyFill="1" applyBorder="1" applyAlignment="1">
      <alignment horizontal="center"/>
    </xf>
    <xf numFmtId="9" fontId="0" fillId="2" borderId="3" xfId="0" applyNumberFormat="1" applyFill="1" applyBorder="1" applyAlignment="1">
      <alignment horizontal="right"/>
    </xf>
    <xf numFmtId="9" fontId="0" fillId="2" borderId="30" xfId="0" applyNumberFormat="1" applyFill="1" applyBorder="1" applyAlignment="1">
      <alignment horizontal="right"/>
    </xf>
    <xf numFmtId="0" fontId="1" fillId="3" borderId="3" xfId="2" applyNumberFormat="1" applyFont="1" applyFill="1" applyBorder="1" applyAlignment="1">
      <alignment horizontal="center"/>
    </xf>
    <xf numFmtId="9" fontId="1" fillId="3" borderId="3" xfId="2" applyFont="1" applyFill="1" applyBorder="1" applyAlignment="1">
      <alignment horizontal="right"/>
    </xf>
    <xf numFmtId="9" fontId="0" fillId="2" borderId="1" xfId="2" applyFont="1" applyFill="1" applyBorder="1" applyAlignment="1">
      <alignment wrapText="1"/>
    </xf>
    <xf numFmtId="165" fontId="0" fillId="2" borderId="1" xfId="2" applyNumberFormat="1" applyFont="1" applyFill="1" applyBorder="1" applyAlignment="1">
      <alignment wrapText="1"/>
    </xf>
    <xf numFmtId="165" fontId="0" fillId="2" borderId="3" xfId="2" applyNumberFormat="1" applyFont="1" applyFill="1" applyBorder="1" applyAlignment="1">
      <alignment wrapText="1"/>
    </xf>
    <xf numFmtId="9" fontId="0" fillId="2" borderId="30" xfId="2" applyFont="1" applyFill="1" applyBorder="1" applyAlignment="1">
      <alignment wrapText="1"/>
    </xf>
    <xf numFmtId="9" fontId="0" fillId="2" borderId="3" xfId="2" applyFont="1" applyFill="1" applyBorder="1" applyAlignment="1">
      <alignment horizontal="right" wrapText="1"/>
    </xf>
    <xf numFmtId="9" fontId="0" fillId="2" borderId="30" xfId="2" applyFont="1" applyFill="1" applyBorder="1" applyAlignment="1">
      <alignment horizontal="right" wrapText="1"/>
    </xf>
    <xf numFmtId="164" fontId="2" fillId="3" borderId="34" xfId="1" applyNumberFormat="1" applyFont="1" applyFill="1" applyBorder="1" applyAlignment="1">
      <alignment horizontal="right"/>
    </xf>
    <xf numFmtId="164" fontId="0" fillId="3" borderId="39" xfId="1" applyNumberFormat="1" applyFont="1" applyFill="1" applyBorder="1" applyAlignment="1">
      <alignment horizontal="right"/>
    </xf>
    <xf numFmtId="164" fontId="2" fillId="3" borderId="31" xfId="1" applyNumberFormat="1" applyFont="1" applyFill="1" applyBorder="1" applyAlignment="1">
      <alignment horizontal="right"/>
    </xf>
    <xf numFmtId="166" fontId="11" fillId="3" borderId="0" xfId="5" applyNumberFormat="1" applyFont="1" applyFill="1" applyBorder="1" applyAlignment="1">
      <alignment horizontal="right"/>
    </xf>
    <xf numFmtId="166" fontId="16" fillId="3" borderId="41" xfId="5" applyNumberFormat="1" applyFont="1" applyFill="1" applyBorder="1" applyAlignment="1">
      <alignment horizontal="right"/>
    </xf>
    <xf numFmtId="166" fontId="16" fillId="3" borderId="0" xfId="5" applyNumberFormat="1" applyFont="1" applyFill="1" applyBorder="1" applyAlignment="1">
      <alignment horizontal="right"/>
    </xf>
    <xf numFmtId="166" fontId="16" fillId="3" borderId="21" xfId="5" applyNumberFormat="1" applyFont="1" applyFill="1" applyBorder="1" applyAlignment="1">
      <alignment horizontal="right"/>
    </xf>
    <xf numFmtId="166" fontId="0" fillId="2" borderId="40" xfId="5" applyNumberFormat="1" applyFont="1" applyFill="1" applyBorder="1" applyAlignment="1">
      <alignment horizontal="right"/>
    </xf>
    <xf numFmtId="0" fontId="0" fillId="2" borderId="7" xfId="0" applyFill="1" applyBorder="1" applyAlignment="1">
      <alignment horizontal="center" vertical="center"/>
    </xf>
    <xf numFmtId="166" fontId="0" fillId="2" borderId="9" xfId="0" applyNumberFormat="1" applyFill="1" applyBorder="1" applyAlignment="1">
      <alignment horizontal="center"/>
    </xf>
    <xf numFmtId="166" fontId="0" fillId="2" borderId="7" xfId="0" applyNumberFormat="1" applyFill="1" applyBorder="1" applyAlignment="1">
      <alignment horizontal="center"/>
    </xf>
    <xf numFmtId="166" fontId="2" fillId="2" borderId="7" xfId="0" applyNumberFormat="1" applyFont="1" applyFill="1" applyBorder="1" applyAlignment="1">
      <alignment horizontal="center" vertical="center"/>
    </xf>
    <xf numFmtId="9" fontId="0" fillId="2" borderId="1" xfId="2" applyFont="1" applyFill="1" applyBorder="1" applyAlignment="1">
      <alignment horizontal="center" vertical="center"/>
    </xf>
    <xf numFmtId="0" fontId="0" fillId="2" borderId="3" xfId="0" applyFill="1" applyBorder="1" applyAlignment="1">
      <alignment horizontal="center" vertical="center"/>
    </xf>
    <xf numFmtId="9" fontId="0" fillId="2" borderId="3" xfId="2" applyFont="1" applyFill="1" applyBorder="1" applyAlignment="1">
      <alignment horizontal="center" vertical="center"/>
    </xf>
    <xf numFmtId="0" fontId="0" fillId="3" borderId="17" xfId="0" applyFill="1" applyBorder="1" applyAlignment="1">
      <alignment horizontal="center" wrapText="1"/>
    </xf>
    <xf numFmtId="166" fontId="0" fillId="3" borderId="18" xfId="0" applyNumberFormat="1" applyFill="1" applyBorder="1" applyAlignment="1">
      <alignment horizontal="center"/>
    </xf>
    <xf numFmtId="166" fontId="0" fillId="3" borderId="17" xfId="0" applyNumberFormat="1" applyFill="1" applyBorder="1" applyAlignment="1">
      <alignment horizontal="center"/>
    </xf>
    <xf numFmtId="166" fontId="2" fillId="3" borderId="17" xfId="0" applyNumberFormat="1" applyFont="1" applyFill="1" applyBorder="1" applyAlignment="1">
      <alignment horizontal="center"/>
    </xf>
    <xf numFmtId="9" fontId="0" fillId="3" borderId="6" xfId="2" applyFont="1" applyFill="1" applyBorder="1" applyAlignment="1">
      <alignment horizontal="center"/>
    </xf>
    <xf numFmtId="9" fontId="0" fillId="3" borderId="14" xfId="2" applyFont="1" applyFill="1" applyBorder="1" applyAlignment="1">
      <alignment horizontal="center"/>
    </xf>
    <xf numFmtId="9" fontId="2" fillId="3" borderId="14" xfId="2" applyFont="1" applyFill="1" applyBorder="1" applyAlignment="1">
      <alignment horizontal="center"/>
    </xf>
    <xf numFmtId="0" fontId="18" fillId="3" borderId="14" xfId="0" applyFont="1" applyFill="1" applyBorder="1" applyAlignment="1">
      <alignment wrapText="1"/>
    </xf>
    <xf numFmtId="9" fontId="0" fillId="2" borderId="3" xfId="2" applyFont="1" applyFill="1" applyBorder="1"/>
    <xf numFmtId="0" fontId="2" fillId="3" borderId="8" xfId="0" applyFont="1" applyFill="1" applyBorder="1"/>
    <xf numFmtId="166" fontId="2" fillId="3" borderId="6" xfId="0" applyNumberFormat="1" applyFont="1" applyFill="1" applyBorder="1" applyAlignment="1">
      <alignment horizontal="right"/>
    </xf>
    <xf numFmtId="166" fontId="2" fillId="3" borderId="14" xfId="0" applyNumberFormat="1" applyFont="1" applyFill="1" applyBorder="1" applyAlignment="1">
      <alignment horizontal="right"/>
    </xf>
    <xf numFmtId="9" fontId="0" fillId="2" borderId="30" xfId="2" applyFont="1" applyFill="1" applyBorder="1"/>
    <xf numFmtId="9" fontId="1" fillId="3" borderId="25" xfId="2" applyFont="1" applyFill="1" applyBorder="1" applyAlignment="1">
      <alignment horizontal="right"/>
    </xf>
    <xf numFmtId="9" fontId="1" fillId="2" borderId="25" xfId="2" applyFont="1" applyFill="1" applyBorder="1" applyAlignment="1">
      <alignment horizontal="right"/>
    </xf>
    <xf numFmtId="0" fontId="2" fillId="2" borderId="2" xfId="0" applyFont="1" applyFill="1" applyBorder="1" applyAlignment="1">
      <alignment horizontal="center" vertical="center" wrapText="1"/>
    </xf>
    <xf numFmtId="0" fontId="2" fillId="2" borderId="68" xfId="0" applyFont="1" applyFill="1" applyBorder="1" applyAlignment="1">
      <alignment horizontal="center"/>
    </xf>
    <xf numFmtId="164" fontId="0" fillId="3" borderId="2" xfId="1" applyNumberFormat="1" applyFont="1" applyFill="1" applyBorder="1" applyAlignment="1">
      <alignment horizontal="center"/>
    </xf>
    <xf numFmtId="164" fontId="0" fillId="2" borderId="2" xfId="1" applyNumberFormat="1" applyFont="1" applyFill="1" applyBorder="1" applyAlignment="1">
      <alignment horizontal="center"/>
    </xf>
    <xf numFmtId="164" fontId="0" fillId="2" borderId="10" xfId="1" applyNumberFormat="1" applyFont="1" applyFill="1" applyBorder="1" applyAlignment="1">
      <alignment horizontal="center"/>
    </xf>
    <xf numFmtId="0" fontId="2" fillId="2" borderId="2" xfId="0" applyFont="1" applyFill="1" applyBorder="1" applyAlignment="1">
      <alignment horizontal="center"/>
    </xf>
    <xf numFmtId="9" fontId="0" fillId="3" borderId="2" xfId="0" applyNumberFormat="1" applyFill="1" applyBorder="1" applyAlignment="1">
      <alignment horizontal="right"/>
    </xf>
    <xf numFmtId="9" fontId="0" fillId="2" borderId="2" xfId="0" applyNumberFormat="1" applyFill="1" applyBorder="1" applyAlignment="1">
      <alignment horizontal="right"/>
    </xf>
    <xf numFmtId="9" fontId="0" fillId="3" borderId="1" xfId="2" applyFont="1" applyFill="1" applyBorder="1"/>
    <xf numFmtId="9" fontId="0" fillId="3" borderId="35" xfId="2" applyFont="1" applyFill="1" applyBorder="1"/>
    <xf numFmtId="9" fontId="2" fillId="3" borderId="35" xfId="2" applyFont="1" applyFill="1" applyBorder="1"/>
    <xf numFmtId="9" fontId="2" fillId="3" borderId="30" xfId="2" applyFont="1" applyFill="1" applyBorder="1"/>
    <xf numFmtId="9" fontId="2" fillId="3" borderId="65" xfId="2" applyFont="1" applyFill="1" applyBorder="1"/>
    <xf numFmtId="9" fontId="2" fillId="3" borderId="1" xfId="2" applyFont="1" applyFill="1" applyBorder="1"/>
    <xf numFmtId="9" fontId="2" fillId="3" borderId="63" xfId="2" applyFont="1" applyFill="1" applyBorder="1"/>
    <xf numFmtId="9" fontId="2" fillId="3" borderId="66" xfId="2" applyFont="1" applyFill="1" applyBorder="1"/>
    <xf numFmtId="9" fontId="11" fillId="3" borderId="33" xfId="2" applyFont="1" applyFill="1" applyBorder="1" applyAlignment="1">
      <alignment horizontal="right"/>
    </xf>
    <xf numFmtId="9" fontId="0" fillId="2" borderId="33" xfId="2" applyFont="1" applyFill="1" applyBorder="1" applyAlignment="1">
      <alignment horizontal="right"/>
    </xf>
    <xf numFmtId="9" fontId="0" fillId="3" borderId="33" xfId="2" applyFont="1" applyFill="1" applyBorder="1" applyAlignment="1">
      <alignment horizontal="right"/>
    </xf>
    <xf numFmtId="9" fontId="16" fillId="3" borderId="56" xfId="2" applyFont="1" applyFill="1" applyBorder="1" applyAlignment="1">
      <alignment horizontal="right"/>
    </xf>
    <xf numFmtId="9" fontId="16" fillId="3" borderId="33" xfId="2" applyFont="1" applyFill="1" applyBorder="1" applyAlignment="1">
      <alignment horizontal="right"/>
    </xf>
    <xf numFmtId="9" fontId="16" fillId="3" borderId="62" xfId="2" applyFont="1" applyFill="1" applyBorder="1" applyAlignment="1">
      <alignment horizontal="right"/>
    </xf>
    <xf numFmtId="9" fontId="0" fillId="2" borderId="43" xfId="2" applyFont="1" applyFill="1" applyBorder="1" applyAlignment="1">
      <alignment horizontal="right"/>
    </xf>
    <xf numFmtId="164" fontId="0" fillId="2" borderId="1" xfId="1" applyNumberFormat="1" applyFont="1" applyFill="1" applyBorder="1"/>
    <xf numFmtId="164" fontId="0" fillId="2" borderId="3" xfId="1" applyNumberFormat="1" applyFont="1" applyFill="1" applyBorder="1"/>
    <xf numFmtId="0" fontId="2" fillId="2" borderId="40" xfId="0" applyFont="1" applyFill="1" applyBorder="1" applyAlignment="1">
      <alignment horizontal="center" wrapText="1"/>
    </xf>
    <xf numFmtId="0" fontId="2" fillId="2" borderId="69" xfId="0" applyFont="1" applyFill="1" applyBorder="1" applyAlignment="1">
      <alignment horizontal="center" vertical="center" wrapText="1"/>
    </xf>
    <xf numFmtId="164" fontId="0" fillId="3" borderId="0" xfId="1" applyNumberFormat="1" applyFont="1" applyFill="1"/>
    <xf numFmtId="164" fontId="0" fillId="2" borderId="0" xfId="1" applyNumberFormat="1" applyFont="1" applyFill="1"/>
    <xf numFmtId="164" fontId="0" fillId="3" borderId="7" xfId="1" applyNumberFormat="1" applyFont="1" applyFill="1" applyBorder="1"/>
    <xf numFmtId="164" fontId="0" fillId="3" borderId="10" xfId="1" applyNumberFormat="1" applyFont="1" applyFill="1" applyBorder="1"/>
    <xf numFmtId="9" fontId="0" fillId="3" borderId="0" xfId="2" applyFont="1" applyFill="1"/>
    <xf numFmtId="0" fontId="2" fillId="2" borderId="40" xfId="0" applyFont="1" applyFill="1" applyBorder="1" applyAlignment="1">
      <alignment horizontal="center" vertical="center" wrapText="1"/>
    </xf>
    <xf numFmtId="164" fontId="0" fillId="3" borderId="4" xfId="1" applyNumberFormat="1" applyFont="1" applyFill="1" applyBorder="1"/>
    <xf numFmtId="164" fontId="2" fillId="3" borderId="2" xfId="1" applyNumberFormat="1" applyFont="1" applyFill="1" applyBorder="1" applyAlignment="1">
      <alignment horizontal="center" wrapText="1"/>
    </xf>
    <xf numFmtId="164" fontId="2" fillId="3" borderId="33" xfId="1" applyNumberFormat="1" applyFont="1" applyFill="1" applyBorder="1" applyAlignment="1">
      <alignment horizontal="center" wrapText="1"/>
    </xf>
    <xf numFmtId="164" fontId="2" fillId="3" borderId="29" xfId="1" applyNumberFormat="1" applyFont="1" applyFill="1" applyBorder="1" applyAlignment="1">
      <alignment horizontal="center" wrapText="1"/>
    </xf>
    <xf numFmtId="164" fontId="2" fillId="3" borderId="0" xfId="1" applyNumberFormat="1" applyFont="1" applyFill="1" applyAlignment="1">
      <alignment horizontal="center" wrapText="1"/>
    </xf>
    <xf numFmtId="164" fontId="2" fillId="3" borderId="4" xfId="1" applyNumberFormat="1" applyFont="1" applyFill="1" applyBorder="1" applyAlignment="1">
      <alignment horizontal="center" wrapText="1"/>
    </xf>
    <xf numFmtId="164" fontId="2" fillId="2" borderId="2" xfId="1" applyNumberFormat="1" applyFont="1" applyFill="1" applyBorder="1" applyAlignment="1">
      <alignment horizontal="center" wrapText="1"/>
    </xf>
    <xf numFmtId="164" fontId="2" fillId="2" borderId="33" xfId="1" applyNumberFormat="1" applyFont="1" applyFill="1" applyBorder="1" applyAlignment="1">
      <alignment horizontal="center" wrapText="1"/>
    </xf>
    <xf numFmtId="164" fontId="2" fillId="2" borderId="29" xfId="1" applyNumberFormat="1" applyFont="1" applyFill="1" applyBorder="1" applyAlignment="1">
      <alignment horizontal="center" wrapText="1"/>
    </xf>
    <xf numFmtId="164" fontId="2" fillId="2" borderId="0" xfId="1" applyNumberFormat="1" applyFont="1" applyFill="1" applyAlignment="1">
      <alignment horizontal="center" wrapText="1"/>
    </xf>
    <xf numFmtId="164" fontId="2" fillId="2" borderId="4" xfId="1" applyNumberFormat="1" applyFont="1" applyFill="1" applyBorder="1" applyAlignment="1">
      <alignment horizontal="center" wrapText="1"/>
    </xf>
    <xf numFmtId="164" fontId="2" fillId="3" borderId="10" xfId="1" applyNumberFormat="1" applyFont="1" applyFill="1" applyBorder="1" applyAlignment="1">
      <alignment horizontal="center" wrapText="1"/>
    </xf>
    <xf numFmtId="164" fontId="2" fillId="3" borderId="34" xfId="1" applyNumberFormat="1" applyFont="1" applyFill="1" applyBorder="1" applyAlignment="1">
      <alignment horizontal="center" wrapText="1"/>
    </xf>
    <xf numFmtId="164" fontId="2" fillId="3" borderId="31" xfId="1" applyNumberFormat="1" applyFont="1" applyFill="1" applyBorder="1" applyAlignment="1">
      <alignment horizontal="center" wrapText="1"/>
    </xf>
    <xf numFmtId="164" fontId="2" fillId="3" borderId="7" xfId="1" applyNumberFormat="1" applyFont="1" applyFill="1" applyBorder="1" applyAlignment="1">
      <alignment horizontal="center" wrapText="1"/>
    </xf>
    <xf numFmtId="164" fontId="2" fillId="3" borderId="9" xfId="1" applyNumberFormat="1" applyFont="1" applyFill="1" applyBorder="1" applyAlignment="1">
      <alignment horizontal="center" wrapText="1"/>
    </xf>
    <xf numFmtId="9" fontId="2" fillId="3" borderId="3" xfId="2" applyFont="1" applyFill="1" applyBorder="1"/>
    <xf numFmtId="0" fontId="11" fillId="2" borderId="54" xfId="0" applyFont="1" applyFill="1" applyBorder="1" applyAlignment="1">
      <alignment horizontal="left" wrapText="1" indent="2"/>
    </xf>
    <xf numFmtId="0" fontId="12" fillId="5" borderId="55" xfId="0" applyFont="1" applyFill="1" applyBorder="1" applyAlignment="1">
      <alignment horizontal="left" wrapText="1" indent="2"/>
    </xf>
    <xf numFmtId="0" fontId="5" fillId="2" borderId="0" xfId="0" applyFont="1" applyFill="1" applyAlignment="1">
      <alignment horizontal="left"/>
    </xf>
    <xf numFmtId="0" fontId="2" fillId="2" borderId="0" xfId="0" applyFont="1" applyFill="1" applyAlignment="1">
      <alignment horizontal="center" wrapText="1"/>
    </xf>
    <xf numFmtId="0" fontId="2" fillId="2" borderId="19" xfId="0" applyFont="1" applyFill="1" applyBorder="1" applyAlignment="1">
      <alignment horizontal="center"/>
    </xf>
    <xf numFmtId="0" fontId="2" fillId="2" borderId="21" xfId="0" applyFont="1" applyFill="1" applyBorder="1" applyAlignment="1">
      <alignment horizontal="center"/>
    </xf>
    <xf numFmtId="0" fontId="2" fillId="2" borderId="20" xfId="0" applyFont="1" applyFill="1" applyBorder="1" applyAlignment="1">
      <alignment horizontal="center"/>
    </xf>
    <xf numFmtId="0" fontId="2" fillId="2" borderId="27" xfId="0" applyFont="1" applyFill="1" applyBorder="1" applyAlignment="1">
      <alignment horizontal="center"/>
    </xf>
    <xf numFmtId="0" fontId="2" fillId="2" borderId="28" xfId="0" applyFont="1" applyFill="1" applyBorder="1" applyAlignment="1">
      <alignment horizontal="center"/>
    </xf>
    <xf numFmtId="0" fontId="2" fillId="2" borderId="9" xfId="0" applyFont="1" applyFill="1" applyBorder="1" applyAlignment="1">
      <alignment horizontal="center" wrapText="1"/>
    </xf>
    <xf numFmtId="0" fontId="2" fillId="2" borderId="7" xfId="0" applyFont="1" applyFill="1" applyBorder="1" applyAlignment="1">
      <alignment horizontal="center" wrapText="1"/>
    </xf>
    <xf numFmtId="0" fontId="2" fillId="2" borderId="60" xfId="0" applyFont="1" applyFill="1" applyBorder="1" applyAlignment="1">
      <alignment horizontal="center"/>
    </xf>
    <xf numFmtId="1" fontId="2" fillId="2" borderId="19" xfId="0" applyNumberFormat="1" applyFont="1" applyFill="1" applyBorder="1" applyAlignment="1">
      <alignment horizontal="center"/>
    </xf>
    <xf numFmtId="1" fontId="2" fillId="2" borderId="21" xfId="0" applyNumberFormat="1" applyFont="1" applyFill="1" applyBorder="1" applyAlignment="1">
      <alignment horizontal="center"/>
    </xf>
    <xf numFmtId="0" fontId="2" fillId="2" borderId="19" xfId="0" applyFont="1" applyFill="1" applyBorder="1" applyAlignment="1">
      <alignment horizontal="center" wrapText="1"/>
    </xf>
    <xf numFmtId="0" fontId="2" fillId="2" borderId="21" xfId="0" applyFont="1" applyFill="1" applyBorder="1" applyAlignment="1">
      <alignment horizontal="center" wrapText="1"/>
    </xf>
    <xf numFmtId="0" fontId="2" fillId="2" borderId="20" xfId="0" applyFont="1" applyFill="1" applyBorder="1" applyAlignment="1">
      <alignment horizontal="center" wrapText="1"/>
    </xf>
    <xf numFmtId="0" fontId="2" fillId="2" borderId="25" xfId="0" applyFont="1" applyFill="1" applyBorder="1" applyAlignment="1">
      <alignment horizontal="center"/>
    </xf>
    <xf numFmtId="0" fontId="2" fillId="2" borderId="0" xfId="0" applyFont="1" applyFill="1" applyAlignment="1">
      <alignment horizontal="center"/>
    </xf>
    <xf numFmtId="0" fontId="2" fillId="2" borderId="64" xfId="0" applyFont="1" applyFill="1" applyBorder="1" applyAlignment="1">
      <alignment horizontal="center"/>
    </xf>
    <xf numFmtId="0" fontId="2" fillId="2" borderId="47" xfId="0" applyFont="1" applyFill="1" applyBorder="1" applyAlignment="1">
      <alignment horizontal="center"/>
    </xf>
    <xf numFmtId="0" fontId="2" fillId="2" borderId="67" xfId="0" applyFont="1" applyFill="1" applyBorder="1" applyAlignment="1">
      <alignment horizontal="center"/>
    </xf>
    <xf numFmtId="0" fontId="2" fillId="2" borderId="23" xfId="0" applyFont="1" applyFill="1" applyBorder="1" applyAlignment="1">
      <alignment horizontal="center"/>
    </xf>
    <xf numFmtId="1" fontId="2" fillId="2" borderId="64" xfId="0" applyNumberFormat="1" applyFont="1" applyFill="1" applyBorder="1" applyAlignment="1">
      <alignment horizontal="center"/>
    </xf>
    <xf numFmtId="0" fontId="2" fillId="2" borderId="62" xfId="0" applyFont="1" applyFill="1" applyBorder="1" applyAlignment="1">
      <alignment horizontal="center"/>
    </xf>
    <xf numFmtId="0" fontId="2" fillId="2" borderId="38" xfId="0" applyFont="1" applyFill="1" applyBorder="1" applyAlignment="1">
      <alignment horizontal="center"/>
    </xf>
    <xf numFmtId="0" fontId="2" fillId="2" borderId="61" xfId="0" applyFont="1" applyFill="1" applyBorder="1" applyAlignment="1">
      <alignment horizontal="center"/>
    </xf>
    <xf numFmtId="0" fontId="5" fillId="2" borderId="2" xfId="0" applyFont="1" applyFill="1" applyBorder="1" applyAlignment="1">
      <alignment horizontal="left" vertical="top"/>
    </xf>
    <xf numFmtId="0" fontId="2" fillId="2" borderId="45" xfId="0" applyFont="1" applyFill="1" applyBorder="1" applyAlignment="1">
      <alignment horizontal="center"/>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0" fillId="0" borderId="53" xfId="0" applyBorder="1" applyAlignment="1">
      <alignment horizontal="center"/>
    </xf>
    <xf numFmtId="0" fontId="0" fillId="0" borderId="53" xfId="0" applyBorder="1" applyAlignment="1">
      <alignment horizontal="center" vertical="center" wrapText="1"/>
    </xf>
    <xf numFmtId="0" fontId="0" fillId="0" borderId="53" xfId="0" applyBorder="1" applyAlignment="1">
      <alignment horizontal="center" wrapText="1"/>
    </xf>
    <xf numFmtId="0" fontId="12" fillId="0" borderId="54" xfId="0" applyFont="1" applyBorder="1" applyAlignment="1">
      <alignment horizontal="left" wrapText="1" indent="2"/>
    </xf>
    <xf numFmtId="0" fontId="20" fillId="0" borderId="55" xfId="0" applyFont="1" applyBorder="1" applyAlignment="1">
      <alignment horizontal="left" indent="2"/>
    </xf>
    <xf numFmtId="0" fontId="19" fillId="5" borderId="55" xfId="0" applyFont="1" applyFill="1" applyBorder="1" applyAlignment="1">
      <alignment horizontal="left" wrapText="1" indent="2"/>
    </xf>
    <xf numFmtId="0" fontId="19" fillId="5" borderId="52" xfId="0" applyFont="1" applyFill="1" applyBorder="1" applyAlignment="1">
      <alignment horizontal="left" wrapText="1" indent="2"/>
    </xf>
    <xf numFmtId="0" fontId="0" fillId="2" borderId="54" xfId="0" applyFill="1" applyBorder="1" applyAlignment="1">
      <alignment horizontal="left" wrapText="1" indent="2"/>
    </xf>
    <xf numFmtId="0" fontId="0" fillId="0" borderId="52" xfId="0" applyBorder="1" applyAlignment="1">
      <alignment horizontal="left" indent="2"/>
    </xf>
    <xf numFmtId="0" fontId="11" fillId="5" borderId="55" xfId="0" applyFont="1" applyFill="1" applyBorder="1" applyAlignment="1">
      <alignment horizontal="left" wrapText="1" indent="2"/>
    </xf>
    <xf numFmtId="0" fontId="12" fillId="5" borderId="0" xfId="0" applyFont="1" applyFill="1"/>
    <xf numFmtId="0" fontId="21" fillId="5" borderId="1" xfId="0" applyFont="1" applyFill="1" applyBorder="1"/>
    <xf numFmtId="0" fontId="21" fillId="5" borderId="48" xfId="0" applyFont="1" applyFill="1" applyBorder="1" applyAlignment="1">
      <alignment horizontal="left"/>
    </xf>
    <xf numFmtId="0" fontId="21" fillId="5" borderId="49" xfId="0" applyFont="1" applyFill="1" applyBorder="1" applyAlignment="1">
      <alignment horizontal="left"/>
    </xf>
    <xf numFmtId="0" fontId="12" fillId="6" borderId="0" xfId="0" applyFont="1" applyFill="1" applyAlignment="1">
      <alignment horizontal="left" wrapText="1" indent="2"/>
    </xf>
    <xf numFmtId="0" fontId="12" fillId="6" borderId="4" xfId="0" applyFont="1" applyFill="1" applyBorder="1" applyAlignment="1">
      <alignment horizontal="left" indent="2"/>
    </xf>
    <xf numFmtId="0" fontId="12" fillId="6" borderId="11" xfId="0" applyFont="1" applyFill="1" applyBorder="1" applyAlignment="1">
      <alignment horizontal="left" wrapText="1" indent="2"/>
    </xf>
    <xf numFmtId="0" fontId="12" fillId="5" borderId="2" xfId="0" applyFont="1" applyFill="1" applyBorder="1" applyAlignment="1">
      <alignment horizontal="left" wrapText="1" indent="2"/>
    </xf>
    <xf numFmtId="0" fontId="12" fillId="5" borderId="4" xfId="0" applyFont="1" applyFill="1" applyBorder="1" applyAlignment="1">
      <alignment horizontal="left" indent="2"/>
    </xf>
  </cellXfs>
  <cellStyles count="28">
    <cellStyle name="Comma" xfId="1" builtinId="3"/>
    <cellStyle name="Comma 10" xfId="20" xr:uid="{88C92960-8B91-4FF3-AA6F-8D4DB03F4B69}"/>
    <cellStyle name="Comma 2" xfId="3" xr:uid="{2C396704-0D76-4F05-810E-0A6303F46AE3}"/>
    <cellStyle name="Comma 2 2" xfId="13" xr:uid="{229A0F52-0A44-4834-976A-0CB803F49B42}"/>
    <cellStyle name="Comma 2 3" xfId="21" xr:uid="{1682475F-55BC-47DF-8E9E-16594F0AD473}"/>
    <cellStyle name="Comma 3" xfId="5" xr:uid="{7D07CA13-0516-427D-9242-3F0B638F0CD4}"/>
    <cellStyle name="Comma 3 2" xfId="14" xr:uid="{9D08B47C-4716-4B3B-8F31-6580853C70B4}"/>
    <cellStyle name="Comma 3 3" xfId="22" xr:uid="{5BFA8402-9ABA-4ADD-924B-649390882465}"/>
    <cellStyle name="Comma 4" xfId="6" xr:uid="{8F9EEFBD-CE41-4AE2-8C04-B4ADA10ADE5B}"/>
    <cellStyle name="Comma 4 2" xfId="15" xr:uid="{DA9FA141-A9F0-4190-A82A-FBF04DFECBE9}"/>
    <cellStyle name="Comma 4 3" xfId="23" xr:uid="{C9326A95-AF6A-41A7-8F59-D660E1B848CC}"/>
    <cellStyle name="Comma 5" xfId="7" xr:uid="{924E94D6-07C6-482E-B971-A9AC32F02068}"/>
    <cellStyle name="Comma 5 2" xfId="16" xr:uid="{2AF4F400-043D-4713-8A71-93B50DB325F1}"/>
    <cellStyle name="Comma 5 3" xfId="24" xr:uid="{9F4644CF-D190-4335-9BD0-1CF41A49A2EA}"/>
    <cellStyle name="Comma 6" xfId="8" xr:uid="{62FE436B-C0CE-4173-9BDB-9299B68677C3}"/>
    <cellStyle name="Comma 6 2" xfId="17" xr:uid="{27593CFE-08B8-48FD-BF7E-F62159D59DE8}"/>
    <cellStyle name="Comma 6 3" xfId="25" xr:uid="{481BDB41-3518-4DD6-9C29-3646BD118E8B}"/>
    <cellStyle name="Comma 7" xfId="9" xr:uid="{1923489E-D45D-4D85-9342-5A024D678A15}"/>
    <cellStyle name="Comma 7 2" xfId="18" xr:uid="{4A4217F2-0406-4934-AFD5-5B5DCFC22002}"/>
    <cellStyle name="Comma 7 3" xfId="26" xr:uid="{18C2BEEC-395F-44C9-94D7-65D193D6439C}"/>
    <cellStyle name="Comma 8" xfId="10" xr:uid="{AD98FF2E-383A-42F9-B46E-325976CED5CC}"/>
    <cellStyle name="Comma 8 2" xfId="19" xr:uid="{800A6C0B-E784-4B18-A1F3-6608935822D6}"/>
    <cellStyle name="Comma 8 3" xfId="27" xr:uid="{B7D65C91-3B54-49B7-AA44-1BA27860FCD4}"/>
    <cellStyle name="Comma 9" xfId="12" xr:uid="{AF5D17E1-0748-41E2-9622-82A4B1136D2C}"/>
    <cellStyle name="Hyperlink" xfId="4" builtinId="8"/>
    <cellStyle name="Normal" xfId="0" builtinId="0"/>
    <cellStyle name="Normal 2" xfId="11" xr:uid="{182C65B2-0700-47F7-9F04-0374BFF5B3C6}"/>
    <cellStyle name="Percent" xfId="2" builtinId="5"/>
  </cellStyles>
  <dxfs count="0"/>
  <tableStyles count="0" defaultTableStyle="TableStyleMedium2" defaultPivotStyle="PivotStyleLight16"/>
  <colors>
    <mruColors>
      <color rgb="FFFF6D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0</xdr:rowOff>
    </xdr:from>
    <xdr:to>
      <xdr:col>4</xdr:col>
      <xdr:colOff>598805</xdr:colOff>
      <xdr:row>3</xdr:row>
      <xdr:rowOff>88265</xdr:rowOff>
    </xdr:to>
    <xdr:pic>
      <xdr:nvPicPr>
        <xdr:cNvPr id="2" name="Picture 1" descr="Description: Description: Description: IS Logo (2)">
          <a:extLst>
            <a:ext uri="{FF2B5EF4-FFF2-40B4-BE49-F238E27FC236}">
              <a16:creationId xmlns:a16="http://schemas.microsoft.com/office/drawing/2014/main" id="{3D54C634-F672-4F41-9C1F-32A91255AEC4}"/>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24850" y="0"/>
          <a:ext cx="1208405" cy="78359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32C0CD-5B8C-4995-9ABD-445C26CF6987}">
  <sheetPr codeName="Sheet1"/>
  <dimension ref="A1:C15"/>
  <sheetViews>
    <sheetView tabSelected="1" workbookViewId="0"/>
  </sheetViews>
  <sheetFormatPr defaultColWidth="9.1796875" defaultRowHeight="14.5" x14ac:dyDescent="0.35"/>
  <cols>
    <col min="1" max="1" width="106.54296875" style="2" customWidth="1"/>
    <col min="2" max="16384" width="9.1796875" style="2"/>
  </cols>
  <sheetData>
    <row r="1" spans="1:3" ht="21" x14ac:dyDescent="0.5">
      <c r="A1" s="157" t="s">
        <v>0</v>
      </c>
    </row>
    <row r="2" spans="1:3" ht="18.5" x14ac:dyDescent="0.45">
      <c r="A2" s="396" t="s">
        <v>1</v>
      </c>
      <c r="B2" s="396" t="s">
        <v>1</v>
      </c>
      <c r="C2" s="396" t="s">
        <v>1</v>
      </c>
    </row>
    <row r="4" spans="1:3" ht="72.5" x14ac:dyDescent="0.35">
      <c r="A4" s="156" t="s">
        <v>281</v>
      </c>
    </row>
    <row r="6" spans="1:3" ht="21" x14ac:dyDescent="0.5">
      <c r="A6" s="157" t="s">
        <v>2</v>
      </c>
    </row>
    <row r="7" spans="1:3" x14ac:dyDescent="0.35">
      <c r="A7" s="158" t="s">
        <v>3</v>
      </c>
    </row>
    <row r="9" spans="1:3" x14ac:dyDescent="0.35">
      <c r="A9" s="5" t="s">
        <v>4</v>
      </c>
    </row>
    <row r="10" spans="1:3" x14ac:dyDescent="0.35">
      <c r="A10" s="158" t="s">
        <v>5</v>
      </c>
    </row>
    <row r="11" spans="1:3" x14ac:dyDescent="0.35">
      <c r="A11" s="158" t="s">
        <v>6</v>
      </c>
    </row>
    <row r="12" spans="1:3" x14ac:dyDescent="0.35">
      <c r="A12" s="158" t="s">
        <v>7</v>
      </c>
    </row>
    <row r="13" spans="1:3" x14ac:dyDescent="0.35">
      <c r="A13" s="158" t="s">
        <v>8</v>
      </c>
    </row>
    <row r="14" spans="1:3" x14ac:dyDescent="0.35">
      <c r="A14" s="158" t="s">
        <v>9</v>
      </c>
    </row>
    <row r="15" spans="1:3" x14ac:dyDescent="0.35">
      <c r="A15" s="158" t="s">
        <v>10</v>
      </c>
    </row>
  </sheetData>
  <mergeCells count="1">
    <mergeCell ref="A2:C2"/>
  </mergeCells>
  <hyperlinks>
    <hyperlink ref="A7" location="'Notes &amp; Caveats'!A1" display="Notes &amp; Caveats" xr:uid="{28781E6D-04E3-49FE-8FBE-CEBC4389374C}"/>
    <hyperlink ref="A10" location="Services!A1" display="Services" xr:uid="{A324F33C-1599-404C-AEF2-10B3F58F1658}"/>
    <hyperlink ref="A11" location="Demographics!A1" display="Demographics" xr:uid="{54553629-1B98-422F-B5F6-470ABAC958B4}"/>
    <hyperlink ref="A12" location="Debt!A1" display="Debt" xr:uid="{52EB010B-A5D1-48D5-B02D-857097D3BF8E}"/>
    <hyperlink ref="A13" location="Funding!A1" display="Funding" xr:uid="{80560F25-B9F7-421D-AF48-18B3D035AD7B}"/>
    <hyperlink ref="A14" location="Volume!A1" display="Volume" xr:uid="{B0339C8F-8EFB-49F2-B87C-82403452B3C3}"/>
    <hyperlink ref="A15" location="'Financial Gain'!A1" display="Financial Gain" xr:uid="{5BE658DC-F57D-42A2-9F7A-7BC604BB821F}"/>
  </hyperlink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967C2A9-67BC-4492-88F3-536AD3D1E46E}">
          <x14:formula1>
            <xm:f>Lookup!$A$2:$A$34</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040E-5817-4EB7-9FB7-5B13918F1639}">
  <sheetPr codeName="Sheet2"/>
  <dimension ref="A1:D28"/>
  <sheetViews>
    <sheetView topLeftCell="A20" zoomScaleNormal="100" workbookViewId="0">
      <selection activeCell="B31" sqref="B31"/>
    </sheetView>
  </sheetViews>
  <sheetFormatPr defaultColWidth="9.1796875" defaultRowHeight="14.5" x14ac:dyDescent="0.35"/>
  <cols>
    <col min="1" max="1" width="11.26953125" style="2" customWidth="1"/>
    <col min="2" max="2" width="162.1796875" style="2" customWidth="1"/>
    <col min="3" max="3" width="107.26953125" style="2" customWidth="1"/>
    <col min="4" max="16384" width="9.1796875" style="2"/>
  </cols>
  <sheetData>
    <row r="1" spans="1:4" ht="18.5" x14ac:dyDescent="0.45">
      <c r="A1" s="155" t="str">
        <f>Contents!A2</f>
        <v>Midlothian</v>
      </c>
      <c r="C1" s="155"/>
      <c r="D1" s="155"/>
    </row>
    <row r="2" spans="1:4" x14ac:dyDescent="0.35">
      <c r="A2" s="5" t="s">
        <v>3</v>
      </c>
    </row>
    <row r="3" spans="1:4" x14ac:dyDescent="0.35">
      <c r="A3" s="117" t="s">
        <v>11</v>
      </c>
    </row>
    <row r="4" spans="1:4" x14ac:dyDescent="0.35">
      <c r="A4"/>
    </row>
    <row r="5" spans="1:4" x14ac:dyDescent="0.35">
      <c r="A5" s="2" t="s">
        <v>12</v>
      </c>
    </row>
    <row r="6" spans="1:4" x14ac:dyDescent="0.35">
      <c r="A6" s="2" t="s">
        <v>13</v>
      </c>
    </row>
    <row r="7" spans="1:4" x14ac:dyDescent="0.35">
      <c r="A7" s="2" t="s">
        <v>14</v>
      </c>
    </row>
    <row r="8" spans="1:4" x14ac:dyDescent="0.35">
      <c r="A8" s="2" t="s">
        <v>15</v>
      </c>
    </row>
    <row r="9" spans="1:4" x14ac:dyDescent="0.35">
      <c r="A9" s="2" t="s">
        <v>16</v>
      </c>
    </row>
    <row r="11" spans="1:4" x14ac:dyDescent="0.35">
      <c r="B11" s="256" t="s">
        <v>17</v>
      </c>
      <c r="C11" s="5"/>
    </row>
    <row r="12" spans="1:4" ht="58" x14ac:dyDescent="0.35">
      <c r="B12" s="254" t="s">
        <v>18</v>
      </c>
      <c r="C12" s="154"/>
    </row>
    <row r="13" spans="1:4" ht="43.5" x14ac:dyDescent="0.35">
      <c r="B13" s="258" t="s">
        <v>19</v>
      </c>
      <c r="C13" s="154"/>
    </row>
    <row r="14" spans="1:4" ht="58" x14ac:dyDescent="0.35">
      <c r="B14" s="257" t="s">
        <v>20</v>
      </c>
      <c r="C14" s="154"/>
    </row>
    <row r="15" spans="1:4" x14ac:dyDescent="0.35">
      <c r="B15" s="255" t="s">
        <v>6</v>
      </c>
    </row>
    <row r="16" spans="1:4" ht="29" x14ac:dyDescent="0.35">
      <c r="B16" s="432" t="s">
        <v>21</v>
      </c>
    </row>
    <row r="17" spans="1:2" x14ac:dyDescent="0.35">
      <c r="A17" s="261" t="s">
        <v>25</v>
      </c>
      <c r="B17" s="433" t="s">
        <v>275</v>
      </c>
    </row>
    <row r="18" spans="1:2" x14ac:dyDescent="0.35">
      <c r="A18" s="260" t="s">
        <v>26</v>
      </c>
      <c r="B18" s="430" t="s">
        <v>276</v>
      </c>
    </row>
    <row r="19" spans="1:2" x14ac:dyDescent="0.35">
      <c r="A19" s="259"/>
      <c r="B19" s="255" t="s">
        <v>7</v>
      </c>
    </row>
    <row r="20" spans="1:2" ht="29" x14ac:dyDescent="0.35">
      <c r="A20" s="259"/>
      <c r="B20" s="394" t="s">
        <v>27</v>
      </c>
    </row>
    <row r="21" spans="1:2" x14ac:dyDescent="0.35">
      <c r="A21" s="262" t="s">
        <v>28</v>
      </c>
      <c r="B21" s="431" t="s">
        <v>278</v>
      </c>
    </row>
    <row r="22" spans="1:2" x14ac:dyDescent="0.35">
      <c r="A22" s="260" t="s">
        <v>29</v>
      </c>
      <c r="B22" s="395" t="s">
        <v>277</v>
      </c>
    </row>
    <row r="23" spans="1:2" x14ac:dyDescent="0.35">
      <c r="A23" s="259"/>
      <c r="B23" s="255" t="s">
        <v>8</v>
      </c>
    </row>
    <row r="24" spans="1:2" ht="29" x14ac:dyDescent="0.35">
      <c r="A24" s="259"/>
      <c r="B24" s="428" t="s">
        <v>30</v>
      </c>
    </row>
    <row r="25" spans="1:2" x14ac:dyDescent="0.35">
      <c r="A25" s="262" t="s">
        <v>31</v>
      </c>
      <c r="B25" s="434" t="s">
        <v>279</v>
      </c>
    </row>
    <row r="26" spans="1:2" x14ac:dyDescent="0.35">
      <c r="A26" s="259"/>
      <c r="B26" s="255" t="s">
        <v>9</v>
      </c>
    </row>
    <row r="27" spans="1:2" x14ac:dyDescent="0.35">
      <c r="A27" s="262" t="s">
        <v>33</v>
      </c>
      <c r="B27" s="394" t="s">
        <v>280</v>
      </c>
    </row>
    <row r="28" spans="1:2" x14ac:dyDescent="0.35">
      <c r="A28" s="263" t="s">
        <v>34</v>
      </c>
      <c r="B28" s="429" t="s">
        <v>274</v>
      </c>
    </row>
  </sheetData>
  <hyperlinks>
    <hyperlink ref="A3" location="Contents!A1" display="Return to Contents" xr:uid="{493EF0A1-0B02-49F9-A603-0FD5A8BB4B7F}"/>
    <hyperlink ref="A17" location="Demographics!A105" display="Table C2.4" xr:uid="{9FBFD55D-771C-499D-B9DD-BBAAA0698EF6}"/>
    <hyperlink ref="A18" location="Demographics!A143" display="Table C2.5" xr:uid="{9C6643EA-6446-4D5E-BA4C-C5B698089865}"/>
    <hyperlink ref="A22" location="Debt!A15" display="Table C3.2" xr:uid="{E2E92EE2-1C78-4098-B76C-4A3C1923A499}"/>
    <hyperlink ref="A25" location="Funding!A8" display="Table I2.1" xr:uid="{C272FBB6-BB86-4B74-9471-BB5F16A77C72}"/>
    <hyperlink ref="A27" location="Volume!A8" display="Table A1.1" xr:uid="{BCCAC60F-06E0-405A-86CC-BC8B263F4A71}"/>
    <hyperlink ref="A28" location="Volume!A19" display="Table A1.2" xr:uid="{F9CA52B5-342C-4DD8-A5A6-E4702406349A}"/>
    <hyperlink ref="A21" location="Debt!A8" display="Table C3.1" xr:uid="{58B089BD-5675-41B5-AE0C-4A19C6D4C227}"/>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087830-160B-45E7-8C45-7442BF8F4B56}">
  <sheetPr codeName="Sheet4"/>
  <dimension ref="A1:C16"/>
  <sheetViews>
    <sheetView topLeftCell="A5" workbookViewId="0">
      <selection activeCell="A6" sqref="A6"/>
    </sheetView>
  </sheetViews>
  <sheetFormatPr defaultColWidth="9.1796875" defaultRowHeight="14.5" x14ac:dyDescent="0.35"/>
  <cols>
    <col min="1" max="3" width="43.26953125" style="2" customWidth="1"/>
    <col min="4" max="16384" width="9.1796875" style="2"/>
  </cols>
  <sheetData>
    <row r="1" spans="1:3" ht="18.5" x14ac:dyDescent="0.45">
      <c r="A1" s="396" t="str">
        <f>Contents!A2</f>
        <v>Midlothian</v>
      </c>
      <c r="B1" s="396"/>
      <c r="C1" s="396"/>
    </row>
    <row r="2" spans="1:3" x14ac:dyDescent="0.35">
      <c r="A2" s="5" t="s">
        <v>5</v>
      </c>
    </row>
    <row r="3" spans="1:3" x14ac:dyDescent="0.35">
      <c r="A3" s="117" t="s">
        <v>11</v>
      </c>
    </row>
    <row r="5" spans="1:3" x14ac:dyDescent="0.35">
      <c r="A5" s="435" t="s">
        <v>282</v>
      </c>
      <c r="B5" s="435"/>
    </row>
    <row r="6" spans="1:3" x14ac:dyDescent="0.35">
      <c r="A6" s="435" t="s">
        <v>283</v>
      </c>
      <c r="B6" s="435"/>
    </row>
    <row r="7" spans="1:3" x14ac:dyDescent="0.35">
      <c r="A7" s="435" t="s">
        <v>284</v>
      </c>
      <c r="B7" s="435"/>
    </row>
    <row r="8" spans="1:3" x14ac:dyDescent="0.35">
      <c r="A8" s="435"/>
      <c r="B8" s="435"/>
    </row>
    <row r="9" spans="1:3" ht="15" thickBot="1" x14ac:dyDescent="0.4">
      <c r="A9" s="436" t="s">
        <v>285</v>
      </c>
      <c r="B9" s="435"/>
    </row>
    <row r="10" spans="1:3" x14ac:dyDescent="0.35">
      <c r="A10" s="437" t="s">
        <v>286</v>
      </c>
      <c r="B10" s="438" t="s">
        <v>287</v>
      </c>
    </row>
    <row r="11" spans="1:3" x14ac:dyDescent="0.35">
      <c r="A11" s="439" t="s">
        <v>288</v>
      </c>
      <c r="B11" s="440" t="s">
        <v>289</v>
      </c>
    </row>
    <row r="12" spans="1:3" x14ac:dyDescent="0.35">
      <c r="A12" s="435"/>
      <c r="B12" s="435"/>
    </row>
    <row r="13" spans="1:3" ht="15" thickBot="1" x14ac:dyDescent="0.4">
      <c r="A13" s="436" t="s">
        <v>36</v>
      </c>
      <c r="B13" s="435"/>
    </row>
    <row r="14" spans="1:3" x14ac:dyDescent="0.35">
      <c r="A14" s="437" t="s">
        <v>286</v>
      </c>
      <c r="B14" s="438" t="s">
        <v>287</v>
      </c>
    </row>
    <row r="15" spans="1:3" x14ac:dyDescent="0.35">
      <c r="A15" s="441" t="s">
        <v>290</v>
      </c>
      <c r="B15" s="440" t="s">
        <v>291</v>
      </c>
    </row>
    <row r="16" spans="1:3" x14ac:dyDescent="0.35">
      <c r="A16" s="442" t="s">
        <v>292</v>
      </c>
      <c r="B16" s="443" t="s">
        <v>291</v>
      </c>
    </row>
  </sheetData>
  <mergeCells count="1">
    <mergeCell ref="A1:C1"/>
  </mergeCells>
  <hyperlinks>
    <hyperlink ref="A3" location="Contents!A1" display="Return to Contents" xr:uid="{876ADD69-E492-4B50-957A-1FE8C07E30C8}"/>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930C75-280A-4214-BAAB-4F0E3C1C585B}">
  <sheetPr codeName="Sheet5"/>
  <dimension ref="A1:AJ169"/>
  <sheetViews>
    <sheetView topLeftCell="A32" workbookViewId="0">
      <selection activeCell="E38" sqref="E38"/>
    </sheetView>
  </sheetViews>
  <sheetFormatPr defaultColWidth="9.1796875" defaultRowHeight="14.5" x14ac:dyDescent="0.35"/>
  <cols>
    <col min="1" max="1" width="9.1796875" style="2" customWidth="1"/>
    <col min="2" max="2" width="20.7265625" style="2" customWidth="1"/>
    <col min="3" max="3" width="13.54296875" style="2" customWidth="1"/>
    <col min="4" max="6" width="12.26953125" style="2" customWidth="1"/>
    <col min="7" max="7" width="12.54296875" style="2" customWidth="1"/>
    <col min="8" max="8" width="13.1796875" style="2" customWidth="1"/>
    <col min="9" max="9" width="11.54296875" style="2" customWidth="1"/>
    <col min="10" max="10" width="12.26953125" style="2" customWidth="1"/>
    <col min="11" max="11" width="13.81640625" style="2" customWidth="1"/>
    <col min="12" max="12" width="11.7265625" style="2" customWidth="1"/>
    <col min="13" max="13" width="11.81640625" style="2" customWidth="1"/>
    <col min="14" max="14" width="11" style="2" bestFit="1" customWidth="1"/>
    <col min="15" max="15" width="12.54296875" style="2" customWidth="1"/>
    <col min="16" max="16" width="11.81640625" style="2" customWidth="1"/>
    <col min="17" max="17" width="11.453125" style="2" customWidth="1"/>
    <col min="18" max="18" width="11.1796875" style="2" customWidth="1"/>
    <col min="19" max="19" width="11.81640625" style="2" customWidth="1"/>
    <col min="20" max="20" width="10.81640625" style="2" customWidth="1"/>
    <col min="21" max="21" width="11.54296875" style="2" customWidth="1"/>
    <col min="22" max="22" width="13" style="2" customWidth="1"/>
    <col min="23" max="23" width="10.7265625" style="2" customWidth="1"/>
    <col min="24" max="24" width="12.26953125" style="2" customWidth="1"/>
    <col min="25" max="25" width="11.453125" style="2" customWidth="1"/>
    <col min="26" max="26" width="12.453125" style="2" customWidth="1"/>
    <col min="27" max="27" width="11" style="2" customWidth="1"/>
    <col min="28" max="28" width="11.453125" style="2" customWidth="1"/>
    <col min="29" max="29" width="9.1796875" style="2"/>
    <col min="30" max="30" width="11.1796875" style="2" customWidth="1"/>
    <col min="31" max="32" width="11.26953125" style="2" customWidth="1"/>
    <col min="33" max="33" width="9.81640625" style="2" customWidth="1"/>
    <col min="34" max="35" width="12.81640625" style="2" customWidth="1"/>
    <col min="36" max="36" width="10.81640625" style="2" customWidth="1"/>
    <col min="37" max="37" width="11.1796875" style="2" customWidth="1"/>
    <col min="38" max="40" width="12.81640625" style="2" customWidth="1"/>
    <col min="41" max="16384" width="9.1796875" style="2"/>
  </cols>
  <sheetData>
    <row r="1" spans="1:14" ht="18.5" x14ac:dyDescent="0.45">
      <c r="A1" s="396" t="str">
        <f>Contents!A2</f>
        <v>Midlothian</v>
      </c>
      <c r="B1" s="396"/>
      <c r="C1" s="396"/>
      <c r="N1" s="117"/>
    </row>
    <row r="2" spans="1:14" x14ac:dyDescent="0.35">
      <c r="A2" s="5" t="s">
        <v>37</v>
      </c>
    </row>
    <row r="3" spans="1:14" x14ac:dyDescent="0.35">
      <c r="A3" s="117" t="s">
        <v>11</v>
      </c>
    </row>
    <row r="4" spans="1:14" x14ac:dyDescent="0.35">
      <c r="A4" s="5"/>
    </row>
    <row r="5" spans="1:14" x14ac:dyDescent="0.35">
      <c r="A5" s="116" t="s">
        <v>38</v>
      </c>
      <c r="B5" s="116"/>
      <c r="C5" s="117" t="s">
        <v>22</v>
      </c>
    </row>
    <row r="6" spans="1:14" x14ac:dyDescent="0.35">
      <c r="A6" s="116" t="s">
        <v>39</v>
      </c>
      <c r="B6" s="116"/>
      <c r="C6" s="117" t="s">
        <v>23</v>
      </c>
    </row>
    <row r="7" spans="1:14" x14ac:dyDescent="0.35">
      <c r="A7" s="116" t="s">
        <v>40</v>
      </c>
      <c r="B7" s="116"/>
      <c r="C7" s="117" t="s">
        <v>24</v>
      </c>
    </row>
    <row r="8" spans="1:14" x14ac:dyDescent="0.35">
      <c r="A8" s="116" t="s">
        <v>41</v>
      </c>
      <c r="B8" s="116"/>
      <c r="C8" s="117" t="s">
        <v>25</v>
      </c>
    </row>
    <row r="9" spans="1:14" x14ac:dyDescent="0.35">
      <c r="A9" s="116" t="s">
        <v>42</v>
      </c>
      <c r="B9" s="116"/>
      <c r="C9" s="117" t="s">
        <v>26</v>
      </c>
    </row>
    <row r="11" spans="1:14" x14ac:dyDescent="0.35">
      <c r="A11" t="s">
        <v>43</v>
      </c>
    </row>
    <row r="12" spans="1:14" x14ac:dyDescent="0.35">
      <c r="A12" s="5"/>
    </row>
    <row r="13" spans="1:14" x14ac:dyDescent="0.35">
      <c r="C13" s="398" t="s">
        <v>44</v>
      </c>
      <c r="D13" s="399"/>
      <c r="E13" s="399"/>
      <c r="F13" s="399"/>
      <c r="G13" s="399"/>
      <c r="H13" s="399"/>
      <c r="I13" s="399"/>
      <c r="J13" s="413"/>
      <c r="K13" s="411" t="s">
        <v>45</v>
      </c>
      <c r="L13" s="412"/>
      <c r="M13" s="412"/>
      <c r="N13" s="412"/>
    </row>
    <row r="14" spans="1:14" x14ac:dyDescent="0.35">
      <c r="B14" s="142"/>
      <c r="C14" s="401" t="str">
        <f>A1</f>
        <v>Midlothian</v>
      </c>
      <c r="D14" s="402"/>
      <c r="E14" s="402"/>
      <c r="F14" s="405"/>
      <c r="G14" s="401" t="s">
        <v>46</v>
      </c>
      <c r="H14" s="402"/>
      <c r="I14" s="402"/>
      <c r="J14" s="405"/>
      <c r="K14" s="414" t="str">
        <f>$A$1</f>
        <v>Midlothian</v>
      </c>
      <c r="L14" s="402"/>
      <c r="M14" s="402"/>
      <c r="N14" s="402"/>
    </row>
    <row r="15" spans="1:14" ht="29.5" thickBot="1" x14ac:dyDescent="0.4">
      <c r="B15" s="146" t="s">
        <v>38</v>
      </c>
      <c r="C15" s="3" t="s">
        <v>47</v>
      </c>
      <c r="D15" s="147" t="s">
        <v>48</v>
      </c>
      <c r="E15" s="264" t="s">
        <v>49</v>
      </c>
      <c r="F15" s="264" t="s">
        <v>50</v>
      </c>
      <c r="G15" s="3" t="s">
        <v>47</v>
      </c>
      <c r="H15" s="147" t="s">
        <v>48</v>
      </c>
      <c r="I15" s="264" t="s">
        <v>49</v>
      </c>
      <c r="J15" s="264" t="s">
        <v>50</v>
      </c>
      <c r="K15" s="202" t="s">
        <v>47</v>
      </c>
      <c r="L15" s="147" t="s">
        <v>48</v>
      </c>
      <c r="M15" s="264" t="s">
        <v>51</v>
      </c>
      <c r="N15" s="264" t="s">
        <v>52</v>
      </c>
    </row>
    <row r="16" spans="1:14" x14ac:dyDescent="0.35">
      <c r="B16" s="142" t="s">
        <v>53</v>
      </c>
      <c r="C16" s="162"/>
      <c r="D16" s="161"/>
      <c r="E16" s="161"/>
      <c r="F16" s="161"/>
      <c r="G16" s="162"/>
      <c r="H16" s="161"/>
      <c r="I16" s="161"/>
      <c r="J16" s="161"/>
      <c r="K16" s="203"/>
      <c r="L16" s="161"/>
      <c r="M16" s="161"/>
      <c r="N16" s="161"/>
    </row>
    <row r="17" spans="1:14" x14ac:dyDescent="0.35">
      <c r="B17" s="4" t="s">
        <v>54</v>
      </c>
      <c r="C17" s="30">
        <v>981</v>
      </c>
      <c r="D17" s="31">
        <v>1608</v>
      </c>
      <c r="E17" s="31">
        <v>30</v>
      </c>
      <c r="F17" s="31">
        <v>0</v>
      </c>
      <c r="G17" s="30">
        <v>55010</v>
      </c>
      <c r="H17" s="31">
        <v>68302</v>
      </c>
      <c r="I17" s="31">
        <v>26646</v>
      </c>
      <c r="J17" s="31">
        <v>0</v>
      </c>
      <c r="K17" s="204" t="s">
        <v>55</v>
      </c>
      <c r="L17" s="31" t="s">
        <v>55</v>
      </c>
      <c r="M17" s="31" t="s">
        <v>55</v>
      </c>
      <c r="N17" s="31" t="s">
        <v>55</v>
      </c>
    </row>
    <row r="18" spans="1:14" x14ac:dyDescent="0.35">
      <c r="B18" s="1" t="s">
        <v>56</v>
      </c>
      <c r="C18" s="17">
        <v>1371</v>
      </c>
      <c r="D18" s="18">
        <v>1844</v>
      </c>
      <c r="E18" s="18">
        <v>1417</v>
      </c>
      <c r="F18" s="18">
        <v>6</v>
      </c>
      <c r="G18" s="17">
        <v>79040.762000000002</v>
      </c>
      <c r="H18" s="18">
        <v>98579.547000000006</v>
      </c>
      <c r="I18" s="18">
        <v>39814.305</v>
      </c>
      <c r="J18" s="18">
        <v>2329.5949999999998</v>
      </c>
      <c r="K18" s="205" t="s">
        <v>55</v>
      </c>
      <c r="L18" s="18" t="s">
        <v>55</v>
      </c>
      <c r="M18" s="18" t="s">
        <v>55</v>
      </c>
      <c r="N18" s="18" t="s">
        <v>55</v>
      </c>
    </row>
    <row r="19" spans="1:14" x14ac:dyDescent="0.35">
      <c r="B19" s="4" t="s">
        <v>57</v>
      </c>
      <c r="C19" s="30">
        <v>1264</v>
      </c>
      <c r="D19" s="31">
        <v>1843</v>
      </c>
      <c r="E19" s="31">
        <v>341</v>
      </c>
      <c r="F19" s="31">
        <v>4</v>
      </c>
      <c r="G19" s="30">
        <v>83409.87</v>
      </c>
      <c r="H19" s="31">
        <v>102803.81</v>
      </c>
      <c r="I19" s="31">
        <v>47178.964999999997</v>
      </c>
      <c r="J19" s="31">
        <v>726.6</v>
      </c>
      <c r="K19" s="204" t="s">
        <v>55</v>
      </c>
      <c r="L19" s="31" t="s">
        <v>55</v>
      </c>
      <c r="M19" s="31" t="s">
        <v>55</v>
      </c>
      <c r="N19" s="31" t="s">
        <v>55</v>
      </c>
    </row>
    <row r="20" spans="1:14" x14ac:dyDescent="0.35">
      <c r="B20" s="1" t="s">
        <v>58</v>
      </c>
      <c r="C20" s="17">
        <v>1460</v>
      </c>
      <c r="D20" s="18">
        <v>2118</v>
      </c>
      <c r="E20" s="18">
        <v>752</v>
      </c>
      <c r="F20" s="18">
        <v>14</v>
      </c>
      <c r="G20" s="17">
        <v>70814.53</v>
      </c>
      <c r="H20" s="18">
        <v>93465.5</v>
      </c>
      <c r="I20" s="18">
        <v>43881.36</v>
      </c>
      <c r="J20" s="18">
        <v>1943.2</v>
      </c>
      <c r="K20" s="205" t="s">
        <v>55</v>
      </c>
      <c r="L20" s="18" t="s">
        <v>55</v>
      </c>
      <c r="M20" s="18" t="s">
        <v>55</v>
      </c>
      <c r="N20" s="18" t="s">
        <v>55</v>
      </c>
    </row>
    <row r="21" spans="1:14" x14ac:dyDescent="0.35">
      <c r="B21" s="4" t="s">
        <v>59</v>
      </c>
      <c r="C21" s="30">
        <v>1504</v>
      </c>
      <c r="D21" s="31">
        <v>2082</v>
      </c>
      <c r="E21" s="31">
        <v>1198</v>
      </c>
      <c r="F21" s="31">
        <v>71</v>
      </c>
      <c r="G21" s="30">
        <v>59390.338400000001</v>
      </c>
      <c r="H21" s="31">
        <v>79996.281799999997</v>
      </c>
      <c r="I21" s="31">
        <v>63134.379399999998</v>
      </c>
      <c r="J21" s="31">
        <v>1689.1715999999999</v>
      </c>
      <c r="K21" s="204" t="s">
        <v>55</v>
      </c>
      <c r="L21" s="31" t="s">
        <v>55</v>
      </c>
      <c r="M21" s="31" t="s">
        <v>55</v>
      </c>
      <c r="N21" s="31" t="s">
        <v>55</v>
      </c>
    </row>
    <row r="22" spans="1:14" x14ac:dyDescent="0.35">
      <c r="B22" s="292" t="s">
        <v>60</v>
      </c>
      <c r="C22" s="293">
        <v>1962</v>
      </c>
      <c r="D22" s="294">
        <v>2795</v>
      </c>
      <c r="E22" s="294">
        <v>1158</v>
      </c>
      <c r="F22" s="294">
        <v>61</v>
      </c>
      <c r="G22" s="293">
        <v>79982</v>
      </c>
      <c r="H22" s="294">
        <v>107010</v>
      </c>
      <c r="I22" s="294">
        <v>71809</v>
      </c>
      <c r="J22" s="294">
        <v>3967</v>
      </c>
      <c r="K22" s="295" t="s">
        <v>55</v>
      </c>
      <c r="L22" s="294" t="s">
        <v>55</v>
      </c>
      <c r="M22" s="294" t="s">
        <v>55</v>
      </c>
      <c r="N22" s="294" t="s">
        <v>55</v>
      </c>
    </row>
    <row r="23" spans="1:14" x14ac:dyDescent="0.35">
      <c r="B23" s="13" t="s">
        <v>61</v>
      </c>
      <c r="C23" s="19"/>
      <c r="D23" s="55"/>
      <c r="E23" s="55"/>
      <c r="F23" s="55"/>
      <c r="G23" s="19"/>
      <c r="H23" s="55"/>
      <c r="I23" s="55"/>
      <c r="J23" s="55"/>
      <c r="K23" s="206"/>
      <c r="L23" s="55"/>
      <c r="M23" s="55"/>
      <c r="N23" s="55"/>
    </row>
    <row r="24" spans="1:14" x14ac:dyDescent="0.35">
      <c r="B24" s="4" t="s">
        <v>54</v>
      </c>
      <c r="C24" s="32">
        <f t="shared" ref="C24:F29" si="0">IFERROR(C17/SUM($C17:$F17),"-")</f>
        <v>0.37457044673539519</v>
      </c>
      <c r="D24" s="33">
        <f t="shared" si="0"/>
        <v>0.61397479954180989</v>
      </c>
      <c r="E24" s="33">
        <f t="shared" si="0"/>
        <v>1.1454753722794959E-2</v>
      </c>
      <c r="F24" s="33">
        <f t="shared" si="0"/>
        <v>0</v>
      </c>
      <c r="G24" s="32">
        <f t="shared" ref="G24:J29" si="1">IFERROR(G17/SUM($G17:$J17),"-")</f>
        <v>0.3668360474266128</v>
      </c>
      <c r="H24" s="33">
        <f t="shared" si="1"/>
        <v>0.45547419944251055</v>
      </c>
      <c r="I24" s="33">
        <f t="shared" si="1"/>
        <v>0.17768975313087665</v>
      </c>
      <c r="J24" s="33">
        <f t="shared" si="1"/>
        <v>0</v>
      </c>
      <c r="K24" s="342">
        <v>0.45700000000000002</v>
      </c>
      <c r="L24" s="33">
        <v>0.54300000000000004</v>
      </c>
      <c r="M24" s="33">
        <v>0</v>
      </c>
      <c r="N24" s="33">
        <v>0</v>
      </c>
    </row>
    <row r="25" spans="1:14" x14ac:dyDescent="0.35">
      <c r="B25" s="1" t="s">
        <v>56</v>
      </c>
      <c r="C25" s="21">
        <f t="shared" si="0"/>
        <v>0.29560155239327296</v>
      </c>
      <c r="D25" s="22">
        <f t="shared" si="0"/>
        <v>0.39758516601983612</v>
      </c>
      <c r="E25" s="22">
        <f t="shared" si="0"/>
        <v>0.30551962052608883</v>
      </c>
      <c r="F25" s="22">
        <f t="shared" si="0"/>
        <v>1.29366106080207E-3</v>
      </c>
      <c r="G25" s="21">
        <f t="shared" si="1"/>
        <v>0.35966166811084332</v>
      </c>
      <c r="H25" s="22">
        <f t="shared" si="1"/>
        <v>0.44856961672043699</v>
      </c>
      <c r="I25" s="22">
        <f t="shared" si="1"/>
        <v>0.18116828568750246</v>
      </c>
      <c r="J25" s="22">
        <f t="shared" si="1"/>
        <v>1.0600429481217298E-2</v>
      </c>
      <c r="K25" s="343">
        <v>0.47099999999999997</v>
      </c>
      <c r="L25" s="22">
        <v>0.52900000000000003</v>
      </c>
      <c r="M25" s="22">
        <v>0</v>
      </c>
      <c r="N25" s="22">
        <v>0</v>
      </c>
    </row>
    <row r="26" spans="1:14" x14ac:dyDescent="0.35">
      <c r="B26" s="4" t="s">
        <v>57</v>
      </c>
      <c r="C26" s="32">
        <f t="shared" si="0"/>
        <v>0.36616454229432216</v>
      </c>
      <c r="D26" s="33">
        <f t="shared" si="0"/>
        <v>0.53389339513325607</v>
      </c>
      <c r="E26" s="33">
        <f t="shared" si="0"/>
        <v>9.8783314020857479E-2</v>
      </c>
      <c r="F26" s="33">
        <f t="shared" si="0"/>
        <v>1.1587485515643105E-3</v>
      </c>
      <c r="G26" s="32">
        <f t="shared" si="1"/>
        <v>0.35627088238730653</v>
      </c>
      <c r="H26" s="33">
        <f t="shared" si="1"/>
        <v>0.43910875417354095</v>
      </c>
      <c r="I26" s="33">
        <f t="shared" si="1"/>
        <v>0.20151681678283218</v>
      </c>
      <c r="J26" s="33">
        <f t="shared" si="1"/>
        <v>3.1035466563203722E-3</v>
      </c>
      <c r="K26" s="342" t="s">
        <v>55</v>
      </c>
      <c r="L26" s="33" t="s">
        <v>55</v>
      </c>
      <c r="M26" s="33" t="s">
        <v>55</v>
      </c>
      <c r="N26" s="33" t="s">
        <v>55</v>
      </c>
    </row>
    <row r="27" spans="1:14" x14ac:dyDescent="0.35">
      <c r="B27" s="1" t="s">
        <v>58</v>
      </c>
      <c r="C27" s="21">
        <f t="shared" si="0"/>
        <v>0.33609576427255983</v>
      </c>
      <c r="D27" s="22">
        <f t="shared" si="0"/>
        <v>0.48756906077348067</v>
      </c>
      <c r="E27" s="22">
        <f t="shared" si="0"/>
        <v>0.17311233885819521</v>
      </c>
      <c r="F27" s="22">
        <f t="shared" si="0"/>
        <v>3.2228360957642726E-3</v>
      </c>
      <c r="G27" s="21">
        <f t="shared" si="1"/>
        <v>0.33704418356590871</v>
      </c>
      <c r="H27" s="22">
        <f t="shared" si="1"/>
        <v>0.44485225191891331</v>
      </c>
      <c r="I27" s="22">
        <f t="shared" si="1"/>
        <v>0.20885483748831948</v>
      </c>
      <c r="J27" s="22">
        <f t="shared" si="1"/>
        <v>9.2487270268583836E-3</v>
      </c>
      <c r="K27" s="343">
        <v>0.45454545454545497</v>
      </c>
      <c r="L27" s="22">
        <v>0.59090909090909105</v>
      </c>
      <c r="M27" s="22">
        <v>0</v>
      </c>
      <c r="N27" s="22">
        <v>0</v>
      </c>
    </row>
    <row r="28" spans="1:14" x14ac:dyDescent="0.35">
      <c r="B28" s="4" t="s">
        <v>59</v>
      </c>
      <c r="C28" s="32">
        <f t="shared" si="0"/>
        <v>0.30978372811534499</v>
      </c>
      <c r="D28" s="33">
        <f t="shared" si="0"/>
        <v>0.42883625128733266</v>
      </c>
      <c r="E28" s="33">
        <f t="shared" si="0"/>
        <v>0.24675592173017508</v>
      </c>
      <c r="F28" s="296">
        <f t="shared" si="0"/>
        <v>1.4624098867147271E-2</v>
      </c>
      <c r="G28" s="33">
        <f t="shared" si="1"/>
        <v>0.29082948244450618</v>
      </c>
      <c r="H28" s="33">
        <f t="shared" si="1"/>
        <v>0.39173505085431315</v>
      </c>
      <c r="I28" s="33">
        <f t="shared" si="1"/>
        <v>0.30916373571895811</v>
      </c>
      <c r="J28" s="298">
        <f t="shared" si="1"/>
        <v>8.271730982222494E-3</v>
      </c>
      <c r="K28" s="33" t="s">
        <v>55</v>
      </c>
      <c r="L28" s="33" t="s">
        <v>55</v>
      </c>
      <c r="M28" s="33" t="s">
        <v>55</v>
      </c>
      <c r="N28" s="33" t="s">
        <v>55</v>
      </c>
    </row>
    <row r="29" spans="1:14" ht="15" thickBot="1" x14ac:dyDescent="0.4">
      <c r="B29" s="303" t="s">
        <v>60</v>
      </c>
      <c r="C29" s="133">
        <f t="shared" si="0"/>
        <v>0.32831325301204817</v>
      </c>
      <c r="D29" s="133">
        <f t="shared" si="0"/>
        <v>0.46770414993306558</v>
      </c>
      <c r="E29" s="133">
        <f t="shared" si="0"/>
        <v>0.19377510040160642</v>
      </c>
      <c r="F29" s="337">
        <f t="shared" si="0"/>
        <v>1.0207496653279786E-2</v>
      </c>
      <c r="G29" s="133">
        <f t="shared" si="1"/>
        <v>0.30438257322048345</v>
      </c>
      <c r="H29" s="133">
        <f t="shared" si="1"/>
        <v>0.40724136881203193</v>
      </c>
      <c r="I29" s="133">
        <f>IFERROR(I22/SUM($G22:$J22),"-")</f>
        <v>0.27327909030018877</v>
      </c>
      <c r="J29" s="341">
        <f t="shared" si="1"/>
        <v>1.5096967667295865E-2</v>
      </c>
      <c r="K29" s="185" t="s">
        <v>55</v>
      </c>
      <c r="L29" s="185" t="s">
        <v>55</v>
      </c>
      <c r="M29" s="185" t="s">
        <v>55</v>
      </c>
      <c r="N29" s="185" t="s">
        <v>55</v>
      </c>
    </row>
    <row r="30" spans="1:14" x14ac:dyDescent="0.35">
      <c r="D30" s="15"/>
    </row>
    <row r="31" spans="1:14" ht="16.5" x14ac:dyDescent="0.35">
      <c r="A31" t="s">
        <v>62</v>
      </c>
    </row>
    <row r="32" spans="1:14" x14ac:dyDescent="0.35">
      <c r="A32" s="5"/>
    </row>
    <row r="33" spans="1:21" x14ac:dyDescent="0.35">
      <c r="B33" s="5" t="s">
        <v>63</v>
      </c>
      <c r="C33" s="398" t="s">
        <v>44</v>
      </c>
      <c r="D33" s="399"/>
      <c r="E33" s="399"/>
      <c r="F33" s="399"/>
      <c r="G33" s="399"/>
      <c r="H33" s="399"/>
      <c r="I33" s="399"/>
      <c r="J33" s="399"/>
      <c r="K33" s="399"/>
      <c r="L33" s="413"/>
      <c r="M33" s="416" t="s">
        <v>45</v>
      </c>
      <c r="N33" s="399"/>
      <c r="O33" s="399"/>
    </row>
    <row r="34" spans="1:21" x14ac:dyDescent="0.35">
      <c r="C34" s="401" t="str">
        <f>$A$1</f>
        <v>Midlothian</v>
      </c>
      <c r="D34" s="402"/>
      <c r="E34" s="402"/>
      <c r="F34" s="402"/>
      <c r="G34" s="415"/>
      <c r="H34" s="401" t="s">
        <v>46</v>
      </c>
      <c r="I34" s="402"/>
      <c r="J34" s="402"/>
      <c r="K34" s="402"/>
      <c r="L34" s="405"/>
      <c r="M34" s="414" t="str">
        <f>$A$1</f>
        <v>Midlothian</v>
      </c>
      <c r="N34" s="402"/>
      <c r="O34" s="402"/>
    </row>
    <row r="35" spans="1:21" ht="29.5" thickBot="1" x14ac:dyDescent="0.4">
      <c r="B35" s="36" t="s">
        <v>39</v>
      </c>
      <c r="C35" s="3" t="s">
        <v>64</v>
      </c>
      <c r="D35" s="147" t="s">
        <v>65</v>
      </c>
      <c r="E35" s="147" t="s">
        <v>66</v>
      </c>
      <c r="F35" s="264" t="s">
        <v>49</v>
      </c>
      <c r="G35" s="344" t="s">
        <v>50</v>
      </c>
      <c r="H35" s="3" t="s">
        <v>64</v>
      </c>
      <c r="I35" s="147" t="s">
        <v>65</v>
      </c>
      <c r="J35" s="147" t="s">
        <v>66</v>
      </c>
      <c r="K35" s="264" t="s">
        <v>49</v>
      </c>
      <c r="L35" s="264" t="s">
        <v>50</v>
      </c>
      <c r="M35" s="202" t="s">
        <v>64</v>
      </c>
      <c r="N35" s="147" t="s">
        <v>65</v>
      </c>
      <c r="O35" s="147" t="s">
        <v>66</v>
      </c>
    </row>
    <row r="36" spans="1:21" x14ac:dyDescent="0.35">
      <c r="B36" s="23" t="s">
        <v>53</v>
      </c>
      <c r="C36" s="16"/>
      <c r="D36" s="14"/>
      <c r="E36" s="14"/>
      <c r="F36" s="14"/>
      <c r="G36" s="345"/>
      <c r="H36" s="16"/>
      <c r="I36" s="14"/>
      <c r="J36" s="14"/>
      <c r="K36" s="14"/>
      <c r="L36" s="14"/>
      <c r="M36" s="207"/>
      <c r="N36" s="14"/>
      <c r="O36" s="14"/>
    </row>
    <row r="37" spans="1:21" x14ac:dyDescent="0.35">
      <c r="B37" s="123" t="s">
        <v>54</v>
      </c>
      <c r="C37" s="377">
        <v>981</v>
      </c>
      <c r="D37" s="29">
        <v>1055</v>
      </c>
      <c r="E37" s="29">
        <v>391</v>
      </c>
      <c r="F37" s="29">
        <v>152</v>
      </c>
      <c r="G37" s="346">
        <v>0</v>
      </c>
      <c r="H37" s="28">
        <v>24153</v>
      </c>
      <c r="I37" s="29">
        <v>49042</v>
      </c>
      <c r="J37" s="29">
        <v>37234</v>
      </c>
      <c r="K37" s="29">
        <v>29029</v>
      </c>
      <c r="L37" s="29">
        <v>0</v>
      </c>
      <c r="M37" s="57" t="s">
        <v>55</v>
      </c>
      <c r="N37" s="29" t="s">
        <v>55</v>
      </c>
      <c r="O37" s="29" t="s">
        <v>55</v>
      </c>
    </row>
    <row r="38" spans="1:21" x14ac:dyDescent="0.35">
      <c r="B38" s="124" t="s">
        <v>56</v>
      </c>
      <c r="C38" s="26">
        <f>IFERROR(SUM(D54:E54),"-")</f>
        <v>777</v>
      </c>
      <c r="D38" s="27">
        <f>IFERROR(SUM(F54:G54),"-")</f>
        <v>1626</v>
      </c>
      <c r="E38" s="27">
        <v>1090</v>
      </c>
      <c r="F38" s="27">
        <v>1095</v>
      </c>
      <c r="G38" s="347">
        <v>32</v>
      </c>
      <c r="H38" s="26">
        <f>IFERROR(SUM(N54:O54),"-")</f>
        <v>40117</v>
      </c>
      <c r="I38" s="27">
        <f>IFERROR(SUM(P54:Q54),"-")</f>
        <v>73528</v>
      </c>
      <c r="J38" s="27">
        <v>55942</v>
      </c>
      <c r="K38" s="27">
        <v>38752</v>
      </c>
      <c r="L38" s="27">
        <v>0</v>
      </c>
      <c r="M38" s="58" t="s">
        <v>55</v>
      </c>
      <c r="N38" s="27" t="s">
        <v>55</v>
      </c>
      <c r="O38" s="27" t="s">
        <v>55</v>
      </c>
    </row>
    <row r="39" spans="1:21" x14ac:dyDescent="0.35">
      <c r="B39" s="123" t="s">
        <v>57</v>
      </c>
      <c r="C39" s="28">
        <f>IFERROR(SUM(D55:E55),"-")</f>
        <v>653</v>
      </c>
      <c r="D39" s="29">
        <f t="shared" ref="D39:D42" si="2">IFERROR(SUM(F55:G55),"-")</f>
        <v>1509</v>
      </c>
      <c r="E39" s="29">
        <v>1022</v>
      </c>
      <c r="F39" s="29">
        <v>220</v>
      </c>
      <c r="G39" s="346">
        <v>21</v>
      </c>
      <c r="H39" s="28">
        <f>IFERROR(SUM(N55:O55),"-")</f>
        <v>39660.404999999999</v>
      </c>
      <c r="I39" s="29">
        <f>IFERROR(SUM(P55:Q55),"-")</f>
        <v>78827.05</v>
      </c>
      <c r="J39" s="29">
        <v>71419.48</v>
      </c>
      <c r="K39" s="29">
        <v>25928.115000000002</v>
      </c>
      <c r="L39" s="29">
        <v>993.15499999999997</v>
      </c>
      <c r="M39" s="57" t="s">
        <v>55</v>
      </c>
      <c r="N39" s="29" t="s">
        <v>55</v>
      </c>
      <c r="O39" s="29" t="s">
        <v>55</v>
      </c>
    </row>
    <row r="40" spans="1:21" x14ac:dyDescent="0.35">
      <c r="B40" s="124" t="s">
        <v>58</v>
      </c>
      <c r="C40" s="26">
        <f>IFERROR(SUM(D56:E56),"-")</f>
        <v>839</v>
      </c>
      <c r="D40" s="27">
        <f t="shared" si="2"/>
        <v>1642</v>
      </c>
      <c r="E40" s="27">
        <v>979</v>
      </c>
      <c r="F40" s="27">
        <v>766</v>
      </c>
      <c r="G40" s="347">
        <v>103</v>
      </c>
      <c r="H40" s="26">
        <f>IFERROR(SUM(N56:O56),"-")</f>
        <v>40224.090000000004</v>
      </c>
      <c r="I40" s="27">
        <f>IFERROR(SUM(P56:Q56),"-")</f>
        <v>76325.760000000009</v>
      </c>
      <c r="J40" s="27">
        <v>50817.19</v>
      </c>
      <c r="K40" s="27">
        <v>37272.120000000003</v>
      </c>
      <c r="L40" s="27">
        <v>3802.65</v>
      </c>
      <c r="M40" s="58" t="s">
        <v>55</v>
      </c>
      <c r="N40" s="27" t="s">
        <v>55</v>
      </c>
      <c r="O40" s="27" t="s">
        <v>55</v>
      </c>
    </row>
    <row r="41" spans="1:21" x14ac:dyDescent="0.35">
      <c r="B41" s="123" t="s">
        <v>59</v>
      </c>
      <c r="C41" s="28">
        <f t="shared" ref="C41:C42" si="3">IFERROR(SUM(D57:E57),"-")</f>
        <v>961</v>
      </c>
      <c r="D41" s="29">
        <f t="shared" si="2"/>
        <v>1782</v>
      </c>
      <c r="E41" s="29">
        <v>1204</v>
      </c>
      <c r="F41" s="29">
        <v>729</v>
      </c>
      <c r="G41" s="346">
        <v>159</v>
      </c>
      <c r="H41" s="28">
        <f>IFERROR(SUM(N57:O57),"-")</f>
        <v>34177.7408</v>
      </c>
      <c r="I41" s="29">
        <f>IFERROR(SUM(P57:Q57),"-")</f>
        <v>67765.080399999992</v>
      </c>
      <c r="J41" s="29">
        <v>51739.887199999997</v>
      </c>
      <c r="K41" s="29">
        <v>48147.5412</v>
      </c>
      <c r="L41" s="29">
        <v>1913.4616000000001</v>
      </c>
      <c r="M41" s="57" t="s">
        <v>55</v>
      </c>
      <c r="N41" s="29" t="s">
        <v>55</v>
      </c>
      <c r="O41" s="29" t="s">
        <v>55</v>
      </c>
    </row>
    <row r="42" spans="1:21" x14ac:dyDescent="0.35">
      <c r="B42" s="85" t="s">
        <v>60</v>
      </c>
      <c r="C42" s="299">
        <f t="shared" si="3"/>
        <v>1012</v>
      </c>
      <c r="D42" s="300">
        <f t="shared" si="2"/>
        <v>2015</v>
      </c>
      <c r="E42" s="300">
        <v>1623</v>
      </c>
      <c r="F42" s="300">
        <v>1037</v>
      </c>
      <c r="G42" s="348">
        <v>275</v>
      </c>
      <c r="H42" s="299">
        <f>IFERROR(SUM(N58:O58),"-")</f>
        <v>38592</v>
      </c>
      <c r="I42" s="300">
        <f>IFERROR(SUM(P58:Q58),"-")</f>
        <v>84218</v>
      </c>
      <c r="J42" s="300">
        <v>70477</v>
      </c>
      <c r="K42" s="300">
        <v>61067</v>
      </c>
      <c r="L42" s="300">
        <v>3063</v>
      </c>
      <c r="M42" s="301" t="s">
        <v>55</v>
      </c>
      <c r="N42" s="300" t="s">
        <v>55</v>
      </c>
      <c r="O42" s="300" t="s">
        <v>55</v>
      </c>
    </row>
    <row r="43" spans="1:21" x14ac:dyDescent="0.35">
      <c r="B43" s="24" t="s">
        <v>61</v>
      </c>
      <c r="C43" s="162"/>
      <c r="D43" s="161"/>
      <c r="E43" s="161"/>
      <c r="F43" s="161"/>
      <c r="G43" s="349"/>
      <c r="H43" s="162"/>
      <c r="I43" s="161"/>
      <c r="J43" s="161"/>
      <c r="K43" s="161"/>
      <c r="L43" s="161"/>
      <c r="M43" s="203"/>
      <c r="N43" s="161"/>
      <c r="O43" s="161"/>
    </row>
    <row r="44" spans="1:21" x14ac:dyDescent="0.35">
      <c r="A44" s="15"/>
      <c r="B44" s="123" t="s">
        <v>54</v>
      </c>
      <c r="C44" s="42">
        <f>IFERROR(C37/SUM($C37:$G37),"")</f>
        <v>0.3803799922450562</v>
      </c>
      <c r="D44" s="43">
        <f t="shared" ref="D44:G48" si="4">IFERROR(D37/SUM($C37:$G37),"")</f>
        <v>0.40907328421868944</v>
      </c>
      <c r="E44" s="43">
        <f t="shared" si="4"/>
        <v>0.15160915083365645</v>
      </c>
      <c r="F44" s="43">
        <f t="shared" si="4"/>
        <v>5.8937572702597904E-2</v>
      </c>
      <c r="G44" s="350">
        <f t="shared" si="4"/>
        <v>0</v>
      </c>
      <c r="H44" s="42">
        <f t="shared" ref="H44:L48" si="5">IFERROR(H37/SUM($H37:$L37),"")</f>
        <v>0.17319192875274275</v>
      </c>
      <c r="I44" s="43">
        <f t="shared" si="5"/>
        <v>0.35166143211576245</v>
      </c>
      <c r="J44" s="43">
        <f t="shared" si="5"/>
        <v>0.26699077858566739</v>
      </c>
      <c r="K44" s="43">
        <f t="shared" si="5"/>
        <v>0.20815586054582741</v>
      </c>
      <c r="L44" s="43">
        <f t="shared" si="5"/>
        <v>0</v>
      </c>
      <c r="M44" s="208">
        <v>0.27200000000000002</v>
      </c>
      <c r="N44" s="43">
        <v>0.41599999999999998</v>
      </c>
      <c r="O44" s="43">
        <v>0.311</v>
      </c>
      <c r="U44" s="15"/>
    </row>
    <row r="45" spans="1:21" x14ac:dyDescent="0.35">
      <c r="B45" s="124" t="s">
        <v>56</v>
      </c>
      <c r="C45" s="44">
        <f>IFERROR(C38/SUM($C38:$G38),"")</f>
        <v>0.16818181818181818</v>
      </c>
      <c r="D45" s="45">
        <f t="shared" si="4"/>
        <v>0.35194805194805195</v>
      </c>
      <c r="E45" s="45">
        <f t="shared" si="4"/>
        <v>0.23593073593073594</v>
      </c>
      <c r="F45" s="45">
        <f t="shared" si="4"/>
        <v>0.23701298701298701</v>
      </c>
      <c r="G45" s="351">
        <f t="shared" si="4"/>
        <v>6.9264069264069264E-3</v>
      </c>
      <c r="H45" s="44">
        <f t="shared" si="5"/>
        <v>0.19255636246694091</v>
      </c>
      <c r="I45" s="45">
        <f t="shared" si="5"/>
        <v>0.3529248004454279</v>
      </c>
      <c r="J45" s="45">
        <f t="shared" si="5"/>
        <v>0.26851429641113761</v>
      </c>
      <c r="K45" s="45">
        <f t="shared" si="5"/>
        <v>0.18600454067649361</v>
      </c>
      <c r="L45" s="45">
        <f t="shared" si="5"/>
        <v>0</v>
      </c>
      <c r="M45" s="209">
        <v>0.27200000000000002</v>
      </c>
      <c r="N45" s="45">
        <v>0.439</v>
      </c>
      <c r="O45" s="45">
        <v>0.28899999999999998</v>
      </c>
      <c r="U45" s="15"/>
    </row>
    <row r="46" spans="1:21" x14ac:dyDescent="0.35">
      <c r="B46" s="123" t="s">
        <v>57</v>
      </c>
      <c r="C46" s="42">
        <f>IFERROR(C39/SUM($C39:$G39),"")</f>
        <v>0.19065693430656935</v>
      </c>
      <c r="D46" s="43">
        <f t="shared" si="4"/>
        <v>0.44058394160583941</v>
      </c>
      <c r="E46" s="43">
        <f t="shared" si="4"/>
        <v>0.29839416058394158</v>
      </c>
      <c r="F46" s="43">
        <f t="shared" si="4"/>
        <v>6.4233576642335768E-2</v>
      </c>
      <c r="G46" s="350">
        <f t="shared" si="4"/>
        <v>6.1313868613138683E-3</v>
      </c>
      <c r="H46" s="42">
        <f t="shared" si="5"/>
        <v>0.18291165118486316</v>
      </c>
      <c r="I46" s="43">
        <f t="shared" si="5"/>
        <v>0.36354610785068303</v>
      </c>
      <c r="J46" s="43">
        <f t="shared" si="5"/>
        <v>0.3293827940880662</v>
      </c>
      <c r="K46" s="43">
        <f t="shared" si="5"/>
        <v>0.11957906952188256</v>
      </c>
      <c r="L46" s="43">
        <f t="shared" si="5"/>
        <v>4.5803773545051484E-3</v>
      </c>
      <c r="M46" s="208" t="s">
        <v>55</v>
      </c>
      <c r="N46" s="43" t="s">
        <v>55</v>
      </c>
      <c r="O46" s="43" t="s">
        <v>55</v>
      </c>
      <c r="U46" s="15"/>
    </row>
    <row r="47" spans="1:21" x14ac:dyDescent="0.35">
      <c r="B47" s="124" t="s">
        <v>58</v>
      </c>
      <c r="C47" s="44">
        <f>IFERROR(C40/SUM($C40:$G40),"")</f>
        <v>0.19380919380919381</v>
      </c>
      <c r="D47" s="45">
        <f t="shared" si="4"/>
        <v>0.37930237930237931</v>
      </c>
      <c r="E47" s="45">
        <f t="shared" si="4"/>
        <v>0.22614922614922614</v>
      </c>
      <c r="F47" s="45">
        <f t="shared" si="4"/>
        <v>0.17694617694617695</v>
      </c>
      <c r="G47" s="351">
        <f t="shared" si="4"/>
        <v>2.3793023793023792E-2</v>
      </c>
      <c r="H47" s="44">
        <f t="shared" si="5"/>
        <v>0.19297515215397526</v>
      </c>
      <c r="I47" s="45">
        <f t="shared" si="5"/>
        <v>0.3661729861202031</v>
      </c>
      <c r="J47" s="45">
        <f t="shared" si="5"/>
        <v>0.24379557057195006</v>
      </c>
      <c r="K47" s="45">
        <f t="shared" si="5"/>
        <v>0.17881307018011408</v>
      </c>
      <c r="L47" s="45">
        <f t="shared" si="5"/>
        <v>1.8243220973757617E-2</v>
      </c>
      <c r="M47" s="209">
        <v>0.18181818181818199</v>
      </c>
      <c r="N47" s="45">
        <v>0.36363636363636398</v>
      </c>
      <c r="O47" s="45">
        <v>0.5</v>
      </c>
      <c r="U47" s="15"/>
    </row>
    <row r="48" spans="1:21" x14ac:dyDescent="0.35">
      <c r="B48" s="123" t="s">
        <v>59</v>
      </c>
      <c r="C48" s="42">
        <f>IFERROR(C41/SUM($C41:$G41),"")</f>
        <v>0.19875904860392968</v>
      </c>
      <c r="D48" s="43">
        <f t="shared" si="4"/>
        <v>0.36856256463288523</v>
      </c>
      <c r="E48" s="43">
        <f t="shared" si="4"/>
        <v>0.24901758014477765</v>
      </c>
      <c r="F48" s="43">
        <f t="shared" si="4"/>
        <v>0.15077559462254395</v>
      </c>
      <c r="G48" s="350">
        <f t="shared" si="4"/>
        <v>3.2885211995863493E-2</v>
      </c>
      <c r="H48" s="42">
        <f t="shared" si="5"/>
        <v>0.16774869073848497</v>
      </c>
      <c r="I48" s="43">
        <f t="shared" si="5"/>
        <v>0.3325996174354558</v>
      </c>
      <c r="J48" s="43">
        <f t="shared" si="5"/>
        <v>0.25394593479850186</v>
      </c>
      <c r="K48" s="43">
        <f t="shared" si="5"/>
        <v>0.23631424457924566</v>
      </c>
      <c r="L48" s="43">
        <f t="shared" si="5"/>
        <v>9.3915124483115817E-3</v>
      </c>
      <c r="M48" s="208" t="s">
        <v>55</v>
      </c>
      <c r="N48" s="43" t="s">
        <v>55</v>
      </c>
      <c r="O48" s="43" t="s">
        <v>55</v>
      </c>
      <c r="U48" s="15"/>
    </row>
    <row r="49" spans="2:22" ht="15" thickBot="1" x14ac:dyDescent="0.4">
      <c r="B49" s="303" t="s">
        <v>60</v>
      </c>
      <c r="C49" s="302">
        <f t="shared" ref="C49:G49" si="6">IFERROR(C42/SUM($C42:$G42),"")</f>
        <v>0.16974169741697417</v>
      </c>
      <c r="D49" s="302">
        <f t="shared" si="6"/>
        <v>0.3379738342837974</v>
      </c>
      <c r="E49" s="302">
        <f t="shared" si="6"/>
        <v>0.27222408587722241</v>
      </c>
      <c r="F49" s="302">
        <f t="shared" si="6"/>
        <v>0.17393492116739348</v>
      </c>
      <c r="G49" s="304">
        <f t="shared" si="6"/>
        <v>4.6125461254612546E-2</v>
      </c>
      <c r="H49" s="302">
        <f t="shared" ref="H49:L49" si="7">IFERROR(H42/SUM($H42:$L42),"")</f>
        <v>0.14992016844264364</v>
      </c>
      <c r="I49" s="302">
        <f t="shared" si="7"/>
        <v>0.32716564951032762</v>
      </c>
      <c r="J49" s="302">
        <f t="shared" si="7"/>
        <v>0.27378533663277871</v>
      </c>
      <c r="K49" s="302">
        <f t="shared" si="7"/>
        <v>0.23722986438347118</v>
      </c>
      <c r="L49" s="305">
        <f t="shared" si="7"/>
        <v>1.1898981030778853E-2</v>
      </c>
      <c r="M49" s="302" t="s">
        <v>55</v>
      </c>
      <c r="N49" s="302" t="s">
        <v>55</v>
      </c>
      <c r="O49" s="302" t="s">
        <v>55</v>
      </c>
      <c r="U49" s="15"/>
    </row>
    <row r="50" spans="2:22" x14ac:dyDescent="0.35">
      <c r="C50" s="15"/>
      <c r="D50" s="15"/>
      <c r="E50" s="15"/>
      <c r="F50" s="15"/>
      <c r="I50" s="15"/>
    </row>
    <row r="51" spans="2:22" x14ac:dyDescent="0.35">
      <c r="B51" s="5" t="s">
        <v>67</v>
      </c>
      <c r="C51" s="398" t="str">
        <f>$A$1</f>
        <v>Midlothian</v>
      </c>
      <c r="D51" s="399"/>
      <c r="E51" s="399"/>
      <c r="F51" s="399"/>
      <c r="G51" s="399"/>
      <c r="H51" s="399"/>
      <c r="I51" s="399"/>
      <c r="J51" s="399"/>
      <c r="K51" s="399"/>
      <c r="L51" s="400"/>
      <c r="M51" s="398" t="s">
        <v>46</v>
      </c>
      <c r="N51" s="399"/>
      <c r="O51" s="399"/>
      <c r="P51" s="399"/>
      <c r="Q51" s="399"/>
      <c r="R51" s="399"/>
      <c r="S51" s="399"/>
      <c r="T51" s="399"/>
      <c r="U51" s="399"/>
      <c r="V51" s="399"/>
    </row>
    <row r="52" spans="2:22" ht="29.5" thickBot="1" x14ac:dyDescent="0.4">
      <c r="B52" s="36" t="s">
        <v>39</v>
      </c>
      <c r="C52" s="3" t="s">
        <v>68</v>
      </c>
      <c r="D52" s="147" t="s">
        <v>69</v>
      </c>
      <c r="E52" s="147" t="s">
        <v>70</v>
      </c>
      <c r="F52" s="147" t="s">
        <v>71</v>
      </c>
      <c r="G52" s="147" t="s">
        <v>72</v>
      </c>
      <c r="H52" s="147" t="s">
        <v>73</v>
      </c>
      <c r="I52" s="147" t="s">
        <v>74</v>
      </c>
      <c r="J52" s="147" t="s">
        <v>75</v>
      </c>
      <c r="K52" s="369" t="s">
        <v>49</v>
      </c>
      <c r="L52" s="370" t="s">
        <v>50</v>
      </c>
      <c r="M52" s="3" t="s">
        <v>68</v>
      </c>
      <c r="N52" s="147" t="s">
        <v>69</v>
      </c>
      <c r="O52" s="147" t="s">
        <v>70</v>
      </c>
      <c r="P52" s="147" t="s">
        <v>71</v>
      </c>
      <c r="Q52" s="147" t="s">
        <v>72</v>
      </c>
      <c r="R52" s="147" t="s">
        <v>73</v>
      </c>
      <c r="S52" s="147" t="s">
        <v>74</v>
      </c>
      <c r="T52" s="147" t="s">
        <v>75</v>
      </c>
      <c r="U52" s="369" t="s">
        <v>49</v>
      </c>
      <c r="V52" s="376" t="s">
        <v>50</v>
      </c>
    </row>
    <row r="53" spans="2:22" x14ac:dyDescent="0.35">
      <c r="B53" s="34" t="s">
        <v>76</v>
      </c>
      <c r="C53" s="16"/>
      <c r="D53" s="14"/>
      <c r="E53" s="14"/>
      <c r="F53" s="14"/>
      <c r="G53" s="14"/>
      <c r="H53" s="14"/>
      <c r="I53" s="14"/>
      <c r="J53" s="14"/>
      <c r="M53" s="16"/>
      <c r="N53" s="14"/>
      <c r="O53" s="14"/>
      <c r="P53" s="14"/>
      <c r="Q53" s="14"/>
      <c r="R53" s="14"/>
      <c r="S53" s="14"/>
      <c r="T53" s="14"/>
    </row>
    <row r="54" spans="2:22" x14ac:dyDescent="0.35">
      <c r="B54" s="37" t="s">
        <v>56</v>
      </c>
      <c r="C54" s="28">
        <v>18</v>
      </c>
      <c r="D54" s="29">
        <v>242</v>
      </c>
      <c r="E54" s="29">
        <v>535</v>
      </c>
      <c r="F54" s="29">
        <v>592</v>
      </c>
      <c r="G54" s="29">
        <v>1034</v>
      </c>
      <c r="H54" s="29">
        <v>396</v>
      </c>
      <c r="I54" s="29">
        <v>492</v>
      </c>
      <c r="J54" s="29">
        <v>202</v>
      </c>
      <c r="K54" s="371">
        <v>1095</v>
      </c>
      <c r="L54" s="371">
        <v>32</v>
      </c>
      <c r="M54" s="28">
        <v>803</v>
      </c>
      <c r="N54" s="29">
        <v>13350</v>
      </c>
      <c r="O54" s="29">
        <v>26767</v>
      </c>
      <c r="P54" s="29">
        <v>31774</v>
      </c>
      <c r="Q54" s="29">
        <v>41754</v>
      </c>
      <c r="R54" s="29">
        <v>20258</v>
      </c>
      <c r="S54" s="29">
        <v>12890</v>
      </c>
      <c r="T54" s="29">
        <v>21652</v>
      </c>
      <c r="U54" s="371">
        <v>38752</v>
      </c>
      <c r="V54" s="371">
        <v>0</v>
      </c>
    </row>
    <row r="55" spans="2:22" x14ac:dyDescent="0.35">
      <c r="B55" s="35" t="s">
        <v>57</v>
      </c>
      <c r="C55" s="26">
        <v>27</v>
      </c>
      <c r="D55" s="27">
        <v>195</v>
      </c>
      <c r="E55" s="27">
        <v>458</v>
      </c>
      <c r="F55" s="27">
        <v>529</v>
      </c>
      <c r="G55" s="27">
        <v>980</v>
      </c>
      <c r="H55" s="27">
        <v>86</v>
      </c>
      <c r="I55" s="27">
        <v>105</v>
      </c>
      <c r="J55" s="27">
        <v>220</v>
      </c>
      <c r="K55" s="372">
        <v>220</v>
      </c>
      <c r="L55" s="372">
        <v>21</v>
      </c>
      <c r="M55" s="26">
        <v>1386.04</v>
      </c>
      <c r="N55" s="27">
        <v>13035.18</v>
      </c>
      <c r="O55" s="27">
        <v>26625.224999999999</v>
      </c>
      <c r="P55" s="27">
        <v>29913.205000000002</v>
      </c>
      <c r="Q55" s="27">
        <v>48913.845000000001</v>
      </c>
      <c r="R55" s="27">
        <v>15458</v>
      </c>
      <c r="S55" s="27">
        <v>11277</v>
      </c>
      <c r="T55" s="27">
        <v>12860</v>
      </c>
      <c r="U55" s="372">
        <v>25928.115000000002</v>
      </c>
      <c r="V55" s="372">
        <v>993.15499999999997</v>
      </c>
    </row>
    <row r="56" spans="2:22" x14ac:dyDescent="0.35">
      <c r="B56" s="37" t="s">
        <v>58</v>
      </c>
      <c r="C56" s="28">
        <v>15</v>
      </c>
      <c r="D56" s="29">
        <v>235</v>
      </c>
      <c r="E56" s="29">
        <v>604</v>
      </c>
      <c r="F56" s="29">
        <v>586</v>
      </c>
      <c r="G56" s="29">
        <v>1056</v>
      </c>
      <c r="H56" s="29">
        <v>91</v>
      </c>
      <c r="I56" s="29">
        <v>86</v>
      </c>
      <c r="J56" s="29">
        <v>213</v>
      </c>
      <c r="K56" s="371">
        <v>766</v>
      </c>
      <c r="L56" s="371">
        <v>103</v>
      </c>
      <c r="M56" s="28">
        <v>716.78</v>
      </c>
      <c r="N56" s="29">
        <v>12014.19</v>
      </c>
      <c r="O56" s="29">
        <v>28209.9</v>
      </c>
      <c r="P56" s="29">
        <v>31531.25</v>
      </c>
      <c r="Q56" s="29">
        <v>44794.51</v>
      </c>
      <c r="R56" s="29">
        <v>10376.07</v>
      </c>
      <c r="S56" s="29">
        <v>8816.4</v>
      </c>
      <c r="T56" s="29">
        <v>14202.62</v>
      </c>
      <c r="U56" s="371">
        <v>37272.120000000003</v>
      </c>
      <c r="V56" s="371">
        <v>3802.65</v>
      </c>
    </row>
    <row r="57" spans="2:22" x14ac:dyDescent="0.35">
      <c r="B57" s="35" t="s">
        <v>59</v>
      </c>
      <c r="C57" s="26">
        <v>20</v>
      </c>
      <c r="D57" s="27">
        <v>283</v>
      </c>
      <c r="E57" s="27">
        <v>678</v>
      </c>
      <c r="F57" s="27">
        <v>714</v>
      </c>
      <c r="G57" s="27">
        <v>1068</v>
      </c>
      <c r="H57" s="27">
        <v>101</v>
      </c>
      <c r="I57" s="27">
        <v>101</v>
      </c>
      <c r="J57" s="27">
        <v>291</v>
      </c>
      <c r="K57" s="372">
        <v>729</v>
      </c>
      <c r="L57" s="372">
        <v>159</v>
      </c>
      <c r="M57" s="26">
        <v>858.46</v>
      </c>
      <c r="N57" s="27">
        <v>11061.195</v>
      </c>
      <c r="O57" s="27">
        <v>23116.5458</v>
      </c>
      <c r="P57" s="27">
        <v>26742.036199999999</v>
      </c>
      <c r="Q57" s="27">
        <v>41023.044199999997</v>
      </c>
      <c r="R57" s="27">
        <v>12905.844999999999</v>
      </c>
      <c r="S57" s="27">
        <v>9459.74</v>
      </c>
      <c r="T57" s="27">
        <v>11147.205</v>
      </c>
      <c r="U57" s="372">
        <v>48147.5412</v>
      </c>
      <c r="V57" s="372">
        <v>1913.4616000000001</v>
      </c>
    </row>
    <row r="58" spans="2:22" x14ac:dyDescent="0.35">
      <c r="B58" s="37" t="s">
        <v>60</v>
      </c>
      <c r="C58" s="28">
        <v>14</v>
      </c>
      <c r="D58" s="29">
        <v>278</v>
      </c>
      <c r="E58" s="29">
        <v>734</v>
      </c>
      <c r="F58" s="29">
        <v>805</v>
      </c>
      <c r="G58" s="29">
        <v>1210</v>
      </c>
      <c r="H58" s="29">
        <v>101</v>
      </c>
      <c r="I58" s="29">
        <v>97</v>
      </c>
      <c r="J58" s="29">
        <v>356</v>
      </c>
      <c r="K58" s="373">
        <v>1037</v>
      </c>
      <c r="L58" s="374">
        <v>275</v>
      </c>
      <c r="M58" s="28">
        <v>1009</v>
      </c>
      <c r="N58" s="29">
        <v>10658</v>
      </c>
      <c r="O58" s="29">
        <v>27934</v>
      </c>
      <c r="P58" s="29">
        <v>34934</v>
      </c>
      <c r="Q58" s="29">
        <v>49284</v>
      </c>
      <c r="R58" s="29">
        <v>13941</v>
      </c>
      <c r="S58" s="29">
        <v>13873</v>
      </c>
      <c r="T58" s="29">
        <v>19875</v>
      </c>
      <c r="U58" s="373">
        <v>61067</v>
      </c>
      <c r="V58" s="373">
        <v>3063</v>
      </c>
    </row>
    <row r="59" spans="2:22" x14ac:dyDescent="0.35">
      <c r="B59" s="40" t="s">
        <v>77</v>
      </c>
      <c r="C59" s="38"/>
      <c r="D59" s="39"/>
      <c r="E59" s="39"/>
      <c r="F59" s="39"/>
      <c r="G59" s="39"/>
      <c r="H59" s="39"/>
      <c r="I59" s="39"/>
      <c r="J59" s="39"/>
      <c r="M59" s="38"/>
      <c r="N59" s="39"/>
      <c r="O59" s="39"/>
      <c r="P59" s="39"/>
      <c r="Q59" s="39"/>
      <c r="R59" s="39"/>
      <c r="S59" s="39"/>
      <c r="T59" s="39"/>
    </row>
    <row r="60" spans="2:22" x14ac:dyDescent="0.35">
      <c r="B60" s="37" t="s">
        <v>56</v>
      </c>
      <c r="C60" s="32">
        <f>IFERROR(C54/SUM($C54:$L54),"-")</f>
        <v>3.8809831824062097E-3</v>
      </c>
      <c r="D60" s="33">
        <f t="shared" ref="D60:L60" si="8">IFERROR(D54/SUM($C54:$L54),"-")</f>
        <v>5.2177662785683483E-2</v>
      </c>
      <c r="E60" s="33">
        <f t="shared" si="8"/>
        <v>0.11535144458818457</v>
      </c>
      <c r="F60" s="33">
        <f t="shared" si="8"/>
        <v>0.12764122466580421</v>
      </c>
      <c r="G60" s="33">
        <f t="shared" si="8"/>
        <v>0.2229409228115567</v>
      </c>
      <c r="H60" s="33">
        <f t="shared" si="8"/>
        <v>8.538163001293661E-2</v>
      </c>
      <c r="I60" s="33">
        <f t="shared" si="8"/>
        <v>0.10608020698576973</v>
      </c>
      <c r="J60" s="33">
        <f t="shared" si="8"/>
        <v>4.3553255713669685E-2</v>
      </c>
      <c r="K60" s="33">
        <f t="shared" si="8"/>
        <v>0.23609314359637776</v>
      </c>
      <c r="L60" s="33">
        <f t="shared" si="8"/>
        <v>6.8995256576110395E-3</v>
      </c>
      <c r="M60" s="32">
        <f>IFERROR(M54/SUM($M54:$V54),"-")</f>
        <v>3.8605769230769232E-3</v>
      </c>
      <c r="N60" s="33">
        <f t="shared" ref="N60:V60" si="9">IFERROR(N54/SUM($M54:$V54),"-")</f>
        <v>6.4182692307692302E-2</v>
      </c>
      <c r="O60" s="33">
        <f t="shared" si="9"/>
        <v>0.12868750000000001</v>
      </c>
      <c r="P60" s="33">
        <f t="shared" si="9"/>
        <v>0.15275961538461538</v>
      </c>
      <c r="Q60" s="33">
        <f t="shared" si="9"/>
        <v>0.20074038461538463</v>
      </c>
      <c r="R60" s="33">
        <f t="shared" si="9"/>
        <v>9.7394230769230775E-2</v>
      </c>
      <c r="S60" s="33">
        <f t="shared" si="9"/>
        <v>6.1971153846153849E-2</v>
      </c>
      <c r="T60" s="33">
        <f t="shared" si="9"/>
        <v>0.10409615384615385</v>
      </c>
      <c r="U60" s="375">
        <f t="shared" si="9"/>
        <v>0.18630769230769231</v>
      </c>
      <c r="V60" s="375">
        <f t="shared" si="9"/>
        <v>0</v>
      </c>
    </row>
    <row r="61" spans="2:22" x14ac:dyDescent="0.35">
      <c r="B61" s="35" t="s">
        <v>57</v>
      </c>
      <c r="C61" s="21">
        <f t="shared" ref="C61:L61" si="10">IFERROR(C55/SUM($C55:$L55),"-")</f>
        <v>9.5036958817317843E-3</v>
      </c>
      <c r="D61" s="22">
        <f t="shared" si="10"/>
        <v>6.863780359028511E-2</v>
      </c>
      <c r="E61" s="22">
        <f t="shared" si="10"/>
        <v>0.16121084125307991</v>
      </c>
      <c r="F61" s="22">
        <f t="shared" si="10"/>
        <v>0.1862020415346709</v>
      </c>
      <c r="G61" s="22">
        <f t="shared" si="10"/>
        <v>0.34494896163322775</v>
      </c>
      <c r="H61" s="22">
        <f t="shared" si="10"/>
        <v>3.0271031326997537E-2</v>
      </c>
      <c r="I61" s="22">
        <f t="shared" si="10"/>
        <v>3.6958817317845831E-2</v>
      </c>
      <c r="J61" s="22">
        <f t="shared" si="10"/>
        <v>7.7437521999296016E-2</v>
      </c>
      <c r="K61" s="22">
        <f t="shared" si="10"/>
        <v>7.7437521999296016E-2</v>
      </c>
      <c r="L61" s="22">
        <f t="shared" si="10"/>
        <v>7.3917634635691657E-3</v>
      </c>
      <c r="M61" s="21">
        <f t="shared" ref="M61:V61" si="11">IFERROR(M55/SUM($M55:$V55),"-")</f>
        <v>7.4362452251602986E-3</v>
      </c>
      <c r="N61" s="22">
        <f t="shared" si="11"/>
        <v>6.9935063226245292E-2</v>
      </c>
      <c r="O61" s="22">
        <f t="shared" si="11"/>
        <v>0.14284703347310942</v>
      </c>
      <c r="P61" s="22">
        <f t="shared" si="11"/>
        <v>0.1604873797657291</v>
      </c>
      <c r="Q61" s="22">
        <f t="shared" si="11"/>
        <v>0.26242774113696643</v>
      </c>
      <c r="R61" s="22">
        <f t="shared" si="11"/>
        <v>8.2933738341265689E-2</v>
      </c>
      <c r="S61" s="22">
        <f t="shared" si="11"/>
        <v>6.0502249144420567E-2</v>
      </c>
      <c r="T61" s="22">
        <f t="shared" si="11"/>
        <v>6.8995204752793166E-2</v>
      </c>
      <c r="U61" s="143">
        <f t="shared" si="11"/>
        <v>0.13910696759556515</v>
      </c>
      <c r="V61" s="143">
        <f t="shared" si="11"/>
        <v>5.3283773387449683E-3</v>
      </c>
    </row>
    <row r="62" spans="2:22" x14ac:dyDescent="0.35">
      <c r="B62" s="37" t="s">
        <v>58</v>
      </c>
      <c r="C62" s="32">
        <f t="shared" ref="C62:L62" si="12">IFERROR(C56/SUM($C56:$L56),"-")</f>
        <v>3.9946737683089215E-3</v>
      </c>
      <c r="D62" s="33">
        <f t="shared" si="12"/>
        <v>6.2583222370173108E-2</v>
      </c>
      <c r="E62" s="33">
        <f t="shared" si="12"/>
        <v>0.16085219707057258</v>
      </c>
      <c r="F62" s="33">
        <f t="shared" si="12"/>
        <v>0.15605858854860186</v>
      </c>
      <c r="G62" s="33">
        <f t="shared" si="12"/>
        <v>0.28122503328894805</v>
      </c>
      <c r="H62" s="33">
        <f t="shared" si="12"/>
        <v>2.4234354194407455E-2</v>
      </c>
      <c r="I62" s="33">
        <f t="shared" si="12"/>
        <v>2.2902796271637816E-2</v>
      </c>
      <c r="J62" s="33">
        <f t="shared" si="12"/>
        <v>5.6724367509986683E-2</v>
      </c>
      <c r="K62" s="33">
        <f t="shared" si="12"/>
        <v>0.20399467376830893</v>
      </c>
      <c r="L62" s="33">
        <f t="shared" si="12"/>
        <v>2.7430093209054592E-2</v>
      </c>
      <c r="M62" s="32">
        <f t="shared" ref="M62:V62" si="13">IFERROR(M56/SUM($M56:$V56),"-")</f>
        <v>3.7383598708832107E-3</v>
      </c>
      <c r="N62" s="33">
        <f t="shared" si="13"/>
        <v>6.2659903704297498E-2</v>
      </c>
      <c r="O62" s="33">
        <f t="shared" si="13"/>
        <v>0.14712848868778189</v>
      </c>
      <c r="P62" s="33">
        <f t="shared" si="13"/>
        <v>0.16445096079520388</v>
      </c>
      <c r="Q62" s="33">
        <f t="shared" si="13"/>
        <v>0.2336253782469889</v>
      </c>
      <c r="R62" s="33">
        <f t="shared" si="13"/>
        <v>5.4116303057388813E-2</v>
      </c>
      <c r="S62" s="33">
        <f t="shared" si="13"/>
        <v>4.5981857704811432E-2</v>
      </c>
      <c r="T62" s="33">
        <f t="shared" si="13"/>
        <v>7.4073641381460567E-2</v>
      </c>
      <c r="U62" s="375">
        <f t="shared" si="13"/>
        <v>0.19439241846974462</v>
      </c>
      <c r="V62" s="375">
        <f t="shared" si="13"/>
        <v>1.9832688081439273E-2</v>
      </c>
    </row>
    <row r="63" spans="2:22" ht="17.25" customHeight="1" x14ac:dyDescent="0.35">
      <c r="B63" s="35" t="s">
        <v>59</v>
      </c>
      <c r="C63" s="21">
        <f t="shared" ref="C63:L63" si="14">IFERROR(C57/SUM($C57:$L57),"-")</f>
        <v>4.8262548262548262E-3</v>
      </c>
      <c r="D63" s="22">
        <f t="shared" si="14"/>
        <v>6.8291505791505794E-2</v>
      </c>
      <c r="E63" s="22">
        <f t="shared" si="14"/>
        <v>0.16361003861003862</v>
      </c>
      <c r="F63" s="22">
        <f t="shared" si="14"/>
        <v>0.17229729729729729</v>
      </c>
      <c r="G63" s="22">
        <f t="shared" si="14"/>
        <v>0.25772200772200771</v>
      </c>
      <c r="H63" s="22">
        <f t="shared" si="14"/>
        <v>2.4372586872586872E-2</v>
      </c>
      <c r="I63" s="22">
        <f t="shared" si="14"/>
        <v>2.4372586872586872E-2</v>
      </c>
      <c r="J63" s="22">
        <f t="shared" si="14"/>
        <v>7.022200772200772E-2</v>
      </c>
      <c r="K63" s="22">
        <f t="shared" si="14"/>
        <v>0.17591698841698841</v>
      </c>
      <c r="L63" s="22">
        <f t="shared" si="14"/>
        <v>3.8368725868725868E-2</v>
      </c>
      <c r="M63" s="21">
        <f t="shared" ref="M63:V63" si="15">IFERROR(M57/SUM($M57:$V57),"-")</f>
        <v>4.6060880437262764E-3</v>
      </c>
      <c r="N63" s="22">
        <f t="shared" si="15"/>
        <v>5.9349111244350189E-2</v>
      </c>
      <c r="O63" s="22">
        <f t="shared" si="15"/>
        <v>0.12403238965313568</v>
      </c>
      <c r="P63" s="22">
        <f t="shared" si="15"/>
        <v>0.1434850467182108</v>
      </c>
      <c r="Q63" s="22">
        <f t="shared" si="15"/>
        <v>0.22011014305485932</v>
      </c>
      <c r="R63" s="22">
        <f t="shared" si="15"/>
        <v>6.924662575854966E-2</v>
      </c>
      <c r="S63" s="22">
        <f t="shared" si="15"/>
        <v>5.0756465427345715E-2</v>
      </c>
      <c r="T63" s="22">
        <f t="shared" si="15"/>
        <v>5.9810599994718168E-2</v>
      </c>
      <c r="U63" s="143">
        <f t="shared" si="15"/>
        <v>0.25833680527472247</v>
      </c>
      <c r="V63" s="143">
        <f t="shared" si="15"/>
        <v>1.0266724830381555E-2</v>
      </c>
    </row>
    <row r="64" spans="2:22" ht="17.25" customHeight="1" thickBot="1" x14ac:dyDescent="0.4">
      <c r="B64" s="306" t="s">
        <v>60</v>
      </c>
      <c r="C64" s="223">
        <f t="shared" ref="C64:L64" si="16">IFERROR(C58/SUM($C58:$L58),"-")</f>
        <v>2.8530670470756064E-3</v>
      </c>
      <c r="D64" s="223">
        <f t="shared" si="16"/>
        <v>5.6653759934787037E-2</v>
      </c>
      <c r="E64" s="223">
        <f t="shared" si="16"/>
        <v>0.14958222946810679</v>
      </c>
      <c r="F64" s="223">
        <f t="shared" si="16"/>
        <v>0.16405135520684735</v>
      </c>
      <c r="G64" s="223">
        <f t="shared" si="16"/>
        <v>0.24658650906867741</v>
      </c>
      <c r="H64" s="223">
        <f t="shared" si="16"/>
        <v>2.0582840839616874E-2</v>
      </c>
      <c r="I64" s="223">
        <f t="shared" si="16"/>
        <v>1.9767678826166701E-2</v>
      </c>
      <c r="J64" s="223">
        <f t="shared" si="16"/>
        <v>7.2549419197065423E-2</v>
      </c>
      <c r="K64" s="223">
        <f t="shared" si="16"/>
        <v>0.21133075198695742</v>
      </c>
      <c r="L64" s="307">
        <f t="shared" si="16"/>
        <v>5.6042388424699406E-2</v>
      </c>
      <c r="M64" s="223">
        <f t="shared" ref="M64:V64" si="17">IFERROR(M58/SUM($M58:$V58),"-")</f>
        <v>4.2819918688836263E-3</v>
      </c>
      <c r="N64" s="223">
        <f t="shared" si="17"/>
        <v>4.5230395776572542E-2</v>
      </c>
      <c r="O64" s="223">
        <f t="shared" si="17"/>
        <v>0.11854624466342441</v>
      </c>
      <c r="P64" s="223">
        <f t="shared" si="17"/>
        <v>0.14825282849116017</v>
      </c>
      <c r="Q64" s="223">
        <f t="shared" si="17"/>
        <v>0.20915132533801847</v>
      </c>
      <c r="R64" s="223">
        <f t="shared" si="17"/>
        <v>5.9162783591780614E-2</v>
      </c>
      <c r="S64" s="223">
        <f t="shared" si="17"/>
        <v>5.8874205348882609E-2</v>
      </c>
      <c r="T64" s="223">
        <f t="shared" si="17"/>
        <v>8.4345479082321193E-2</v>
      </c>
      <c r="U64" s="352">
        <f t="shared" si="17"/>
        <v>0.25915599351547713</v>
      </c>
      <c r="V64" s="352">
        <f t="shared" si="17"/>
        <v>1.2998752323479235E-2</v>
      </c>
    </row>
    <row r="65" spans="1:20" ht="17.25" customHeight="1" x14ac:dyDescent="0.35">
      <c r="B65" s="35"/>
      <c r="C65" s="22"/>
      <c r="D65" s="22"/>
      <c r="E65" s="22"/>
      <c r="F65" s="22"/>
      <c r="G65" s="22"/>
      <c r="H65" s="22"/>
      <c r="I65" s="22"/>
      <c r="J65" s="22"/>
      <c r="K65" s="22"/>
      <c r="L65" s="22"/>
      <c r="M65" s="22"/>
      <c r="N65" s="22"/>
      <c r="O65" s="22"/>
      <c r="P65" s="22"/>
      <c r="Q65" s="22"/>
      <c r="R65" s="22"/>
      <c r="T65" s="15"/>
    </row>
    <row r="66" spans="1:20" ht="17.25" customHeight="1" x14ac:dyDescent="0.35">
      <c r="A66" t="s">
        <v>78</v>
      </c>
      <c r="J66" s="15"/>
    </row>
    <row r="67" spans="1:20" ht="17.25" customHeight="1" x14ac:dyDescent="0.35">
      <c r="J67" s="15"/>
    </row>
    <row r="68" spans="1:20" ht="17.25" customHeight="1" x14ac:dyDescent="0.35">
      <c r="B68" s="5" t="s">
        <v>63</v>
      </c>
      <c r="C68" s="398" t="s">
        <v>44</v>
      </c>
      <c r="D68" s="399"/>
      <c r="E68" s="399"/>
      <c r="F68" s="399"/>
      <c r="G68" s="399"/>
      <c r="H68" s="399"/>
      <c r="I68" s="399"/>
      <c r="J68" s="413"/>
      <c r="K68" s="416" t="s">
        <v>45</v>
      </c>
      <c r="L68" s="399"/>
      <c r="M68" s="399"/>
      <c r="N68" s="399"/>
    </row>
    <row r="69" spans="1:20" ht="17.25" customHeight="1" x14ac:dyDescent="0.35">
      <c r="C69" s="401" t="str">
        <f>$A$1</f>
        <v>Midlothian</v>
      </c>
      <c r="D69" s="402"/>
      <c r="E69" s="402"/>
      <c r="F69" s="415"/>
      <c r="G69" s="401" t="s">
        <v>46</v>
      </c>
      <c r="H69" s="402"/>
      <c r="I69" s="402"/>
      <c r="J69" s="405"/>
      <c r="K69" s="414" t="str">
        <f>$A$1</f>
        <v>Midlothian</v>
      </c>
      <c r="L69" s="402"/>
      <c r="M69" s="402"/>
      <c r="N69" s="402"/>
    </row>
    <row r="70" spans="1:20" ht="35.15" customHeight="1" thickBot="1" x14ac:dyDescent="0.4">
      <c r="B70" s="36" t="s">
        <v>40</v>
      </c>
      <c r="C70" s="65" t="s">
        <v>79</v>
      </c>
      <c r="D70" s="64" t="s">
        <v>80</v>
      </c>
      <c r="E70" s="64" t="s">
        <v>81</v>
      </c>
      <c r="F70" s="64" t="s">
        <v>50</v>
      </c>
      <c r="G70" s="65" t="s">
        <v>79</v>
      </c>
      <c r="H70" s="64" t="s">
        <v>80</v>
      </c>
      <c r="I70" s="64" t="s">
        <v>81</v>
      </c>
      <c r="J70" s="64" t="s">
        <v>50</v>
      </c>
      <c r="K70" s="66" t="s">
        <v>79</v>
      </c>
      <c r="L70" s="64" t="s">
        <v>80</v>
      </c>
      <c r="M70" s="64" t="s">
        <v>82</v>
      </c>
      <c r="N70" s="64" t="s">
        <v>52</v>
      </c>
    </row>
    <row r="71" spans="1:20" ht="17.25" customHeight="1" x14ac:dyDescent="0.35">
      <c r="B71" s="23" t="s">
        <v>53</v>
      </c>
      <c r="C71" s="49"/>
      <c r="D71" s="47"/>
      <c r="E71" s="47"/>
      <c r="F71" s="47"/>
      <c r="G71" s="49"/>
      <c r="H71" s="47"/>
      <c r="I71" s="47"/>
      <c r="J71" s="47"/>
      <c r="K71" s="56"/>
      <c r="L71" s="47"/>
      <c r="M71" s="47"/>
      <c r="N71" s="47"/>
    </row>
    <row r="72" spans="1:20" ht="17.25" customHeight="1" x14ac:dyDescent="0.35">
      <c r="B72" s="123" t="s">
        <v>54</v>
      </c>
      <c r="C72" s="28">
        <f>C91</f>
        <v>2153</v>
      </c>
      <c r="D72" s="29">
        <f>SUM(D91:H91)</f>
        <v>34</v>
      </c>
      <c r="E72" s="29">
        <f>I91</f>
        <v>431</v>
      </c>
      <c r="F72" s="29">
        <f>J91</f>
        <v>0</v>
      </c>
      <c r="G72" s="28">
        <f>K91</f>
        <v>87881</v>
      </c>
      <c r="H72" s="29">
        <f>SUM(L91:P91)</f>
        <v>6761</v>
      </c>
      <c r="I72" s="29">
        <f>Q91</f>
        <v>43052</v>
      </c>
      <c r="J72" s="29">
        <f>R91</f>
        <v>0</v>
      </c>
      <c r="K72" s="57" t="s">
        <v>55</v>
      </c>
      <c r="L72" s="29" t="s">
        <v>55</v>
      </c>
      <c r="M72" s="29" t="s">
        <v>55</v>
      </c>
      <c r="N72" s="29" t="s">
        <v>55</v>
      </c>
    </row>
    <row r="73" spans="1:20" ht="17.25" customHeight="1" x14ac:dyDescent="0.35">
      <c r="B73" s="124" t="s">
        <v>56</v>
      </c>
      <c r="C73" s="26">
        <f t="shared" ref="C73:C77" si="18">C92</f>
        <v>2631</v>
      </c>
      <c r="D73" s="27">
        <f t="shared" ref="D73:D77" si="19">SUM(D92:H92)</f>
        <v>52</v>
      </c>
      <c r="E73" s="27">
        <f t="shared" ref="E73:G73" si="20">I92</f>
        <v>1798</v>
      </c>
      <c r="F73" s="27">
        <f t="shared" si="20"/>
        <v>157</v>
      </c>
      <c r="G73" s="26">
        <f t="shared" si="20"/>
        <v>137977.40100000001</v>
      </c>
      <c r="H73" s="27">
        <f t="shared" ref="H73:H77" si="21">SUM(L92:P92)</f>
        <v>8269.7479999999996</v>
      </c>
      <c r="I73" s="27">
        <f t="shared" ref="I73:I77" si="22">Q92</f>
        <v>60983.355000000003</v>
      </c>
      <c r="J73" s="27">
        <f t="shared" ref="J73:J77" si="23">R92</f>
        <v>4660.7049999999999</v>
      </c>
      <c r="K73" s="58" t="s">
        <v>55</v>
      </c>
      <c r="L73" s="27" t="s">
        <v>55</v>
      </c>
      <c r="M73" s="27" t="s">
        <v>55</v>
      </c>
      <c r="N73" s="27" t="s">
        <v>55</v>
      </c>
    </row>
    <row r="74" spans="1:20" ht="17.25" customHeight="1" x14ac:dyDescent="0.35">
      <c r="B74" s="123" t="s">
        <v>57</v>
      </c>
      <c r="C74" s="28">
        <f t="shared" si="18"/>
        <v>2460</v>
      </c>
      <c r="D74" s="29">
        <f t="shared" si="19"/>
        <v>66</v>
      </c>
      <c r="E74" s="29">
        <f t="shared" ref="E74:G74" si="24">I93</f>
        <v>876</v>
      </c>
      <c r="F74" s="29">
        <f t="shared" si="24"/>
        <v>50</v>
      </c>
      <c r="G74" s="28">
        <f t="shared" si="24"/>
        <v>120815.22500000001</v>
      </c>
      <c r="H74" s="29">
        <f t="shared" si="21"/>
        <v>8070.5850000000009</v>
      </c>
      <c r="I74" s="29">
        <f t="shared" si="22"/>
        <v>40861.235000000001</v>
      </c>
      <c r="J74" s="29">
        <f t="shared" si="23"/>
        <v>3340.2</v>
      </c>
      <c r="K74" s="57" t="s">
        <v>55</v>
      </c>
      <c r="L74" s="29" t="s">
        <v>55</v>
      </c>
      <c r="M74" s="29" t="s">
        <v>55</v>
      </c>
      <c r="N74" s="29" t="s">
        <v>55</v>
      </c>
    </row>
    <row r="75" spans="1:20" ht="17.25" customHeight="1" x14ac:dyDescent="0.35">
      <c r="B75" s="124" t="s">
        <v>58</v>
      </c>
      <c r="C75" s="26">
        <f t="shared" si="18"/>
        <v>2661</v>
      </c>
      <c r="D75" s="27">
        <f t="shared" si="19"/>
        <v>96</v>
      </c>
      <c r="E75" s="27">
        <f t="shared" ref="E75:G75" si="25">I94</f>
        <v>1369</v>
      </c>
      <c r="F75" s="27">
        <f t="shared" si="25"/>
        <v>218</v>
      </c>
      <c r="G75" s="26">
        <f t="shared" si="25"/>
        <v>123397.1</v>
      </c>
      <c r="H75" s="27">
        <f t="shared" si="21"/>
        <v>10226.99</v>
      </c>
      <c r="I75" s="27">
        <f t="shared" si="22"/>
        <v>62253.26</v>
      </c>
      <c r="J75" s="27">
        <f t="shared" si="23"/>
        <v>9703.34</v>
      </c>
      <c r="K75" s="58" t="s">
        <v>55</v>
      </c>
      <c r="L75" s="27" t="s">
        <v>55</v>
      </c>
      <c r="M75" s="27" t="s">
        <v>55</v>
      </c>
      <c r="N75" s="27" t="s">
        <v>55</v>
      </c>
    </row>
    <row r="76" spans="1:20" ht="17.25" customHeight="1" x14ac:dyDescent="0.35">
      <c r="B76" s="123" t="s">
        <v>59</v>
      </c>
      <c r="C76" s="28">
        <f t="shared" si="18"/>
        <v>2466</v>
      </c>
      <c r="D76" s="29">
        <f t="shared" si="19"/>
        <v>85</v>
      </c>
      <c r="E76" s="29">
        <f t="shared" ref="E76:G76" si="26">I95</f>
        <v>1893</v>
      </c>
      <c r="F76" s="29">
        <f t="shared" si="26"/>
        <v>411</v>
      </c>
      <c r="G76" s="28">
        <f t="shared" si="26"/>
        <v>118498.2516</v>
      </c>
      <c r="H76" s="29">
        <f t="shared" si="21"/>
        <v>7896.4189999999999</v>
      </c>
      <c r="I76" s="29">
        <f t="shared" si="22"/>
        <v>72345.450800000006</v>
      </c>
      <c r="J76" s="29">
        <f t="shared" si="23"/>
        <v>5453.0497999999998</v>
      </c>
      <c r="K76" s="57" t="s">
        <v>55</v>
      </c>
      <c r="L76" s="29" t="s">
        <v>55</v>
      </c>
      <c r="M76" s="29" t="s">
        <v>55</v>
      </c>
      <c r="N76" s="29" t="s">
        <v>55</v>
      </c>
    </row>
    <row r="77" spans="1:20" ht="17.25" customHeight="1" x14ac:dyDescent="0.35">
      <c r="B77" s="124" t="s">
        <v>60</v>
      </c>
      <c r="C77" s="26">
        <f t="shared" si="18"/>
        <v>3086</v>
      </c>
      <c r="D77" s="27">
        <f t="shared" si="19"/>
        <v>64</v>
      </c>
      <c r="E77" s="27">
        <f t="shared" ref="E77:G77" si="27">I96</f>
        <v>2296</v>
      </c>
      <c r="F77" s="27">
        <f t="shared" si="27"/>
        <v>530</v>
      </c>
      <c r="G77" s="26">
        <f t="shared" si="27"/>
        <v>113053</v>
      </c>
      <c r="H77" s="27">
        <f t="shared" si="21"/>
        <v>8503</v>
      </c>
      <c r="I77" s="27">
        <f t="shared" si="22"/>
        <v>109743</v>
      </c>
      <c r="J77" s="27">
        <f t="shared" si="23"/>
        <v>13412</v>
      </c>
      <c r="K77" s="58" t="s">
        <v>55</v>
      </c>
      <c r="L77" s="27" t="s">
        <v>55</v>
      </c>
      <c r="M77" s="27" t="s">
        <v>55</v>
      </c>
      <c r="N77" s="27" t="s">
        <v>55</v>
      </c>
    </row>
    <row r="78" spans="1:20" ht="17.25" customHeight="1" x14ac:dyDescent="0.35">
      <c r="B78" s="48" t="s">
        <v>61</v>
      </c>
      <c r="C78" s="150"/>
      <c r="D78" s="151"/>
      <c r="E78" s="151"/>
      <c r="F78" s="151"/>
      <c r="G78" s="150"/>
      <c r="H78" s="151"/>
      <c r="I78" s="151"/>
      <c r="J78" s="151"/>
      <c r="K78" s="59"/>
      <c r="L78" s="151"/>
      <c r="M78" s="151"/>
      <c r="N78" s="151"/>
    </row>
    <row r="79" spans="1:20" ht="17.25" customHeight="1" x14ac:dyDescent="0.35">
      <c r="A79" s="15"/>
      <c r="B79" s="123" t="s">
        <v>54</v>
      </c>
      <c r="C79" s="50">
        <f t="shared" ref="C79:F83" si="28">IFERROR(C72/SUM($C72:$F72),"-")</f>
        <v>0.82238349885408712</v>
      </c>
      <c r="D79" s="62">
        <f t="shared" si="28"/>
        <v>1.2987012987012988E-2</v>
      </c>
      <c r="E79" s="290">
        <f t="shared" si="28"/>
        <v>0.16462948815889991</v>
      </c>
      <c r="F79" s="62">
        <f t="shared" si="28"/>
        <v>0</v>
      </c>
      <c r="G79" s="50">
        <f t="shared" ref="G79:J83" si="29">IFERROR(G72/SUM($G72:$J72),"-")</f>
        <v>0.63823405522390231</v>
      </c>
      <c r="H79" s="62">
        <f t="shared" si="29"/>
        <v>4.9101631153136663E-2</v>
      </c>
      <c r="I79" s="290">
        <f t="shared" si="29"/>
        <v>0.31266431362296104</v>
      </c>
      <c r="J79" s="290">
        <f t="shared" si="29"/>
        <v>0</v>
      </c>
      <c r="K79" s="60">
        <v>0.97699999999999998</v>
      </c>
      <c r="L79" s="62" t="s">
        <v>55</v>
      </c>
      <c r="M79" s="62" t="s">
        <v>55</v>
      </c>
      <c r="N79" s="62" t="s">
        <v>55</v>
      </c>
    </row>
    <row r="80" spans="1:20" ht="17.25" customHeight="1" x14ac:dyDescent="0.35">
      <c r="A80" s="15"/>
      <c r="B80" s="124" t="s">
        <v>56</v>
      </c>
      <c r="C80" s="51">
        <f t="shared" si="28"/>
        <v>0.56727037516170764</v>
      </c>
      <c r="D80" s="63">
        <f t="shared" si="28"/>
        <v>1.121172919361794E-2</v>
      </c>
      <c r="E80" s="291">
        <f t="shared" si="28"/>
        <v>0.38766709788702025</v>
      </c>
      <c r="F80" s="63">
        <f t="shared" si="28"/>
        <v>3.3850797757654164E-2</v>
      </c>
      <c r="G80" s="51">
        <f t="shared" si="29"/>
        <v>0.65117095537455738</v>
      </c>
      <c r="H80" s="63">
        <f t="shared" si="29"/>
        <v>3.9028273230533123E-2</v>
      </c>
      <c r="I80" s="291">
        <f t="shared" si="29"/>
        <v>0.28780502639918393</v>
      </c>
      <c r="J80" s="291">
        <f t="shared" si="29"/>
        <v>2.1995744995725614E-2</v>
      </c>
      <c r="K80" s="61">
        <v>0.97499999999999998</v>
      </c>
      <c r="L80" s="63" t="s">
        <v>55</v>
      </c>
      <c r="M80" s="63" t="s">
        <v>55</v>
      </c>
      <c r="N80" s="63" t="s">
        <v>55</v>
      </c>
    </row>
    <row r="81" spans="1:20" ht="17.25" customHeight="1" x14ac:dyDescent="0.35">
      <c r="A81" s="15"/>
      <c r="B81" s="123" t="s">
        <v>57</v>
      </c>
      <c r="C81" s="50">
        <f t="shared" si="28"/>
        <v>0.71263035921205098</v>
      </c>
      <c r="D81" s="62">
        <f t="shared" si="28"/>
        <v>1.9119351100811123E-2</v>
      </c>
      <c r="E81" s="290">
        <f t="shared" si="28"/>
        <v>0.25376593279258403</v>
      </c>
      <c r="F81" s="62">
        <f t="shared" si="28"/>
        <v>1.4484356894553883E-2</v>
      </c>
      <c r="G81" s="50">
        <f t="shared" si="29"/>
        <v>0.69800189494032328</v>
      </c>
      <c r="H81" s="62">
        <f t="shared" si="29"/>
        <v>4.6627265920143338E-2</v>
      </c>
      <c r="I81" s="290">
        <f t="shared" si="29"/>
        <v>0.23607305668306175</v>
      </c>
      <c r="J81" s="290">
        <f t="shared" si="29"/>
        <v>1.9297782456471586E-2</v>
      </c>
      <c r="K81" s="60" t="s">
        <v>55</v>
      </c>
      <c r="L81" s="62" t="s">
        <v>55</v>
      </c>
      <c r="M81" s="62" t="s">
        <v>55</v>
      </c>
      <c r="N81" s="62" t="s">
        <v>55</v>
      </c>
    </row>
    <row r="82" spans="1:20" ht="17.25" customHeight="1" x14ac:dyDescent="0.35">
      <c r="A82" s="15"/>
      <c r="B82" s="124" t="s">
        <v>58</v>
      </c>
      <c r="C82" s="51">
        <f t="shared" si="28"/>
        <v>0.61256906077348061</v>
      </c>
      <c r="D82" s="63">
        <f t="shared" si="28"/>
        <v>2.2099447513812154E-2</v>
      </c>
      <c r="E82" s="291">
        <f t="shared" si="28"/>
        <v>0.31514732965009207</v>
      </c>
      <c r="F82" s="63">
        <f t="shared" si="28"/>
        <v>5.0184162062615098E-2</v>
      </c>
      <c r="G82" s="51">
        <f t="shared" si="29"/>
        <v>0.60023682185325866</v>
      </c>
      <c r="H82" s="63">
        <f t="shared" si="29"/>
        <v>4.9746841495667708E-2</v>
      </c>
      <c r="I82" s="291">
        <f t="shared" si="29"/>
        <v>0.30281667018434466</v>
      </c>
      <c r="J82" s="291">
        <f t="shared" si="29"/>
        <v>4.7199666466728955E-2</v>
      </c>
      <c r="K82" s="61">
        <v>1.0454545454545501</v>
      </c>
      <c r="L82" s="63">
        <v>0</v>
      </c>
      <c r="M82" s="63">
        <v>0</v>
      </c>
      <c r="N82" s="63">
        <v>0</v>
      </c>
    </row>
    <row r="83" spans="1:20" ht="17.25" customHeight="1" x14ac:dyDescent="0.35">
      <c r="A83" s="15"/>
      <c r="B83" s="123" t="s">
        <v>59</v>
      </c>
      <c r="C83" s="50">
        <f t="shared" si="28"/>
        <v>0.50792996910401644</v>
      </c>
      <c r="D83" s="62">
        <f t="shared" si="28"/>
        <v>1.7507723995880537E-2</v>
      </c>
      <c r="E83" s="290">
        <f t="shared" si="28"/>
        <v>0.38990731204943357</v>
      </c>
      <c r="F83" s="62">
        <f t="shared" si="28"/>
        <v>8.4654994850669407E-2</v>
      </c>
      <c r="G83" s="50">
        <f t="shared" si="29"/>
        <v>0.5803242630672264</v>
      </c>
      <c r="H83" s="62">
        <f t="shared" si="29"/>
        <v>3.8671317721324462E-2</v>
      </c>
      <c r="I83" s="290">
        <f t="shared" si="29"/>
        <v>0.3542990707027131</v>
      </c>
      <c r="J83" s="290">
        <f t="shared" si="29"/>
        <v>2.6705348508736022E-2</v>
      </c>
      <c r="K83" s="60" t="s">
        <v>55</v>
      </c>
      <c r="L83" s="62" t="s">
        <v>55</v>
      </c>
      <c r="M83" s="62" t="s">
        <v>55</v>
      </c>
      <c r="N83" s="62" t="s">
        <v>55</v>
      </c>
    </row>
    <row r="84" spans="1:20" ht="17.25" customHeight="1" thickBot="1" x14ac:dyDescent="0.4">
      <c r="A84" s="15"/>
      <c r="B84" s="303" t="s">
        <v>60</v>
      </c>
      <c r="C84" s="308">
        <f t="shared" ref="C84:F84" si="30">IFERROR(C77/SUM($C77:$F77),"-")</f>
        <v>0.51639892904953144</v>
      </c>
      <c r="D84" s="309">
        <f t="shared" si="30"/>
        <v>1.0709504685408299E-2</v>
      </c>
      <c r="E84" s="308">
        <f t="shared" si="30"/>
        <v>0.38420348058902276</v>
      </c>
      <c r="F84" s="310">
        <f t="shared" si="30"/>
        <v>8.868808567603749E-2</v>
      </c>
      <c r="G84" s="308">
        <f t="shared" ref="G84:J84" si="31">IFERROR(G77/SUM($G77:$J77),"-")</f>
        <v>0.46198577097065519</v>
      </c>
      <c r="H84" s="309">
        <f t="shared" si="31"/>
        <v>3.4747109856115989E-2</v>
      </c>
      <c r="I84" s="308">
        <f t="shared" si="31"/>
        <v>0.44845961154177783</v>
      </c>
      <c r="J84" s="311">
        <f t="shared" si="31"/>
        <v>5.480750763145098E-2</v>
      </c>
      <c r="K84" s="308" t="s">
        <v>55</v>
      </c>
      <c r="L84" s="309" t="s">
        <v>55</v>
      </c>
      <c r="M84" s="309" t="s">
        <v>55</v>
      </c>
      <c r="N84" s="309" t="s">
        <v>55</v>
      </c>
    </row>
    <row r="85" spans="1:20" ht="17.25" customHeight="1" x14ac:dyDescent="0.35">
      <c r="B85" s="35"/>
      <c r="C85" s="22"/>
      <c r="D85" s="22"/>
      <c r="E85" s="22"/>
      <c r="F85" s="22"/>
      <c r="G85" s="22"/>
      <c r="H85" s="22"/>
      <c r="I85" s="22"/>
      <c r="J85" s="22"/>
      <c r="K85" s="22"/>
      <c r="L85" s="22"/>
      <c r="M85" s="22"/>
      <c r="N85" s="22"/>
      <c r="O85" s="22"/>
      <c r="P85" s="22"/>
      <c r="Q85" s="22"/>
      <c r="R85" s="22"/>
      <c r="T85" s="15"/>
    </row>
    <row r="86" spans="1:20" x14ac:dyDescent="0.35">
      <c r="J86" s="15"/>
    </row>
    <row r="87" spans="1:20" x14ac:dyDescent="0.35">
      <c r="B87" s="5" t="s">
        <v>67</v>
      </c>
      <c r="C87" s="398" t="s">
        <v>44</v>
      </c>
      <c r="D87" s="399"/>
      <c r="E87" s="399"/>
      <c r="F87" s="399"/>
      <c r="G87" s="399"/>
      <c r="H87" s="399"/>
      <c r="I87" s="399"/>
      <c r="J87" s="399"/>
      <c r="K87" s="399"/>
      <c r="L87" s="399"/>
      <c r="M87" s="399"/>
      <c r="N87" s="399"/>
      <c r="O87" s="399"/>
      <c r="P87" s="399"/>
      <c r="Q87" s="399"/>
      <c r="R87" s="399"/>
    </row>
    <row r="88" spans="1:20" x14ac:dyDescent="0.35">
      <c r="C88" s="401" t="str">
        <f>$A$1</f>
        <v>Midlothian</v>
      </c>
      <c r="D88" s="402"/>
      <c r="E88" s="402"/>
      <c r="F88" s="402"/>
      <c r="G88" s="402"/>
      <c r="H88" s="402"/>
      <c r="I88" s="402"/>
      <c r="J88" s="405"/>
      <c r="K88" s="401" t="s">
        <v>46</v>
      </c>
      <c r="L88" s="402"/>
      <c r="M88" s="402"/>
      <c r="N88" s="402"/>
      <c r="O88" s="402"/>
      <c r="P88" s="402"/>
      <c r="Q88" s="402"/>
      <c r="R88" s="402"/>
    </row>
    <row r="89" spans="1:20" ht="40" thickBot="1" x14ac:dyDescent="0.4">
      <c r="B89" s="36" t="s">
        <v>40</v>
      </c>
      <c r="C89" s="65" t="s">
        <v>79</v>
      </c>
      <c r="D89" s="64" t="s">
        <v>83</v>
      </c>
      <c r="E89" s="64" t="s">
        <v>84</v>
      </c>
      <c r="F89" s="64" t="s">
        <v>85</v>
      </c>
      <c r="G89" s="64" t="s">
        <v>86</v>
      </c>
      <c r="H89" s="64" t="s">
        <v>87</v>
      </c>
      <c r="I89" s="64" t="s">
        <v>81</v>
      </c>
      <c r="J89" s="64" t="s">
        <v>50</v>
      </c>
      <c r="K89" s="65" t="s">
        <v>79</v>
      </c>
      <c r="L89" s="64" t="s">
        <v>83</v>
      </c>
      <c r="M89" s="64" t="s">
        <v>84</v>
      </c>
      <c r="N89" s="64" t="s">
        <v>85</v>
      </c>
      <c r="O89" s="64" t="s">
        <v>86</v>
      </c>
      <c r="P89" s="64" t="s">
        <v>87</v>
      </c>
      <c r="Q89" s="64" t="s">
        <v>81</v>
      </c>
      <c r="R89" s="64" t="s">
        <v>50</v>
      </c>
    </row>
    <row r="90" spans="1:20" x14ac:dyDescent="0.35">
      <c r="B90" s="23" t="s">
        <v>53</v>
      </c>
      <c r="C90" s="49"/>
      <c r="D90" s="47"/>
      <c r="E90" s="47"/>
      <c r="F90" s="47"/>
      <c r="G90" s="47"/>
      <c r="H90" s="47"/>
      <c r="I90" s="47"/>
      <c r="J90" s="47"/>
      <c r="K90" s="49"/>
      <c r="L90" s="47"/>
      <c r="M90" s="47"/>
      <c r="N90" s="47"/>
      <c r="O90" s="47"/>
      <c r="P90" s="47"/>
      <c r="Q90" s="47"/>
      <c r="R90" s="47"/>
    </row>
    <row r="91" spans="1:20" x14ac:dyDescent="0.35">
      <c r="B91" s="123" t="s">
        <v>54</v>
      </c>
      <c r="C91" s="28">
        <v>2153</v>
      </c>
      <c r="D91" s="29">
        <v>3</v>
      </c>
      <c r="E91" s="29">
        <v>4</v>
      </c>
      <c r="F91" s="29">
        <v>1</v>
      </c>
      <c r="G91" s="29">
        <v>1</v>
      </c>
      <c r="H91" s="29">
        <v>25</v>
      </c>
      <c r="I91" s="29">
        <v>431</v>
      </c>
      <c r="J91" s="29">
        <v>0</v>
      </c>
      <c r="K91" s="28">
        <v>87881</v>
      </c>
      <c r="L91" s="29">
        <v>2073</v>
      </c>
      <c r="M91" s="29">
        <v>2038</v>
      </c>
      <c r="N91" s="29">
        <v>405</v>
      </c>
      <c r="O91" s="29">
        <v>938</v>
      </c>
      <c r="P91" s="29">
        <v>1307</v>
      </c>
      <c r="Q91" s="29">
        <v>43052</v>
      </c>
      <c r="R91" s="29">
        <v>0</v>
      </c>
    </row>
    <row r="92" spans="1:20" x14ac:dyDescent="0.35">
      <c r="B92" s="124" t="s">
        <v>56</v>
      </c>
      <c r="C92" s="26">
        <v>2631</v>
      </c>
      <c r="D92" s="27">
        <v>6</v>
      </c>
      <c r="E92" s="27">
        <v>16</v>
      </c>
      <c r="F92" s="27">
        <v>10</v>
      </c>
      <c r="G92" s="27">
        <v>6</v>
      </c>
      <c r="H92" s="27">
        <v>14</v>
      </c>
      <c r="I92" s="27">
        <v>1798</v>
      </c>
      <c r="J92" s="27">
        <v>157</v>
      </c>
      <c r="K92" s="26">
        <v>137977.40100000001</v>
      </c>
      <c r="L92" s="27">
        <v>950.50300000000004</v>
      </c>
      <c r="M92" s="27">
        <v>3261.453</v>
      </c>
      <c r="N92" s="27">
        <v>1727.4570000000001</v>
      </c>
      <c r="O92" s="27">
        <v>499.71800000000002</v>
      </c>
      <c r="P92" s="27">
        <v>1830.617</v>
      </c>
      <c r="Q92" s="27">
        <v>60983.355000000003</v>
      </c>
      <c r="R92" s="27">
        <v>4660.7049999999999</v>
      </c>
    </row>
    <row r="93" spans="1:20" x14ac:dyDescent="0.35">
      <c r="B93" s="123" t="s">
        <v>57</v>
      </c>
      <c r="C93" s="28">
        <v>2460</v>
      </c>
      <c r="D93" s="29">
        <v>6</v>
      </c>
      <c r="E93" s="29">
        <v>28</v>
      </c>
      <c r="F93" s="29">
        <v>9</v>
      </c>
      <c r="G93" s="29">
        <v>6</v>
      </c>
      <c r="H93" s="29">
        <v>17</v>
      </c>
      <c r="I93" s="29">
        <v>876</v>
      </c>
      <c r="J93" s="29">
        <v>50</v>
      </c>
      <c r="K93" s="28">
        <v>120815.22500000001</v>
      </c>
      <c r="L93" s="29">
        <v>625.79</v>
      </c>
      <c r="M93" s="29">
        <v>3338.585</v>
      </c>
      <c r="N93" s="29">
        <v>1709.77</v>
      </c>
      <c r="O93" s="29">
        <v>499.46</v>
      </c>
      <c r="P93" s="29">
        <v>1896.98</v>
      </c>
      <c r="Q93" s="29">
        <v>40861.235000000001</v>
      </c>
      <c r="R93" s="29">
        <v>3340.2</v>
      </c>
    </row>
    <row r="94" spans="1:20" x14ac:dyDescent="0.35">
      <c r="B94" s="124" t="s">
        <v>58</v>
      </c>
      <c r="C94" s="26">
        <v>2661</v>
      </c>
      <c r="D94" s="27">
        <v>8</v>
      </c>
      <c r="E94" s="27">
        <v>42</v>
      </c>
      <c r="F94" s="27">
        <v>6</v>
      </c>
      <c r="G94" s="27">
        <v>7</v>
      </c>
      <c r="H94" s="27">
        <v>33</v>
      </c>
      <c r="I94" s="27">
        <v>1369</v>
      </c>
      <c r="J94" s="27">
        <v>218</v>
      </c>
      <c r="K94" s="26">
        <v>123397.1</v>
      </c>
      <c r="L94" s="27">
        <v>807.98</v>
      </c>
      <c r="M94" s="27">
        <v>4178.7</v>
      </c>
      <c r="N94" s="27">
        <v>2226.83</v>
      </c>
      <c r="O94" s="27">
        <v>594.16999999999996</v>
      </c>
      <c r="P94" s="27">
        <v>2419.31</v>
      </c>
      <c r="Q94" s="27">
        <v>62253.26</v>
      </c>
      <c r="R94" s="27">
        <v>9703.34</v>
      </c>
    </row>
    <row r="95" spans="1:20" x14ac:dyDescent="0.35">
      <c r="B95" s="123" t="s">
        <v>59</v>
      </c>
      <c r="C95" s="28">
        <v>2466</v>
      </c>
      <c r="D95" s="29">
        <v>10</v>
      </c>
      <c r="E95" s="29">
        <v>44</v>
      </c>
      <c r="F95" s="29">
        <v>10</v>
      </c>
      <c r="G95" s="29">
        <v>6</v>
      </c>
      <c r="H95" s="29">
        <v>15</v>
      </c>
      <c r="I95" s="29">
        <v>1893</v>
      </c>
      <c r="J95" s="29">
        <v>411</v>
      </c>
      <c r="K95" s="28">
        <v>118498.2516</v>
      </c>
      <c r="L95" s="29">
        <v>892.42579999999998</v>
      </c>
      <c r="M95" s="29">
        <v>3140.4207999999999</v>
      </c>
      <c r="N95" s="29">
        <v>1422.145</v>
      </c>
      <c r="O95" s="29">
        <v>561.96579999999994</v>
      </c>
      <c r="P95" s="29">
        <v>1879.4616000000001</v>
      </c>
      <c r="Q95" s="29">
        <v>72345.450800000006</v>
      </c>
      <c r="R95" s="29">
        <v>5453.0497999999998</v>
      </c>
    </row>
    <row r="96" spans="1:20" x14ac:dyDescent="0.35">
      <c r="B96" s="124" t="s">
        <v>60</v>
      </c>
      <c r="C96" s="26">
        <v>3086</v>
      </c>
      <c r="D96" s="27">
        <v>3</v>
      </c>
      <c r="E96" s="27">
        <v>16</v>
      </c>
      <c r="F96" s="27">
        <v>4</v>
      </c>
      <c r="G96" s="27">
        <v>8</v>
      </c>
      <c r="H96" s="27">
        <v>33</v>
      </c>
      <c r="I96" s="27">
        <v>2296</v>
      </c>
      <c r="J96" s="27">
        <v>530</v>
      </c>
      <c r="K96" s="26">
        <v>113053</v>
      </c>
      <c r="L96" s="27">
        <v>708</v>
      </c>
      <c r="M96" s="27">
        <v>3549</v>
      </c>
      <c r="N96" s="27">
        <v>1799</v>
      </c>
      <c r="O96" s="27">
        <v>542</v>
      </c>
      <c r="P96" s="27">
        <v>1905</v>
      </c>
      <c r="Q96" s="27">
        <v>109743</v>
      </c>
      <c r="R96" s="27">
        <v>13412</v>
      </c>
    </row>
    <row r="97" spans="1:18" x14ac:dyDescent="0.35">
      <c r="B97" s="48" t="s">
        <v>61</v>
      </c>
      <c r="C97" s="150"/>
      <c r="D97" s="151"/>
      <c r="E97" s="151"/>
      <c r="F97" s="151"/>
      <c r="G97" s="151"/>
      <c r="H97" s="151"/>
      <c r="I97" s="151"/>
      <c r="J97" s="151"/>
      <c r="K97" s="150"/>
      <c r="L97" s="151"/>
      <c r="M97" s="151"/>
      <c r="N97" s="151"/>
      <c r="O97" s="151"/>
      <c r="P97" s="151"/>
      <c r="Q97" s="151"/>
      <c r="R97" s="151"/>
    </row>
    <row r="98" spans="1:18" x14ac:dyDescent="0.35">
      <c r="A98" s="15"/>
      <c r="B98" s="123" t="s">
        <v>54</v>
      </c>
      <c r="C98" s="50">
        <f>IFERROR(C91/SUM($C91:$J91),"-")</f>
        <v>0.82238349885408712</v>
      </c>
      <c r="D98" s="62">
        <f t="shared" ref="D98:J98" si="32">IFERROR(D91/SUM($C91:$J91),"-")</f>
        <v>1.1459129106187931E-3</v>
      </c>
      <c r="E98" s="62">
        <f t="shared" si="32"/>
        <v>1.5278838808250573E-3</v>
      </c>
      <c r="F98" s="62">
        <f t="shared" si="32"/>
        <v>3.8197097020626432E-4</v>
      </c>
      <c r="G98" s="62">
        <f t="shared" si="32"/>
        <v>3.8197097020626432E-4</v>
      </c>
      <c r="H98" s="62">
        <f t="shared" si="32"/>
        <v>9.5492742551566076E-3</v>
      </c>
      <c r="I98" s="290">
        <f t="shared" si="32"/>
        <v>0.16462948815889991</v>
      </c>
      <c r="J98" s="62">
        <f t="shared" si="32"/>
        <v>0</v>
      </c>
      <c r="K98" s="50">
        <f>IFERROR(K91/SUM($K91:$R91),"-")</f>
        <v>0.63823405522390231</v>
      </c>
      <c r="L98" s="62">
        <f t="shared" ref="L98:R98" si="33">IFERROR(L91/SUM($K91:$R91),"-")</f>
        <v>1.5055122227548042E-2</v>
      </c>
      <c r="M98" s="62">
        <f t="shared" si="33"/>
        <v>1.4800935407497785E-2</v>
      </c>
      <c r="N98" s="62">
        <f t="shared" si="33"/>
        <v>2.9413046320101092E-3</v>
      </c>
      <c r="O98" s="62">
        <f t="shared" si="33"/>
        <v>6.8122067773468704E-3</v>
      </c>
      <c r="P98" s="62">
        <f t="shared" si="33"/>
        <v>9.4920621087338595E-3</v>
      </c>
      <c r="Q98" s="290">
        <f t="shared" si="33"/>
        <v>0.31266431362296104</v>
      </c>
      <c r="R98" s="290">
        <f t="shared" si="33"/>
        <v>0</v>
      </c>
    </row>
    <row r="99" spans="1:18" x14ac:dyDescent="0.35">
      <c r="A99" s="15"/>
      <c r="B99" s="124" t="s">
        <v>56</v>
      </c>
      <c r="C99" s="51">
        <f t="shared" ref="C99:J99" si="34">IFERROR(C92/SUM($C92:$J92),"-")</f>
        <v>0.56727037516170764</v>
      </c>
      <c r="D99" s="63">
        <f t="shared" si="34"/>
        <v>1.29366106080207E-3</v>
      </c>
      <c r="E99" s="63">
        <f t="shared" si="34"/>
        <v>3.4497628288055198E-3</v>
      </c>
      <c r="F99" s="63">
        <f t="shared" si="34"/>
        <v>2.1561017680034496E-3</v>
      </c>
      <c r="G99" s="63">
        <f t="shared" si="34"/>
        <v>1.29366106080207E-3</v>
      </c>
      <c r="H99" s="63">
        <f t="shared" si="34"/>
        <v>3.0185424752048298E-3</v>
      </c>
      <c r="I99" s="291">
        <f t="shared" si="34"/>
        <v>0.38766709788702025</v>
      </c>
      <c r="J99" s="63">
        <f t="shared" si="34"/>
        <v>3.3850797757654164E-2</v>
      </c>
      <c r="K99" s="51">
        <f t="shared" ref="K99:R99" si="35">IFERROR(K92/SUM($K92:$R92),"-")</f>
        <v>0.65117095537455738</v>
      </c>
      <c r="L99" s="63">
        <f t="shared" si="35"/>
        <v>4.4858066763874098E-3</v>
      </c>
      <c r="M99" s="63">
        <f t="shared" si="35"/>
        <v>1.5392110958222906E-2</v>
      </c>
      <c r="N99" s="63">
        <f t="shared" si="35"/>
        <v>8.1525656876118915E-3</v>
      </c>
      <c r="O99" s="63">
        <f t="shared" si="35"/>
        <v>2.3583706108354879E-3</v>
      </c>
      <c r="P99" s="63">
        <f t="shared" si="35"/>
        <v>8.6394192974754321E-3</v>
      </c>
      <c r="Q99" s="291">
        <f t="shared" si="35"/>
        <v>0.28780502639918393</v>
      </c>
      <c r="R99" s="291">
        <f t="shared" si="35"/>
        <v>2.1995744995725614E-2</v>
      </c>
    </row>
    <row r="100" spans="1:18" x14ac:dyDescent="0.35">
      <c r="A100" s="15"/>
      <c r="B100" s="123" t="s">
        <v>57</v>
      </c>
      <c r="C100" s="50">
        <f t="shared" ref="C100:J100" si="36">IFERROR(C93/SUM($C93:$J93),"-")</f>
        <v>0.71263035921205098</v>
      </c>
      <c r="D100" s="62">
        <f t="shared" si="36"/>
        <v>1.7381228273464658E-3</v>
      </c>
      <c r="E100" s="62">
        <f t="shared" si="36"/>
        <v>8.1112398609501733E-3</v>
      </c>
      <c r="F100" s="62">
        <f t="shared" si="36"/>
        <v>2.6071842410196988E-3</v>
      </c>
      <c r="G100" s="62">
        <f t="shared" si="36"/>
        <v>1.7381228273464658E-3</v>
      </c>
      <c r="H100" s="62">
        <f t="shared" si="36"/>
        <v>4.9246813441483194E-3</v>
      </c>
      <c r="I100" s="290">
        <f t="shared" si="36"/>
        <v>0.25376593279258403</v>
      </c>
      <c r="J100" s="62">
        <f t="shared" si="36"/>
        <v>1.4484356894553883E-2</v>
      </c>
      <c r="K100" s="50">
        <f t="shared" ref="K100:R100" si="37">IFERROR(K93/SUM($K93:$R93),"-")</f>
        <v>0.69800189494032328</v>
      </c>
      <c r="L100" s="62">
        <f t="shared" si="37"/>
        <v>3.6154599375592344E-3</v>
      </c>
      <c r="M100" s="62">
        <f t="shared" si="37"/>
        <v>1.9288451901814021E-2</v>
      </c>
      <c r="N100" s="62">
        <f t="shared" si="37"/>
        <v>9.87808200425167E-3</v>
      </c>
      <c r="O100" s="62">
        <f t="shared" si="37"/>
        <v>2.8855967983082748E-3</v>
      </c>
      <c r="P100" s="62">
        <f t="shared" si="37"/>
        <v>1.0959675278210129E-2</v>
      </c>
      <c r="Q100" s="290">
        <f t="shared" si="37"/>
        <v>0.23607305668306175</v>
      </c>
      <c r="R100" s="290">
        <f t="shared" si="37"/>
        <v>1.9297782456471586E-2</v>
      </c>
    </row>
    <row r="101" spans="1:18" x14ac:dyDescent="0.35">
      <c r="A101" s="15"/>
      <c r="B101" s="124" t="s">
        <v>58</v>
      </c>
      <c r="C101" s="51">
        <f t="shared" ref="C101:J101" si="38">IFERROR(C94/SUM($C94:$J94),"-")</f>
        <v>0.61256906077348061</v>
      </c>
      <c r="D101" s="63">
        <f t="shared" si="38"/>
        <v>1.841620626151013E-3</v>
      </c>
      <c r="E101" s="63">
        <f t="shared" si="38"/>
        <v>9.6685082872928173E-3</v>
      </c>
      <c r="F101" s="63">
        <f t="shared" si="38"/>
        <v>1.3812154696132596E-3</v>
      </c>
      <c r="G101" s="63">
        <f t="shared" si="38"/>
        <v>1.6114180478821363E-3</v>
      </c>
      <c r="H101" s="63">
        <f t="shared" si="38"/>
        <v>7.5966850828729279E-3</v>
      </c>
      <c r="I101" s="291">
        <f t="shared" si="38"/>
        <v>0.31514732965009207</v>
      </c>
      <c r="J101" s="63">
        <f t="shared" si="38"/>
        <v>5.0184162062615098E-2</v>
      </c>
      <c r="K101" s="51">
        <f t="shared" ref="K101:R101" si="39">IFERROR(K94/SUM($K94:$R94),"-")</f>
        <v>0.60023682185325866</v>
      </c>
      <c r="L101" s="63">
        <f t="shared" si="39"/>
        <v>3.9302329416250137E-3</v>
      </c>
      <c r="M101" s="63">
        <f t="shared" si="39"/>
        <v>2.0326325395639055E-2</v>
      </c>
      <c r="N101" s="63">
        <f t="shared" si="39"/>
        <v>1.0831902548824017E-2</v>
      </c>
      <c r="O101" s="63">
        <f t="shared" si="39"/>
        <v>2.8902033551886606E-3</v>
      </c>
      <c r="P101" s="63">
        <f t="shared" si="39"/>
        <v>1.1768177254390964E-2</v>
      </c>
      <c r="Q101" s="291">
        <f t="shared" si="39"/>
        <v>0.30281667018434466</v>
      </c>
      <c r="R101" s="291">
        <f t="shared" si="39"/>
        <v>4.7199666466728955E-2</v>
      </c>
    </row>
    <row r="102" spans="1:18" x14ac:dyDescent="0.35">
      <c r="A102" s="15"/>
      <c r="B102" s="123" t="s">
        <v>59</v>
      </c>
      <c r="C102" s="50">
        <f t="shared" ref="C102:J103" si="40">IFERROR(C95/SUM($C95:$J95),"-")</f>
        <v>0.50792996910401644</v>
      </c>
      <c r="D102" s="62">
        <f t="shared" si="40"/>
        <v>2.0597322348094747E-3</v>
      </c>
      <c r="E102" s="62">
        <f t="shared" si="40"/>
        <v>9.0628218331616894E-3</v>
      </c>
      <c r="F102" s="62">
        <f t="shared" si="40"/>
        <v>2.0597322348094747E-3</v>
      </c>
      <c r="G102" s="62">
        <f t="shared" si="40"/>
        <v>1.2358393408856848E-3</v>
      </c>
      <c r="H102" s="62">
        <f t="shared" si="40"/>
        <v>3.089598352214212E-3</v>
      </c>
      <c r="I102" s="290">
        <f t="shared" si="40"/>
        <v>0.38990731204943357</v>
      </c>
      <c r="J102" s="62">
        <f t="shared" si="40"/>
        <v>8.4654994850669407E-2</v>
      </c>
      <c r="K102" s="50">
        <f t="shared" ref="K102:R102" si="41">IFERROR(K95/SUM($K95:$R95),"-")</f>
        <v>0.5803242630672264</v>
      </c>
      <c r="L102" s="62">
        <f t="shared" si="41"/>
        <v>4.3704977730420784E-3</v>
      </c>
      <c r="M102" s="62">
        <f t="shared" si="41"/>
        <v>1.5379656339849232E-2</v>
      </c>
      <c r="N102" s="62">
        <f t="shared" si="41"/>
        <v>6.9647040184662159E-3</v>
      </c>
      <c r="O102" s="62">
        <f t="shared" si="41"/>
        <v>2.7521282748950221E-3</v>
      </c>
      <c r="P102" s="62">
        <f t="shared" si="41"/>
        <v>9.2043313150719109E-3</v>
      </c>
      <c r="Q102" s="290">
        <f t="shared" si="41"/>
        <v>0.3542990707027131</v>
      </c>
      <c r="R102" s="290">
        <f t="shared" si="41"/>
        <v>2.6705348508736022E-2</v>
      </c>
    </row>
    <row r="103" spans="1:18" ht="15" thickBot="1" x14ac:dyDescent="0.4">
      <c r="A103" s="15"/>
      <c r="B103" s="303" t="s">
        <v>60</v>
      </c>
      <c r="C103" s="308">
        <f t="shared" si="40"/>
        <v>0.51639892904953144</v>
      </c>
      <c r="D103" s="309">
        <f t="shared" si="40"/>
        <v>5.0200803212851401E-4</v>
      </c>
      <c r="E103" s="309">
        <f t="shared" si="40"/>
        <v>2.6773761713520749E-3</v>
      </c>
      <c r="F103" s="309">
        <f t="shared" si="40"/>
        <v>6.6934404283801872E-4</v>
      </c>
      <c r="G103" s="309">
        <f t="shared" si="40"/>
        <v>1.3386880856760374E-3</v>
      </c>
      <c r="H103" s="309">
        <f t="shared" si="40"/>
        <v>5.5220883534136548E-3</v>
      </c>
      <c r="I103" s="308">
        <f t="shared" si="40"/>
        <v>0.38420348058902276</v>
      </c>
      <c r="J103" s="310">
        <f t="shared" si="40"/>
        <v>8.868808567603749E-2</v>
      </c>
      <c r="K103" s="308">
        <f t="shared" ref="K103:R103" si="42">IFERROR(K96/SUM($K96:$R96),"-")</f>
        <v>0.46198577097065519</v>
      </c>
      <c r="L103" s="309">
        <f t="shared" si="42"/>
        <v>2.8932087237598637E-3</v>
      </c>
      <c r="M103" s="309">
        <f t="shared" si="42"/>
        <v>1.4502821695796265E-2</v>
      </c>
      <c r="N103" s="309">
        <f t="shared" si="42"/>
        <v>7.3515289463898228E-3</v>
      </c>
      <c r="O103" s="309">
        <f t="shared" si="42"/>
        <v>2.2148575258161668E-3</v>
      </c>
      <c r="P103" s="309">
        <f t="shared" si="42"/>
        <v>7.7846929643538704E-3</v>
      </c>
      <c r="Q103" s="308">
        <f t="shared" si="42"/>
        <v>0.44845961154177783</v>
      </c>
      <c r="R103" s="308">
        <f t="shared" si="42"/>
        <v>5.480750763145098E-2</v>
      </c>
    </row>
    <row r="104" spans="1:18" x14ac:dyDescent="0.35">
      <c r="A104" s="15"/>
      <c r="C104" s="15"/>
      <c r="D104" s="224"/>
      <c r="E104" s="224"/>
      <c r="F104" s="224"/>
      <c r="G104" s="224"/>
      <c r="H104" s="224"/>
      <c r="I104" s="224"/>
    </row>
    <row r="105" spans="1:18" ht="16.5" x14ac:dyDescent="0.35">
      <c r="A105" t="s">
        <v>88</v>
      </c>
      <c r="B105" s="6"/>
      <c r="C105" s="6"/>
    </row>
    <row r="106" spans="1:18" x14ac:dyDescent="0.35">
      <c r="A106" s="5"/>
      <c r="B106" s="6"/>
      <c r="C106" s="6"/>
    </row>
    <row r="107" spans="1:18" x14ac:dyDescent="0.35">
      <c r="B107" s="5" t="s">
        <v>63</v>
      </c>
      <c r="C107" s="406" t="s">
        <v>44</v>
      </c>
      <c r="D107" s="407"/>
      <c r="E107" s="407"/>
      <c r="F107" s="407"/>
      <c r="G107" s="407"/>
      <c r="H107" s="407"/>
      <c r="I107" s="407"/>
      <c r="J107" s="407"/>
      <c r="K107" s="407"/>
      <c r="L107" s="407"/>
      <c r="M107" s="407"/>
      <c r="N107" s="417"/>
      <c r="O107" s="416" t="s">
        <v>45</v>
      </c>
      <c r="P107" s="399"/>
      <c r="Q107" s="399"/>
      <c r="R107" s="399"/>
    </row>
    <row r="108" spans="1:18" x14ac:dyDescent="0.35">
      <c r="A108" s="5"/>
      <c r="C108" s="401" t="str">
        <f>$A$1</f>
        <v>Midlothian</v>
      </c>
      <c r="D108" s="402"/>
      <c r="E108" s="402"/>
      <c r="F108" s="402"/>
      <c r="G108" s="402"/>
      <c r="H108" s="415"/>
      <c r="I108" s="401" t="s">
        <v>46</v>
      </c>
      <c r="J108" s="402"/>
      <c r="K108" s="402"/>
      <c r="L108" s="402"/>
      <c r="M108" s="402"/>
      <c r="N108" s="405"/>
      <c r="O108" s="414" t="str">
        <f>$A$1</f>
        <v>Midlothian</v>
      </c>
      <c r="P108" s="402"/>
      <c r="Q108" s="402"/>
      <c r="R108" s="402"/>
    </row>
    <row r="109" spans="1:18" ht="27" thickBot="1" x14ac:dyDescent="0.4">
      <c r="A109" s="5"/>
      <c r="B109" s="24" t="s">
        <v>89</v>
      </c>
      <c r="C109" s="67" t="s">
        <v>90</v>
      </c>
      <c r="D109" s="68" t="s">
        <v>91</v>
      </c>
      <c r="E109" s="68" t="s">
        <v>92</v>
      </c>
      <c r="F109" s="68" t="s">
        <v>93</v>
      </c>
      <c r="G109" s="68" t="s">
        <v>49</v>
      </c>
      <c r="H109" s="68" t="s">
        <v>50</v>
      </c>
      <c r="I109" s="67" t="s">
        <v>90</v>
      </c>
      <c r="J109" s="68" t="s">
        <v>91</v>
      </c>
      <c r="K109" s="68" t="s">
        <v>92</v>
      </c>
      <c r="L109" s="68" t="s">
        <v>93</v>
      </c>
      <c r="M109" s="68" t="s">
        <v>49</v>
      </c>
      <c r="N109" s="68" t="s">
        <v>50</v>
      </c>
      <c r="O109" s="67" t="s">
        <v>90</v>
      </c>
      <c r="P109" s="68" t="s">
        <v>91</v>
      </c>
      <c r="Q109" s="68" t="s">
        <v>92</v>
      </c>
      <c r="R109" s="68" t="s">
        <v>93</v>
      </c>
    </row>
    <row r="110" spans="1:18" x14ac:dyDescent="0.35">
      <c r="A110" s="5"/>
      <c r="B110" s="23" t="s">
        <v>53</v>
      </c>
      <c r="C110" s="49"/>
      <c r="D110" s="47"/>
      <c r="E110" s="47"/>
      <c r="F110" s="47"/>
      <c r="G110" s="47"/>
      <c r="H110" s="47"/>
      <c r="I110" s="49"/>
      <c r="J110" s="47"/>
      <c r="K110" s="47"/>
      <c r="L110" s="47"/>
      <c r="M110" s="47"/>
      <c r="N110" s="47"/>
      <c r="O110" s="56"/>
      <c r="P110" s="47"/>
      <c r="Q110" s="47"/>
      <c r="R110" s="47"/>
    </row>
    <row r="111" spans="1:18" x14ac:dyDescent="0.35">
      <c r="A111" s="5"/>
      <c r="B111" s="123" t="s">
        <v>54</v>
      </c>
      <c r="C111" s="28">
        <v>578</v>
      </c>
      <c r="D111" s="29">
        <f>SUM(E129:F129)</f>
        <v>845</v>
      </c>
      <c r="E111" s="29">
        <f>SUM(G129:H129)</f>
        <v>306</v>
      </c>
      <c r="F111" s="29">
        <f>SUM(I129:J129)</f>
        <v>86</v>
      </c>
      <c r="G111" s="29">
        <f>K129</f>
        <v>89</v>
      </c>
      <c r="H111" s="29">
        <f>L129</f>
        <v>0</v>
      </c>
      <c r="I111" s="28">
        <v>26543</v>
      </c>
      <c r="J111" s="29">
        <f>SUM(O129:P129)</f>
        <v>16054</v>
      </c>
      <c r="K111" s="29">
        <f>SUM(Q129:R129)</f>
        <v>4250</v>
      </c>
      <c r="L111" s="29">
        <f>SUM(S129:T129)</f>
        <v>1439</v>
      </c>
      <c r="M111" s="29">
        <f>U129</f>
        <v>43153</v>
      </c>
      <c r="N111" s="29">
        <f>V129</f>
        <v>0</v>
      </c>
      <c r="O111" s="57" t="s">
        <v>55</v>
      </c>
      <c r="P111" s="29" t="s">
        <v>55</v>
      </c>
      <c r="Q111" s="29" t="s">
        <v>55</v>
      </c>
      <c r="R111" s="29" t="s">
        <v>55</v>
      </c>
    </row>
    <row r="112" spans="1:18" x14ac:dyDescent="0.35">
      <c r="A112" s="5"/>
      <c r="B112" s="124" t="s">
        <v>56</v>
      </c>
      <c r="C112" s="26">
        <v>133</v>
      </c>
      <c r="D112" s="27">
        <f t="shared" ref="D112:D116" si="43">SUM(E130:F130)</f>
        <v>350</v>
      </c>
      <c r="E112" s="27">
        <f t="shared" ref="E112:E116" si="44">SUM(G130:H130)</f>
        <v>198</v>
      </c>
      <c r="F112" s="27">
        <f t="shared" ref="F112:F116" si="45">SUM(I130:J130)</f>
        <v>79</v>
      </c>
      <c r="G112" s="27">
        <f t="shared" ref="G112:H112" si="46">K130</f>
        <v>3878</v>
      </c>
      <c r="H112" s="27">
        <f t="shared" si="46"/>
        <v>0</v>
      </c>
      <c r="I112" s="26">
        <v>32209.797999999999</v>
      </c>
      <c r="J112" s="27">
        <f t="shared" ref="J112:J116" si="47">SUM(O130:P130)</f>
        <v>18953.662</v>
      </c>
      <c r="K112" s="27">
        <f t="shared" ref="K112:K116" si="48">SUM(Q130:R130)</f>
        <v>5903.17</v>
      </c>
      <c r="L112" s="27">
        <f t="shared" ref="L112:L116" si="49">SUM(S130:T130)</f>
        <v>1955.7739999999999</v>
      </c>
      <c r="M112" s="27">
        <f t="shared" ref="M112:N112" si="50">U130</f>
        <v>92672.804999999993</v>
      </c>
      <c r="N112" s="27">
        <f t="shared" si="50"/>
        <v>4138</v>
      </c>
      <c r="O112" s="58" t="s">
        <v>55</v>
      </c>
      <c r="P112" s="27" t="s">
        <v>55</v>
      </c>
      <c r="Q112" s="27" t="s">
        <v>55</v>
      </c>
      <c r="R112" s="27" t="s">
        <v>55</v>
      </c>
    </row>
    <row r="113" spans="1:22" x14ac:dyDescent="0.35">
      <c r="A113" s="5"/>
      <c r="B113" s="123" t="s">
        <v>57</v>
      </c>
      <c r="C113" s="28">
        <v>0</v>
      </c>
      <c r="D113" s="29">
        <f t="shared" si="43"/>
        <v>0</v>
      </c>
      <c r="E113" s="29">
        <f t="shared" si="44"/>
        <v>0</v>
      </c>
      <c r="F113" s="29">
        <f t="shared" si="45"/>
        <v>0</v>
      </c>
      <c r="G113" s="29">
        <f t="shared" ref="G113:H113" si="51">K131</f>
        <v>3452</v>
      </c>
      <c r="H113" s="29">
        <f t="shared" si="51"/>
        <v>0</v>
      </c>
      <c r="I113" s="28">
        <v>28915.24</v>
      </c>
      <c r="J113" s="29">
        <f t="shared" si="47"/>
        <v>15752.400000000001</v>
      </c>
      <c r="K113" s="29">
        <f t="shared" si="48"/>
        <v>4272.4799999999996</v>
      </c>
      <c r="L113" s="29">
        <f t="shared" si="49"/>
        <v>1088.92</v>
      </c>
      <c r="M113" s="29">
        <f t="shared" ref="M113:N113" si="52">U131</f>
        <v>81987.684999999998</v>
      </c>
      <c r="N113" s="29">
        <f t="shared" si="52"/>
        <v>3143.6</v>
      </c>
      <c r="O113" s="57" t="s">
        <v>55</v>
      </c>
      <c r="P113" s="29" t="s">
        <v>55</v>
      </c>
      <c r="Q113" s="29" t="s">
        <v>55</v>
      </c>
      <c r="R113" s="29" t="s">
        <v>55</v>
      </c>
    </row>
    <row r="114" spans="1:22" x14ac:dyDescent="0.35">
      <c r="A114" s="5"/>
      <c r="B114" s="124" t="s">
        <v>58</v>
      </c>
      <c r="C114" s="26">
        <v>0</v>
      </c>
      <c r="D114" s="27">
        <f t="shared" si="43"/>
        <v>0</v>
      </c>
      <c r="E114" s="27">
        <f t="shared" si="44"/>
        <v>0</v>
      </c>
      <c r="F114" s="27">
        <f t="shared" si="45"/>
        <v>0</v>
      </c>
      <c r="G114" s="27">
        <f t="shared" ref="G114:H114" si="53">K132</f>
        <v>848</v>
      </c>
      <c r="H114" s="27">
        <f t="shared" si="53"/>
        <v>0</v>
      </c>
      <c r="I114" s="26">
        <v>26299.59</v>
      </c>
      <c r="J114" s="27">
        <f t="shared" si="47"/>
        <v>16435.71</v>
      </c>
      <c r="K114" s="27">
        <f t="shared" si="48"/>
        <v>5372.89</v>
      </c>
      <c r="L114" s="27">
        <f t="shared" si="49"/>
        <v>1549.23</v>
      </c>
      <c r="M114" s="27">
        <f t="shared" ref="M114:N114" si="54">U132</f>
        <v>51632.5</v>
      </c>
      <c r="N114" s="27">
        <f t="shared" si="54"/>
        <v>18629</v>
      </c>
      <c r="O114" s="58" t="s">
        <v>55</v>
      </c>
      <c r="P114" s="27" t="s">
        <v>55</v>
      </c>
      <c r="Q114" s="27" t="s">
        <v>55</v>
      </c>
      <c r="R114" s="27" t="s">
        <v>55</v>
      </c>
    </row>
    <row r="115" spans="1:22" x14ac:dyDescent="0.35">
      <c r="A115" s="5"/>
      <c r="B115" s="123" t="s">
        <v>59</v>
      </c>
      <c r="C115" s="28">
        <v>0</v>
      </c>
      <c r="D115" s="29">
        <f t="shared" si="43"/>
        <v>0</v>
      </c>
      <c r="E115" s="29">
        <f t="shared" si="44"/>
        <v>0</v>
      </c>
      <c r="F115" s="29">
        <f t="shared" si="45"/>
        <v>0</v>
      </c>
      <c r="G115" s="29">
        <f t="shared" ref="G115:H115" si="55">K133</f>
        <v>1023</v>
      </c>
      <c r="H115" s="29">
        <f t="shared" si="55"/>
        <v>0</v>
      </c>
      <c r="I115" s="28">
        <v>38853.58</v>
      </c>
      <c r="J115" s="29">
        <f t="shared" si="47"/>
        <v>18239.035</v>
      </c>
      <c r="K115" s="29">
        <f t="shared" si="48"/>
        <v>7055.82</v>
      </c>
      <c r="L115" s="29">
        <f t="shared" si="49"/>
        <v>3511.1800000000003</v>
      </c>
      <c r="M115" s="29">
        <f t="shared" ref="M115:N115" si="56">U133</f>
        <v>112406.1862</v>
      </c>
      <c r="N115" s="29">
        <f t="shared" si="56"/>
        <v>739</v>
      </c>
      <c r="O115" s="57" t="s">
        <v>55</v>
      </c>
      <c r="P115" s="29" t="s">
        <v>55</v>
      </c>
      <c r="Q115" s="29" t="s">
        <v>55</v>
      </c>
      <c r="R115" s="29" t="s">
        <v>55</v>
      </c>
    </row>
    <row r="116" spans="1:22" x14ac:dyDescent="0.35">
      <c r="A116" s="5"/>
      <c r="B116" s="124" t="s">
        <v>60</v>
      </c>
      <c r="C116" s="26">
        <v>43</v>
      </c>
      <c r="D116" s="27">
        <f t="shared" si="43"/>
        <v>70</v>
      </c>
      <c r="E116" s="27">
        <f t="shared" si="44"/>
        <v>46</v>
      </c>
      <c r="F116" s="27">
        <f t="shared" si="45"/>
        <v>35</v>
      </c>
      <c r="G116" s="27">
        <f t="shared" ref="G116:H116" si="57">K134</f>
        <v>1600</v>
      </c>
      <c r="H116" s="27">
        <f t="shared" si="57"/>
        <v>2</v>
      </c>
      <c r="I116" s="26">
        <v>32635</v>
      </c>
      <c r="J116" s="27">
        <f t="shared" si="47"/>
        <v>22456</v>
      </c>
      <c r="K116" s="27">
        <f t="shared" si="48"/>
        <v>7963</v>
      </c>
      <c r="L116" s="27">
        <f t="shared" si="49"/>
        <v>4120</v>
      </c>
      <c r="M116" s="27">
        <f t="shared" ref="M116:N116" si="58">U134</f>
        <v>94400</v>
      </c>
      <c r="N116" s="27">
        <f t="shared" si="58"/>
        <v>12164</v>
      </c>
      <c r="O116" s="58" t="s">
        <v>55</v>
      </c>
      <c r="P116" s="27" t="s">
        <v>55</v>
      </c>
      <c r="Q116" s="27" t="s">
        <v>55</v>
      </c>
      <c r="R116" s="27" t="s">
        <v>55</v>
      </c>
    </row>
    <row r="117" spans="1:22" x14ac:dyDescent="0.35">
      <c r="A117" s="5"/>
      <c r="B117" s="48" t="s">
        <v>61</v>
      </c>
      <c r="C117" s="150"/>
      <c r="D117" s="151"/>
      <c r="E117" s="151"/>
      <c r="F117" s="151"/>
      <c r="G117" s="151"/>
      <c r="H117" s="151"/>
      <c r="I117" s="150"/>
      <c r="J117" s="151"/>
      <c r="K117" s="151"/>
      <c r="L117" s="151"/>
      <c r="M117" s="151"/>
      <c r="N117" s="151"/>
      <c r="O117" s="59"/>
      <c r="P117" s="151"/>
      <c r="Q117" s="151"/>
      <c r="R117" s="151"/>
    </row>
    <row r="118" spans="1:22" x14ac:dyDescent="0.35">
      <c r="A118" s="164"/>
      <c r="B118" s="123" t="s">
        <v>54</v>
      </c>
      <c r="C118" s="53">
        <f>IFERROR(C111/SUM($C111:$H111),"-")</f>
        <v>0.30357142857142855</v>
      </c>
      <c r="D118" s="52">
        <f t="shared" ref="D118:H118" si="59">IFERROR(D111/SUM($C111:$H111),"-")</f>
        <v>0.44380252100840334</v>
      </c>
      <c r="E118" s="52">
        <f t="shared" si="59"/>
        <v>0.16071428571428573</v>
      </c>
      <c r="F118" s="52">
        <f t="shared" si="59"/>
        <v>4.5168067226890755E-2</v>
      </c>
      <c r="G118" s="52">
        <f t="shared" si="59"/>
        <v>4.6743697478991597E-2</v>
      </c>
      <c r="H118" s="52">
        <f t="shared" si="59"/>
        <v>0</v>
      </c>
      <c r="I118" s="53">
        <f t="shared" ref="I118:N118" si="60">IFERROR(I111/SUM($I111:$N111),"-")</f>
        <v>0.29028095232887496</v>
      </c>
      <c r="J118" s="52">
        <f t="shared" si="60"/>
        <v>0.17557059897855401</v>
      </c>
      <c r="K118" s="52">
        <f t="shared" si="60"/>
        <v>4.6479073480681109E-2</v>
      </c>
      <c r="L118" s="52">
        <f t="shared" si="60"/>
        <v>1.5737267467929441E-2</v>
      </c>
      <c r="M118" s="52">
        <f t="shared" si="60"/>
        <v>0.47193210774396044</v>
      </c>
      <c r="N118" s="52">
        <f t="shared" si="60"/>
        <v>0</v>
      </c>
      <c r="O118" s="210">
        <v>4.4999999999999998E-2</v>
      </c>
      <c r="P118" s="52">
        <v>0.29799999999999999</v>
      </c>
      <c r="Q118" s="52">
        <v>0.26900000000000002</v>
      </c>
      <c r="R118" s="52">
        <v>0.38800000000000001</v>
      </c>
    </row>
    <row r="119" spans="1:22" x14ac:dyDescent="0.35">
      <c r="A119" s="164"/>
      <c r="B119" s="124" t="s">
        <v>56</v>
      </c>
      <c r="C119" s="54">
        <f t="shared" ref="C119:H119" si="61">IFERROR(C112/SUM($C112:$H112),"-")</f>
        <v>2.8676153514445881E-2</v>
      </c>
      <c r="D119" s="46">
        <f t="shared" si="61"/>
        <v>7.5463561880120739E-2</v>
      </c>
      <c r="E119" s="46">
        <f t="shared" si="61"/>
        <v>4.2690815006468305E-2</v>
      </c>
      <c r="F119" s="46">
        <f t="shared" si="61"/>
        <v>1.7033203967227253E-2</v>
      </c>
      <c r="G119" s="46">
        <f t="shared" si="61"/>
        <v>0.83613626563173782</v>
      </c>
      <c r="H119" s="46">
        <f t="shared" si="61"/>
        <v>0</v>
      </c>
      <c r="I119" s="54">
        <f t="shared" ref="I119:N119" si="62">IFERROR(I112/SUM($I112:$N112),"-")</f>
        <v>0.20669405582220926</v>
      </c>
      <c r="J119" s="46">
        <f t="shared" si="62"/>
        <v>0.12162787458224006</v>
      </c>
      <c r="K119" s="46">
        <f t="shared" si="62"/>
        <v>3.7881335036872667E-2</v>
      </c>
      <c r="L119" s="46">
        <f t="shared" si="62"/>
        <v>1.2550431403873614E-2</v>
      </c>
      <c r="M119" s="46">
        <f t="shared" si="62"/>
        <v>0.59469227127319191</v>
      </c>
      <c r="N119" s="46">
        <f t="shared" si="62"/>
        <v>2.6554031881612608E-2</v>
      </c>
      <c r="O119" s="211">
        <v>9.0999999999999998E-2</v>
      </c>
      <c r="P119" s="46">
        <v>0.248</v>
      </c>
      <c r="Q119" s="46">
        <v>0.23699999999999999</v>
      </c>
      <c r="R119" s="46">
        <v>0.42399999999999999</v>
      </c>
    </row>
    <row r="120" spans="1:22" x14ac:dyDescent="0.35">
      <c r="A120" s="164"/>
      <c r="B120" s="123" t="s">
        <v>57</v>
      </c>
      <c r="C120" s="53">
        <f t="shared" ref="C120:H120" si="63">IFERROR(C113/SUM($C113:$H113),"-")</f>
        <v>0</v>
      </c>
      <c r="D120" s="52">
        <f t="shared" si="63"/>
        <v>0</v>
      </c>
      <c r="E120" s="52">
        <f t="shared" si="63"/>
        <v>0</v>
      </c>
      <c r="F120" s="52">
        <f t="shared" si="63"/>
        <v>0</v>
      </c>
      <c r="G120" s="52">
        <f t="shared" si="63"/>
        <v>1</v>
      </c>
      <c r="H120" s="52">
        <f t="shared" si="63"/>
        <v>0</v>
      </c>
      <c r="I120" s="53">
        <f t="shared" ref="I120:N120" si="64">IFERROR(I113/SUM($I113:$N113),"-")</f>
        <v>0.21393289783817851</v>
      </c>
      <c r="J120" s="52">
        <f t="shared" si="64"/>
        <v>0.1165460352363018</v>
      </c>
      <c r="K120" s="52">
        <f t="shared" si="64"/>
        <v>3.1610459652268517E-2</v>
      </c>
      <c r="L120" s="52">
        <f t="shared" si="64"/>
        <v>8.0565062269567656E-3</v>
      </c>
      <c r="M120" s="52">
        <f t="shared" si="64"/>
        <v>0.60659579651055151</v>
      </c>
      <c r="N120" s="52">
        <f t="shared" si="64"/>
        <v>2.3258304535743016E-2</v>
      </c>
      <c r="O120" s="210" t="s">
        <v>55</v>
      </c>
      <c r="P120" s="52" t="s">
        <v>55</v>
      </c>
      <c r="Q120" s="52" t="s">
        <v>55</v>
      </c>
      <c r="R120" s="52" t="s">
        <v>55</v>
      </c>
    </row>
    <row r="121" spans="1:22" x14ac:dyDescent="0.35">
      <c r="A121" s="164"/>
      <c r="B121" s="124" t="s">
        <v>58</v>
      </c>
      <c r="C121" s="54">
        <f t="shared" ref="C121:H121" si="65">IFERROR(C114/SUM($C114:$H114),"-")</f>
        <v>0</v>
      </c>
      <c r="D121" s="46">
        <f t="shared" si="65"/>
        <v>0</v>
      </c>
      <c r="E121" s="46">
        <f t="shared" si="65"/>
        <v>0</v>
      </c>
      <c r="F121" s="46">
        <f t="shared" si="65"/>
        <v>0</v>
      </c>
      <c r="G121" s="46">
        <f t="shared" si="65"/>
        <v>1</v>
      </c>
      <c r="H121" s="46">
        <f t="shared" si="65"/>
        <v>0</v>
      </c>
      <c r="I121" s="54">
        <f t="shared" ref="I121:N121" si="66">IFERROR(I114/SUM($I114:$N114),"-")</f>
        <v>0.21931143142383203</v>
      </c>
      <c r="J121" s="46">
        <f t="shared" si="66"/>
        <v>0.13705685474819151</v>
      </c>
      <c r="K121" s="46">
        <f t="shared" si="66"/>
        <v>4.4804356143300819E-2</v>
      </c>
      <c r="L121" s="46">
        <f t="shared" si="66"/>
        <v>1.2918978923425927E-2</v>
      </c>
      <c r="M121" s="46">
        <f t="shared" si="66"/>
        <v>0.43056174955544957</v>
      </c>
      <c r="N121" s="46">
        <f t="shared" si="66"/>
        <v>0.15534662920580003</v>
      </c>
      <c r="O121" s="211">
        <v>4.5454545454545497E-2</v>
      </c>
      <c r="P121" s="46">
        <v>0.13636363636363599</v>
      </c>
      <c r="Q121" s="46">
        <v>0.27272727272727298</v>
      </c>
      <c r="R121" s="46">
        <v>0.54545454545454497</v>
      </c>
    </row>
    <row r="122" spans="1:22" ht="14.25" customHeight="1" x14ac:dyDescent="0.35">
      <c r="A122" s="164"/>
      <c r="B122" s="123" t="s">
        <v>59</v>
      </c>
      <c r="C122" s="53">
        <f t="shared" ref="C122:H122" si="67">IFERROR(C115/SUM($C115:$H115),"-")</f>
        <v>0</v>
      </c>
      <c r="D122" s="52">
        <f t="shared" si="67"/>
        <v>0</v>
      </c>
      <c r="E122" s="52">
        <f t="shared" si="67"/>
        <v>0</v>
      </c>
      <c r="F122" s="52">
        <f t="shared" si="67"/>
        <v>0</v>
      </c>
      <c r="G122" s="52">
        <f t="shared" si="67"/>
        <v>1</v>
      </c>
      <c r="H122" s="52">
        <f t="shared" si="67"/>
        <v>0</v>
      </c>
      <c r="I122" s="53">
        <f t="shared" ref="I122:N122" si="68">IFERROR(I115/SUM($I115:$N115),"-")</f>
        <v>0.2148924129344415</v>
      </c>
      <c r="J122" s="52">
        <f t="shared" si="68"/>
        <v>0.10087693954445719</v>
      </c>
      <c r="K122" s="52">
        <f t="shared" si="68"/>
        <v>3.9024516789214557E-2</v>
      </c>
      <c r="L122" s="52">
        <f t="shared" si="68"/>
        <v>1.9419727665948731E-2</v>
      </c>
      <c r="M122" s="52">
        <f t="shared" si="68"/>
        <v>0.62169912222441581</v>
      </c>
      <c r="N122" s="52">
        <f t="shared" si="68"/>
        <v>4.0872808415222551E-3</v>
      </c>
      <c r="O122" s="210" t="s">
        <v>55</v>
      </c>
      <c r="P122" s="52" t="s">
        <v>55</v>
      </c>
      <c r="Q122" s="52" t="s">
        <v>55</v>
      </c>
      <c r="R122" s="52" t="s">
        <v>55</v>
      </c>
    </row>
    <row r="123" spans="1:22" ht="14.25" customHeight="1" thickBot="1" x14ac:dyDescent="0.4">
      <c r="A123" s="164"/>
      <c r="B123" s="303" t="s">
        <v>60</v>
      </c>
      <c r="C123" s="84">
        <f t="shared" ref="C123:H123" si="69">IFERROR(C116/SUM($C116:$H116),"-")</f>
        <v>2.3942093541202674E-2</v>
      </c>
      <c r="D123" s="84">
        <f t="shared" si="69"/>
        <v>3.8975501113585748E-2</v>
      </c>
      <c r="E123" s="84">
        <f t="shared" si="69"/>
        <v>2.5612472160356347E-2</v>
      </c>
      <c r="F123" s="84">
        <f t="shared" si="69"/>
        <v>1.9487750556792874E-2</v>
      </c>
      <c r="G123" s="84">
        <f t="shared" si="69"/>
        <v>0.89086859688195996</v>
      </c>
      <c r="H123" s="312">
        <f t="shared" si="69"/>
        <v>1.1135857461024498E-3</v>
      </c>
      <c r="I123" s="84">
        <f t="shared" ref="I123:N123" si="70">IFERROR(I116/SUM($I116:$N116),"-")</f>
        <v>0.18784031127329656</v>
      </c>
      <c r="J123" s="84">
        <f t="shared" si="70"/>
        <v>0.12925209223083034</v>
      </c>
      <c r="K123" s="84">
        <f t="shared" si="70"/>
        <v>4.5833381298276715E-2</v>
      </c>
      <c r="L123" s="84">
        <f t="shared" si="70"/>
        <v>2.3713868008150202E-2</v>
      </c>
      <c r="M123" s="84">
        <f t="shared" si="70"/>
        <v>0.54334687863334441</v>
      </c>
      <c r="N123" s="313">
        <f t="shared" si="70"/>
        <v>7.0013468556101716E-2</v>
      </c>
      <c r="O123" s="84" t="s">
        <v>55</v>
      </c>
      <c r="P123" s="84" t="s">
        <v>55</v>
      </c>
      <c r="Q123" s="84" t="s">
        <v>55</v>
      </c>
      <c r="R123" s="84" t="s">
        <v>55</v>
      </c>
    </row>
    <row r="124" spans="1:22" x14ac:dyDescent="0.35">
      <c r="B124" s="6"/>
      <c r="C124" s="143"/>
      <c r="D124" s="143"/>
      <c r="E124" s="143"/>
      <c r="F124" s="143"/>
      <c r="G124" s="143"/>
      <c r="H124" s="143"/>
      <c r="I124" s="143"/>
      <c r="J124" s="15"/>
      <c r="K124" s="15"/>
      <c r="L124" s="15"/>
      <c r="M124" s="15"/>
    </row>
    <row r="125" spans="1:22" x14ac:dyDescent="0.35">
      <c r="B125" s="199" t="s">
        <v>67</v>
      </c>
      <c r="C125" s="406" t="s">
        <v>44</v>
      </c>
      <c r="D125" s="407"/>
      <c r="E125" s="407"/>
      <c r="F125" s="407"/>
      <c r="G125" s="407"/>
      <c r="H125" s="407"/>
      <c r="I125" s="407"/>
      <c r="J125" s="407"/>
      <c r="K125" s="407"/>
      <c r="L125" s="407"/>
      <c r="M125" s="407"/>
      <c r="N125" s="407"/>
      <c r="O125" s="407"/>
      <c r="P125" s="407"/>
      <c r="Q125" s="407"/>
      <c r="R125" s="407"/>
      <c r="S125" s="407"/>
      <c r="T125" s="407"/>
      <c r="U125" s="407"/>
      <c r="V125" s="407"/>
    </row>
    <row r="126" spans="1:22" x14ac:dyDescent="0.35">
      <c r="C126" s="401" t="str">
        <f>$A$1</f>
        <v>Midlothian</v>
      </c>
      <c r="D126" s="402"/>
      <c r="E126" s="402"/>
      <c r="F126" s="402"/>
      <c r="G126" s="402"/>
      <c r="H126" s="402"/>
      <c r="I126" s="402"/>
      <c r="J126" s="402"/>
      <c r="K126" s="402"/>
      <c r="L126" s="405"/>
      <c r="M126" s="401" t="s">
        <v>46</v>
      </c>
      <c r="N126" s="402"/>
      <c r="O126" s="402"/>
      <c r="P126" s="402"/>
      <c r="Q126" s="402"/>
      <c r="R126" s="402"/>
      <c r="S126" s="402"/>
      <c r="T126" s="402"/>
      <c r="U126" s="402"/>
      <c r="V126" s="402"/>
    </row>
    <row r="127" spans="1:22" ht="27" thickBot="1" x14ac:dyDescent="0.4">
      <c r="B127" s="24" t="s">
        <v>89</v>
      </c>
      <c r="C127" s="67" t="s">
        <v>94</v>
      </c>
      <c r="D127" s="68" t="s">
        <v>95</v>
      </c>
      <c r="E127" s="68" t="s">
        <v>96</v>
      </c>
      <c r="F127" s="68" t="s">
        <v>97</v>
      </c>
      <c r="G127" s="68" t="s">
        <v>98</v>
      </c>
      <c r="H127" s="68" t="s">
        <v>99</v>
      </c>
      <c r="I127" s="68" t="s">
        <v>100</v>
      </c>
      <c r="J127" s="68" t="s">
        <v>101</v>
      </c>
      <c r="K127" s="68" t="s">
        <v>49</v>
      </c>
      <c r="L127" s="68" t="s">
        <v>50</v>
      </c>
      <c r="M127" s="67" t="s">
        <v>94</v>
      </c>
      <c r="N127" s="68" t="s">
        <v>95</v>
      </c>
      <c r="O127" s="68" t="s">
        <v>96</v>
      </c>
      <c r="P127" s="68" t="s">
        <v>97</v>
      </c>
      <c r="Q127" s="68" t="s">
        <v>98</v>
      </c>
      <c r="R127" s="68" t="s">
        <v>99</v>
      </c>
      <c r="S127" s="68" t="s">
        <v>100</v>
      </c>
      <c r="T127" s="68" t="s">
        <v>101</v>
      </c>
      <c r="U127" s="68" t="s">
        <v>49</v>
      </c>
      <c r="V127" s="68" t="s">
        <v>50</v>
      </c>
    </row>
    <row r="128" spans="1:22" x14ac:dyDescent="0.35">
      <c r="B128" s="23" t="s">
        <v>53</v>
      </c>
      <c r="C128" s="49"/>
      <c r="D128" s="47"/>
      <c r="E128" s="47"/>
      <c r="F128" s="47"/>
      <c r="G128" s="47"/>
      <c r="H128" s="47"/>
      <c r="I128" s="47"/>
      <c r="J128" s="47"/>
      <c r="K128" s="47"/>
      <c r="L128" s="47"/>
      <c r="M128" s="49"/>
      <c r="N128" s="47"/>
      <c r="O128" s="47"/>
      <c r="P128" s="47"/>
      <c r="Q128" s="47"/>
      <c r="R128" s="47"/>
      <c r="S128" s="47"/>
      <c r="T128" s="47"/>
      <c r="U128" s="47"/>
      <c r="V128" s="47"/>
    </row>
    <row r="129" spans="1:32" x14ac:dyDescent="0.35">
      <c r="B129" s="123" t="s">
        <v>54</v>
      </c>
      <c r="C129" s="28">
        <v>163</v>
      </c>
      <c r="D129" s="29">
        <v>415</v>
      </c>
      <c r="E129" s="29">
        <v>567</v>
      </c>
      <c r="F129" s="29">
        <v>278</v>
      </c>
      <c r="G129" s="29">
        <v>204</v>
      </c>
      <c r="H129" s="29">
        <v>102</v>
      </c>
      <c r="I129" s="29">
        <v>51</v>
      </c>
      <c r="J129" s="29">
        <v>35</v>
      </c>
      <c r="K129" s="29">
        <v>89</v>
      </c>
      <c r="L129" s="29">
        <v>0</v>
      </c>
      <c r="M129" s="28">
        <v>13696</v>
      </c>
      <c r="N129" s="29">
        <v>12847</v>
      </c>
      <c r="O129" s="29">
        <v>10028</v>
      </c>
      <c r="P129" s="29">
        <v>6026</v>
      </c>
      <c r="Q129" s="29">
        <v>2785</v>
      </c>
      <c r="R129" s="29">
        <v>1465</v>
      </c>
      <c r="S129" s="29">
        <v>935</v>
      </c>
      <c r="T129" s="29">
        <v>504</v>
      </c>
      <c r="U129" s="29">
        <v>43153</v>
      </c>
      <c r="V129" s="29">
        <v>0</v>
      </c>
    </row>
    <row r="130" spans="1:32" x14ac:dyDescent="0.35">
      <c r="B130" s="124" t="s">
        <v>56</v>
      </c>
      <c r="C130" s="26">
        <v>55</v>
      </c>
      <c r="D130" s="27">
        <v>78</v>
      </c>
      <c r="E130" s="27">
        <v>174</v>
      </c>
      <c r="F130" s="27">
        <v>176</v>
      </c>
      <c r="G130" s="27">
        <v>79</v>
      </c>
      <c r="H130" s="27">
        <v>119</v>
      </c>
      <c r="I130" s="27">
        <v>77</v>
      </c>
      <c r="J130" s="27">
        <v>2</v>
      </c>
      <c r="K130" s="27">
        <v>3878</v>
      </c>
      <c r="L130" s="27">
        <v>0</v>
      </c>
      <c r="M130" s="26">
        <v>18255.91</v>
      </c>
      <c r="N130" s="27">
        <v>13953.888000000001</v>
      </c>
      <c r="O130" s="27">
        <v>11306.477000000001</v>
      </c>
      <c r="P130" s="27">
        <v>7647.1850000000004</v>
      </c>
      <c r="Q130" s="27">
        <v>3579.2579999999998</v>
      </c>
      <c r="R130" s="27">
        <v>2323.9119999999998</v>
      </c>
      <c r="S130" s="27">
        <v>1315.508</v>
      </c>
      <c r="T130" s="27">
        <v>640.26599999999996</v>
      </c>
      <c r="U130" s="27">
        <v>92672.804999999993</v>
      </c>
      <c r="V130" s="27">
        <v>4138</v>
      </c>
    </row>
    <row r="131" spans="1:32" x14ac:dyDescent="0.35">
      <c r="B131" s="123" t="s">
        <v>57</v>
      </c>
      <c r="C131" s="28">
        <v>0</v>
      </c>
      <c r="D131" s="29">
        <v>0</v>
      </c>
      <c r="E131" s="29">
        <v>0</v>
      </c>
      <c r="F131" s="29">
        <v>0</v>
      </c>
      <c r="G131" s="29">
        <v>0</v>
      </c>
      <c r="H131" s="29">
        <v>0</v>
      </c>
      <c r="I131" s="29">
        <v>0</v>
      </c>
      <c r="J131" s="29">
        <v>0</v>
      </c>
      <c r="K131" s="29">
        <v>3452</v>
      </c>
      <c r="L131" s="29">
        <v>0</v>
      </c>
      <c r="M131" s="28">
        <v>14624.2</v>
      </c>
      <c r="N131" s="29">
        <v>12586.2</v>
      </c>
      <c r="O131" s="29">
        <v>9529.76</v>
      </c>
      <c r="P131" s="29">
        <v>6222.64</v>
      </c>
      <c r="Q131" s="29">
        <v>2996.68</v>
      </c>
      <c r="R131" s="29">
        <v>1275.8</v>
      </c>
      <c r="S131" s="29">
        <v>721.12</v>
      </c>
      <c r="T131" s="29">
        <v>367.8</v>
      </c>
      <c r="U131" s="29">
        <v>81987.684999999998</v>
      </c>
      <c r="V131" s="29">
        <v>3143.6</v>
      </c>
    </row>
    <row r="132" spans="1:32" x14ac:dyDescent="0.35">
      <c r="B132" s="124" t="s">
        <v>58</v>
      </c>
      <c r="C132" s="26">
        <v>0</v>
      </c>
      <c r="D132" s="27">
        <v>0</v>
      </c>
      <c r="E132" s="27">
        <v>0</v>
      </c>
      <c r="F132" s="27">
        <v>0</v>
      </c>
      <c r="G132" s="27">
        <v>0</v>
      </c>
      <c r="H132" s="27">
        <v>0</v>
      </c>
      <c r="I132" s="27">
        <v>0</v>
      </c>
      <c r="J132" s="27">
        <v>0</v>
      </c>
      <c r="K132" s="27">
        <v>848</v>
      </c>
      <c r="L132" s="27">
        <v>0</v>
      </c>
      <c r="M132" s="26">
        <v>10337.73</v>
      </c>
      <c r="N132" s="27">
        <v>11334.14</v>
      </c>
      <c r="O132" s="27">
        <v>9557.26</v>
      </c>
      <c r="P132" s="27">
        <v>6878.45</v>
      </c>
      <c r="Q132" s="27">
        <v>3345.71</v>
      </c>
      <c r="R132" s="27">
        <v>2027.18</v>
      </c>
      <c r="S132" s="27">
        <v>1184.04</v>
      </c>
      <c r="T132" s="27">
        <v>365.19</v>
      </c>
      <c r="U132" s="27">
        <v>51632.5</v>
      </c>
      <c r="V132" s="27">
        <v>18629</v>
      </c>
    </row>
    <row r="133" spans="1:32" ht="15.75" customHeight="1" x14ac:dyDescent="0.35">
      <c r="B133" s="123" t="s">
        <v>59</v>
      </c>
      <c r="C133" s="28">
        <v>0</v>
      </c>
      <c r="D133" s="29">
        <v>0</v>
      </c>
      <c r="E133" s="29">
        <v>0</v>
      </c>
      <c r="F133" s="29">
        <v>0</v>
      </c>
      <c r="G133" s="29">
        <v>0</v>
      </c>
      <c r="H133" s="29">
        <v>0</v>
      </c>
      <c r="I133" s="29">
        <v>0</v>
      </c>
      <c r="J133" s="29">
        <v>0</v>
      </c>
      <c r="K133" s="29">
        <v>1023</v>
      </c>
      <c r="L133" s="29">
        <v>0</v>
      </c>
      <c r="M133" s="28">
        <v>11058.7</v>
      </c>
      <c r="N133" s="29">
        <v>9834.64</v>
      </c>
      <c r="O133" s="29">
        <v>11085.88</v>
      </c>
      <c r="P133" s="29">
        <v>7153.1549999999997</v>
      </c>
      <c r="Q133" s="29">
        <v>4311.18</v>
      </c>
      <c r="R133" s="29">
        <v>2744.64</v>
      </c>
      <c r="S133" s="29">
        <v>2394.86</v>
      </c>
      <c r="T133" s="29">
        <v>1116.32</v>
      </c>
      <c r="U133" s="29">
        <v>112406.1862</v>
      </c>
      <c r="V133" s="29">
        <v>739</v>
      </c>
    </row>
    <row r="134" spans="1:32" ht="15.75" customHeight="1" x14ac:dyDescent="0.35">
      <c r="B134" s="124" t="s">
        <v>60</v>
      </c>
      <c r="C134" s="26">
        <v>0</v>
      </c>
      <c r="D134" s="27">
        <v>0</v>
      </c>
      <c r="E134" s="27">
        <v>32</v>
      </c>
      <c r="F134" s="27">
        <v>38</v>
      </c>
      <c r="G134" s="27">
        <v>26</v>
      </c>
      <c r="H134" s="27">
        <v>20</v>
      </c>
      <c r="I134" s="27">
        <v>27</v>
      </c>
      <c r="J134" s="27">
        <v>8</v>
      </c>
      <c r="K134" s="27">
        <v>1600</v>
      </c>
      <c r="L134" s="27">
        <v>2</v>
      </c>
      <c r="M134" s="26">
        <v>15696</v>
      </c>
      <c r="N134" s="27">
        <v>13014</v>
      </c>
      <c r="O134" s="27">
        <v>13511</v>
      </c>
      <c r="P134" s="27">
        <v>8945</v>
      </c>
      <c r="Q134" s="27">
        <v>5096</v>
      </c>
      <c r="R134" s="27">
        <v>2867</v>
      </c>
      <c r="S134" s="27">
        <v>2637</v>
      </c>
      <c r="T134" s="27">
        <v>1483</v>
      </c>
      <c r="U134" s="27">
        <v>94400</v>
      </c>
      <c r="V134" s="27">
        <v>12164</v>
      </c>
    </row>
    <row r="135" spans="1:32" x14ac:dyDescent="0.35">
      <c r="B135" s="48" t="s">
        <v>61</v>
      </c>
      <c r="C135" s="150"/>
      <c r="D135" s="151"/>
      <c r="E135" s="151"/>
      <c r="F135" s="151"/>
      <c r="G135" s="151"/>
      <c r="H135" s="151"/>
      <c r="I135" s="151"/>
      <c r="J135" s="151"/>
      <c r="K135" s="151"/>
      <c r="L135" s="151"/>
      <c r="M135" s="150"/>
      <c r="N135" s="151"/>
      <c r="O135" s="151"/>
      <c r="P135" s="151"/>
      <c r="Q135" s="151"/>
      <c r="R135" s="151"/>
      <c r="S135" s="151"/>
      <c r="T135" s="151"/>
      <c r="U135" s="151"/>
      <c r="V135" s="151"/>
    </row>
    <row r="136" spans="1:32" x14ac:dyDescent="0.35">
      <c r="B136" s="123" t="s">
        <v>54</v>
      </c>
      <c r="C136" s="53">
        <f>IFERROR(C129/SUM($C129:$L129),"-")</f>
        <v>8.5609243697478993E-2</v>
      </c>
      <c r="D136" s="52">
        <f t="shared" ref="D136:L136" si="71">IFERROR(D129/SUM($C129:$L129),"-")</f>
        <v>0.21796218487394958</v>
      </c>
      <c r="E136" s="52">
        <f t="shared" si="71"/>
        <v>0.29779411764705882</v>
      </c>
      <c r="F136" s="52">
        <f t="shared" si="71"/>
        <v>0.14600840336134455</v>
      </c>
      <c r="G136" s="52">
        <f t="shared" si="71"/>
        <v>0.10714285714285714</v>
      </c>
      <c r="H136" s="52">
        <f t="shared" si="71"/>
        <v>5.3571428571428568E-2</v>
      </c>
      <c r="I136" s="52">
        <f t="shared" si="71"/>
        <v>2.6785714285714284E-2</v>
      </c>
      <c r="J136" s="52">
        <f t="shared" si="71"/>
        <v>1.8382352941176471E-2</v>
      </c>
      <c r="K136" s="52">
        <f t="shared" si="71"/>
        <v>4.6743697478991597E-2</v>
      </c>
      <c r="L136" s="52">
        <f t="shared" si="71"/>
        <v>0</v>
      </c>
      <c r="M136" s="53">
        <f>IFERROR(M129/SUM($M129:$V129),"-")</f>
        <v>0.14978291538621377</v>
      </c>
      <c r="N136" s="52">
        <f t="shared" ref="N136:V136" si="72">IFERROR(N129/SUM($M129:$V129),"-")</f>
        <v>0.14049803694266122</v>
      </c>
      <c r="O136" s="52">
        <f t="shared" si="72"/>
        <v>0.10966874090924005</v>
      </c>
      <c r="P136" s="52">
        <f t="shared" si="72"/>
        <v>6.5901858069313965E-2</v>
      </c>
      <c r="Q136" s="52">
        <f t="shared" si="72"/>
        <v>3.045746344557574E-2</v>
      </c>
      <c r="R136" s="52">
        <f t="shared" si="72"/>
        <v>1.6021610035105372E-2</v>
      </c>
      <c r="S136" s="52">
        <f t="shared" si="72"/>
        <v>1.0225396165749844E-2</v>
      </c>
      <c r="T136" s="52">
        <f t="shared" si="72"/>
        <v>5.5118713021795954E-3</v>
      </c>
      <c r="U136" s="52">
        <f t="shared" si="72"/>
        <v>0.47193210774396044</v>
      </c>
      <c r="V136" s="52">
        <f t="shared" si="72"/>
        <v>0</v>
      </c>
    </row>
    <row r="137" spans="1:32" x14ac:dyDescent="0.35">
      <c r="B137" s="124" t="s">
        <v>56</v>
      </c>
      <c r="C137" s="54">
        <f t="shared" ref="C137:L137" si="73">IFERROR(C130/SUM($C130:$L130),"-")</f>
        <v>1.1858559724018974E-2</v>
      </c>
      <c r="D137" s="46">
        <f t="shared" si="73"/>
        <v>1.6817593790426907E-2</v>
      </c>
      <c r="E137" s="46">
        <f t="shared" si="73"/>
        <v>3.7516170763260026E-2</v>
      </c>
      <c r="F137" s="46">
        <f t="shared" si="73"/>
        <v>3.7947391116860713E-2</v>
      </c>
      <c r="G137" s="46">
        <f t="shared" si="73"/>
        <v>1.7033203967227253E-2</v>
      </c>
      <c r="H137" s="46">
        <f t="shared" si="73"/>
        <v>2.5657611039241052E-2</v>
      </c>
      <c r="I137" s="46">
        <f t="shared" si="73"/>
        <v>1.6601983613626563E-2</v>
      </c>
      <c r="J137" s="46">
        <f t="shared" si="73"/>
        <v>4.3122035360068997E-4</v>
      </c>
      <c r="K137" s="46">
        <f t="shared" si="73"/>
        <v>0.83613626563173782</v>
      </c>
      <c r="L137" s="46">
        <f t="shared" si="73"/>
        <v>0</v>
      </c>
      <c r="M137" s="54">
        <f t="shared" ref="M137:V137" si="74">IFERROR(M130/SUM($M130:$V130),"-")</f>
        <v>0.11715031806859602</v>
      </c>
      <c r="N137" s="46">
        <f t="shared" si="74"/>
        <v>8.9543737753613226E-2</v>
      </c>
      <c r="O137" s="46">
        <f t="shared" si="74"/>
        <v>7.255499050911543E-2</v>
      </c>
      <c r="P137" s="46">
        <f t="shared" si="74"/>
        <v>4.9072884073124622E-2</v>
      </c>
      <c r="Q137" s="46">
        <f t="shared" si="74"/>
        <v>2.2968518860443925E-2</v>
      </c>
      <c r="R137" s="46">
        <f t="shared" si="74"/>
        <v>1.4912816176428733E-2</v>
      </c>
      <c r="S137" s="46">
        <f t="shared" si="74"/>
        <v>8.4417693022031011E-3</v>
      </c>
      <c r="T137" s="46">
        <f t="shared" si="74"/>
        <v>4.1086621016705105E-3</v>
      </c>
      <c r="U137" s="46">
        <f t="shared" si="74"/>
        <v>0.5946922712731918</v>
      </c>
      <c r="V137" s="46">
        <f t="shared" si="74"/>
        <v>2.6554031881612601E-2</v>
      </c>
    </row>
    <row r="138" spans="1:32" x14ac:dyDescent="0.35">
      <c r="B138" s="123" t="s">
        <v>57</v>
      </c>
      <c r="C138" s="53">
        <f t="shared" ref="C138:L138" si="75">IFERROR(C131/SUM($C131:$L131),"-")</f>
        <v>0</v>
      </c>
      <c r="D138" s="52">
        <f t="shared" si="75"/>
        <v>0</v>
      </c>
      <c r="E138" s="52">
        <f t="shared" si="75"/>
        <v>0</v>
      </c>
      <c r="F138" s="52">
        <f t="shared" si="75"/>
        <v>0</v>
      </c>
      <c r="G138" s="52">
        <f t="shared" si="75"/>
        <v>0</v>
      </c>
      <c r="H138" s="52">
        <f t="shared" si="75"/>
        <v>0</v>
      </c>
      <c r="I138" s="52">
        <f t="shared" si="75"/>
        <v>0</v>
      </c>
      <c r="J138" s="52">
        <f t="shared" si="75"/>
        <v>0</v>
      </c>
      <c r="K138" s="52">
        <f t="shared" si="75"/>
        <v>1</v>
      </c>
      <c r="L138" s="52">
        <f t="shared" si="75"/>
        <v>0</v>
      </c>
      <c r="M138" s="53">
        <f t="shared" ref="M138:V138" si="76">IFERROR(M131/SUM($M131:$V131),"-")</f>
        <v>0.10958110863708599</v>
      </c>
      <c r="N138" s="52">
        <f t="shared" si="76"/>
        <v>9.4310098981694152E-2</v>
      </c>
      <c r="O138" s="52">
        <f t="shared" si="76"/>
        <v>7.1407780654350772E-2</v>
      </c>
      <c r="P138" s="52">
        <f t="shared" si="76"/>
        <v>4.6627083180582646E-2</v>
      </c>
      <c r="Q138" s="52">
        <f t="shared" si="76"/>
        <v>2.2454528564337387E-2</v>
      </c>
      <c r="R138" s="52">
        <f t="shared" si="76"/>
        <v>9.5597419618983805E-3</v>
      </c>
      <c r="S138" s="52">
        <f t="shared" si="76"/>
        <v>5.4034496971031194E-3</v>
      </c>
      <c r="T138" s="52">
        <f t="shared" si="76"/>
        <v>2.7559751478180156E-3</v>
      </c>
      <c r="U138" s="52">
        <f t="shared" si="76"/>
        <v>0.61434481317871636</v>
      </c>
      <c r="V138" s="52">
        <f t="shared" si="76"/>
        <v>2.3555419996413033E-2</v>
      </c>
    </row>
    <row r="139" spans="1:32" x14ac:dyDescent="0.35">
      <c r="B139" s="124" t="s">
        <v>58</v>
      </c>
      <c r="C139" s="54">
        <f t="shared" ref="C139:L139" si="77">IFERROR(C132/SUM($C132:$L132),"-")</f>
        <v>0</v>
      </c>
      <c r="D139" s="46">
        <f t="shared" si="77"/>
        <v>0</v>
      </c>
      <c r="E139" s="46">
        <f t="shared" si="77"/>
        <v>0</v>
      </c>
      <c r="F139" s="46">
        <f t="shared" si="77"/>
        <v>0</v>
      </c>
      <c r="G139" s="46">
        <f t="shared" si="77"/>
        <v>0</v>
      </c>
      <c r="H139" s="46">
        <f t="shared" si="77"/>
        <v>0</v>
      </c>
      <c r="I139" s="46">
        <f t="shared" si="77"/>
        <v>0</v>
      </c>
      <c r="J139" s="46">
        <f t="shared" si="77"/>
        <v>0</v>
      </c>
      <c r="K139" s="46">
        <f t="shared" si="77"/>
        <v>1</v>
      </c>
      <c r="L139" s="46">
        <f t="shared" si="77"/>
        <v>0</v>
      </c>
      <c r="M139" s="54">
        <f t="shared" ref="M139:V139" si="78">IFERROR(M132/SUM($M132:$V132),"-")</f>
        <v>8.9666253799075724E-2</v>
      </c>
      <c r="N139" s="46">
        <f t="shared" si="78"/>
        <v>9.8308804141166023E-2</v>
      </c>
      <c r="O139" s="46">
        <f t="shared" si="78"/>
        <v>8.2896699834852969E-2</v>
      </c>
      <c r="P139" s="46">
        <f t="shared" si="78"/>
        <v>5.9661535312322191E-2</v>
      </c>
      <c r="Q139" s="46">
        <f t="shared" si="78"/>
        <v>2.9019647640062728E-2</v>
      </c>
      <c r="R139" s="46">
        <f t="shared" si="78"/>
        <v>1.7583128634275642E-2</v>
      </c>
      <c r="S139" s="46">
        <f t="shared" si="78"/>
        <v>1.0269994587618136E-2</v>
      </c>
      <c r="T139" s="46">
        <f t="shared" si="78"/>
        <v>3.1675444439818478E-3</v>
      </c>
      <c r="U139" s="46">
        <f t="shared" si="78"/>
        <v>0.44784424136447537</v>
      </c>
      <c r="V139" s="46">
        <f t="shared" si="78"/>
        <v>0.1615821502421694</v>
      </c>
    </row>
    <row r="140" spans="1:32" x14ac:dyDescent="0.35">
      <c r="B140" s="123" t="s">
        <v>59</v>
      </c>
      <c r="C140" s="53">
        <f t="shared" ref="C140:L140" si="79">IFERROR(C133/SUM($C133:$L133),"-")</f>
        <v>0</v>
      </c>
      <c r="D140" s="52">
        <f t="shared" si="79"/>
        <v>0</v>
      </c>
      <c r="E140" s="52">
        <f t="shared" si="79"/>
        <v>0</v>
      </c>
      <c r="F140" s="52">
        <f t="shared" si="79"/>
        <v>0</v>
      </c>
      <c r="G140" s="52">
        <f t="shared" si="79"/>
        <v>0</v>
      </c>
      <c r="H140" s="52">
        <f t="shared" si="79"/>
        <v>0</v>
      </c>
      <c r="I140" s="52">
        <f t="shared" si="79"/>
        <v>0</v>
      </c>
      <c r="J140" s="52">
        <f t="shared" si="79"/>
        <v>0</v>
      </c>
      <c r="K140" s="52">
        <f t="shared" si="79"/>
        <v>1</v>
      </c>
      <c r="L140" s="52">
        <f t="shared" si="79"/>
        <v>0</v>
      </c>
      <c r="M140" s="53">
        <f t="shared" ref="M140:V140" si="80">IFERROR(M133/SUM($M133:$V133),"-")</f>
        <v>6.7909544651098858E-2</v>
      </c>
      <c r="N140" s="52">
        <f t="shared" si="80"/>
        <v>6.0392806044786709E-2</v>
      </c>
      <c r="O140" s="52">
        <f t="shared" si="80"/>
        <v>6.8076452282521793E-2</v>
      </c>
      <c r="P140" s="52">
        <f t="shared" si="80"/>
        <v>4.392627513801179E-2</v>
      </c>
      <c r="Q140" s="52">
        <f t="shared" si="80"/>
        <v>2.6474203180204218E-2</v>
      </c>
      <c r="R140" s="52">
        <f t="shared" si="80"/>
        <v>1.6854354728059531E-2</v>
      </c>
      <c r="S140" s="52">
        <f t="shared" si="80"/>
        <v>1.4706416857599051E-2</v>
      </c>
      <c r="T140" s="52">
        <f t="shared" si="80"/>
        <v>6.855126089406049E-3</v>
      </c>
      <c r="U140" s="52">
        <f t="shared" si="80"/>
        <v>0.69026675113789426</v>
      </c>
      <c r="V140" s="52">
        <f t="shared" si="80"/>
        <v>4.5380698904176854E-3</v>
      </c>
    </row>
    <row r="141" spans="1:32" ht="15" thickBot="1" x14ac:dyDescent="0.4">
      <c r="B141" s="303" t="s">
        <v>60</v>
      </c>
      <c r="C141" s="84">
        <f t="shared" ref="C141:L141" si="81">IFERROR(C134/SUM($C134:$L134),"-")</f>
        <v>0</v>
      </c>
      <c r="D141" s="84">
        <f t="shared" si="81"/>
        <v>0</v>
      </c>
      <c r="E141" s="84">
        <f t="shared" si="81"/>
        <v>1.825442099258414E-2</v>
      </c>
      <c r="F141" s="84">
        <f t="shared" si="81"/>
        <v>2.167712492869367E-2</v>
      </c>
      <c r="G141" s="84">
        <f t="shared" si="81"/>
        <v>1.4831717056474614E-2</v>
      </c>
      <c r="H141" s="84">
        <f t="shared" si="81"/>
        <v>1.1409013120365089E-2</v>
      </c>
      <c r="I141" s="84">
        <f t="shared" si="81"/>
        <v>1.540216771249287E-2</v>
      </c>
      <c r="J141" s="84">
        <f t="shared" si="81"/>
        <v>4.5636052481460351E-3</v>
      </c>
      <c r="K141" s="84">
        <f t="shared" si="81"/>
        <v>0.91272104962920708</v>
      </c>
      <c r="L141" s="312">
        <f t="shared" si="81"/>
        <v>1.1409013120365088E-3</v>
      </c>
      <c r="M141" s="84">
        <f t="shared" ref="M141:V141" si="82">IFERROR(M134/SUM($M134:$V134),"-")</f>
        <v>9.243108595926107E-2</v>
      </c>
      <c r="N141" s="84">
        <f t="shared" si="82"/>
        <v>7.6637242142827702E-2</v>
      </c>
      <c r="O141" s="84">
        <f t="shared" si="82"/>
        <v>7.9563990978311433E-2</v>
      </c>
      <c r="P141" s="84">
        <f t="shared" si="82"/>
        <v>5.2675590208052389E-2</v>
      </c>
      <c r="Q141" s="84">
        <f t="shared" si="82"/>
        <v>3.0009481017354383E-2</v>
      </c>
      <c r="R141" s="84">
        <f t="shared" si="82"/>
        <v>1.688327748758929E-2</v>
      </c>
      <c r="S141" s="84">
        <f t="shared" si="82"/>
        <v>1.5528846436963012E-2</v>
      </c>
      <c r="T141" s="84">
        <f t="shared" si="82"/>
        <v>8.7331358612120387E-3</v>
      </c>
      <c r="U141" s="84">
        <f t="shared" si="82"/>
        <v>0.55590561382226333</v>
      </c>
      <c r="V141" s="84">
        <f t="shared" si="82"/>
        <v>7.1631736086165368E-2</v>
      </c>
    </row>
    <row r="142" spans="1:32" x14ac:dyDescent="0.35">
      <c r="C142" s="15"/>
      <c r="D142" s="15"/>
      <c r="E142" s="15"/>
      <c r="F142" s="15"/>
      <c r="G142" s="15"/>
      <c r="H142" s="15"/>
      <c r="I142" s="15"/>
      <c r="J142" s="15"/>
    </row>
    <row r="143" spans="1:32" ht="16.5" x14ac:dyDescent="0.35">
      <c r="A143" t="s">
        <v>102</v>
      </c>
    </row>
    <row r="144" spans="1:32" x14ac:dyDescent="0.35">
      <c r="A144" s="5"/>
      <c r="R144" s="15"/>
      <c r="S144" s="15"/>
      <c r="T144" s="15"/>
      <c r="U144" s="15"/>
      <c r="V144" s="15"/>
      <c r="W144" s="15"/>
      <c r="X144" s="15"/>
      <c r="Y144" s="15"/>
      <c r="Z144" s="15"/>
      <c r="AA144" s="15"/>
      <c r="AB144" s="15"/>
      <c r="AC144" s="15"/>
      <c r="AD144" s="15"/>
      <c r="AE144" s="15"/>
      <c r="AF144" s="15"/>
    </row>
    <row r="145" spans="2:36" x14ac:dyDescent="0.35">
      <c r="C145" s="398" t="str">
        <f>$A$1</f>
        <v>Midlothian</v>
      </c>
      <c r="D145" s="399"/>
      <c r="E145" s="399"/>
      <c r="F145" s="399"/>
      <c r="G145" s="399"/>
      <c r="H145" s="399"/>
      <c r="I145" s="399"/>
      <c r="J145" s="399"/>
      <c r="K145" s="399"/>
      <c r="L145" s="399"/>
      <c r="M145" s="399"/>
      <c r="N145" s="399"/>
      <c r="O145" s="399"/>
      <c r="P145" s="399"/>
      <c r="Q145" s="399"/>
      <c r="R145" s="399"/>
      <c r="S145" s="400"/>
      <c r="T145" s="398" t="s">
        <v>46</v>
      </c>
      <c r="U145" s="399"/>
      <c r="V145" s="399"/>
      <c r="W145" s="399"/>
      <c r="X145" s="399"/>
      <c r="Y145" s="399"/>
      <c r="Z145" s="399"/>
      <c r="AA145" s="399"/>
      <c r="AB145" s="399"/>
      <c r="AC145" s="399"/>
      <c r="AD145" s="399"/>
      <c r="AE145" s="399"/>
      <c r="AF145" s="399"/>
      <c r="AG145" s="399"/>
      <c r="AH145" s="399"/>
      <c r="AI145" s="399"/>
      <c r="AJ145" s="399"/>
    </row>
    <row r="146" spans="2:36" ht="15" customHeight="1" x14ac:dyDescent="0.35">
      <c r="B146" s="7"/>
      <c r="C146" s="408" t="s">
        <v>103</v>
      </c>
      <c r="D146" s="409"/>
      <c r="E146" s="409"/>
      <c r="F146" s="409"/>
      <c r="G146" s="409"/>
      <c r="H146" s="409"/>
      <c r="I146" s="409"/>
      <c r="J146" s="410"/>
      <c r="K146" s="409" t="s">
        <v>104</v>
      </c>
      <c r="L146" s="409"/>
      <c r="M146" s="409"/>
      <c r="N146" s="409"/>
      <c r="O146" s="409"/>
      <c r="P146" s="409"/>
      <c r="Q146" s="409"/>
      <c r="R146" s="266"/>
      <c r="S146" s="15"/>
      <c r="T146" s="408" t="s">
        <v>103</v>
      </c>
      <c r="U146" s="409"/>
      <c r="V146" s="409"/>
      <c r="W146" s="409"/>
      <c r="X146" s="409"/>
      <c r="Y146" s="409"/>
      <c r="Z146" s="409"/>
      <c r="AA146" s="410"/>
      <c r="AB146" s="409" t="s">
        <v>104</v>
      </c>
      <c r="AC146" s="409"/>
      <c r="AD146" s="409"/>
      <c r="AE146" s="409"/>
      <c r="AF146" s="409"/>
      <c r="AG146" s="409"/>
      <c r="AH146" s="409"/>
      <c r="AI146" s="266"/>
      <c r="AJ146" s="15"/>
    </row>
    <row r="147" spans="2:36" ht="15" customHeight="1" x14ac:dyDescent="0.35">
      <c r="B147" s="7"/>
      <c r="C147" s="403" t="s">
        <v>105</v>
      </c>
      <c r="D147" s="404"/>
      <c r="E147" s="404"/>
      <c r="F147" s="404"/>
      <c r="G147" s="404" t="s">
        <v>106</v>
      </c>
      <c r="H147" s="404"/>
      <c r="I147" s="404"/>
      <c r="J147" s="9"/>
      <c r="K147" s="397" t="s">
        <v>107</v>
      </c>
      <c r="L147" s="397"/>
      <c r="M147" s="397"/>
      <c r="N147" s="397" t="s">
        <v>108</v>
      </c>
      <c r="O147" s="397"/>
      <c r="P147" s="397"/>
      <c r="Q147" s="7"/>
      <c r="R147" s="266"/>
      <c r="S147" s="15"/>
      <c r="T147" s="403" t="s">
        <v>105</v>
      </c>
      <c r="U147" s="404"/>
      <c r="V147" s="404"/>
      <c r="W147" s="404"/>
      <c r="X147" s="404" t="s">
        <v>106</v>
      </c>
      <c r="Y147" s="404"/>
      <c r="Z147" s="404"/>
      <c r="AA147" s="9"/>
      <c r="AB147" s="397" t="s">
        <v>107</v>
      </c>
      <c r="AC147" s="397"/>
      <c r="AD147" s="397"/>
      <c r="AE147" s="397" t="s">
        <v>108</v>
      </c>
      <c r="AF147" s="397"/>
      <c r="AG147" s="397"/>
      <c r="AH147" s="7"/>
      <c r="AI147" s="266"/>
      <c r="AJ147" s="15"/>
    </row>
    <row r="148" spans="2:36" ht="66" thickBot="1" x14ac:dyDescent="0.4">
      <c r="B148" s="8" t="s">
        <v>42</v>
      </c>
      <c r="C148" s="97" t="s">
        <v>109</v>
      </c>
      <c r="D148" s="98" t="s">
        <v>110</v>
      </c>
      <c r="E148" s="98" t="s">
        <v>111</v>
      </c>
      <c r="F148" s="99" t="s">
        <v>112</v>
      </c>
      <c r="G148" s="100" t="s">
        <v>113</v>
      </c>
      <c r="H148" s="98" t="s">
        <v>114</v>
      </c>
      <c r="I148" s="101" t="s">
        <v>115</v>
      </c>
      <c r="J148" s="102" t="s">
        <v>116</v>
      </c>
      <c r="K148" s="98" t="s">
        <v>117</v>
      </c>
      <c r="L148" s="98" t="s">
        <v>118</v>
      </c>
      <c r="M148" s="99" t="s">
        <v>119</v>
      </c>
      <c r="N148" s="100" t="s">
        <v>120</v>
      </c>
      <c r="O148" s="98" t="s">
        <v>121</v>
      </c>
      <c r="P148" s="101" t="s">
        <v>122</v>
      </c>
      <c r="Q148" s="103" t="s">
        <v>123</v>
      </c>
      <c r="R148" s="267" t="s">
        <v>81</v>
      </c>
      <c r="S148" s="103" t="s">
        <v>50</v>
      </c>
      <c r="T148" s="97" t="s">
        <v>109</v>
      </c>
      <c r="U148" s="98" t="s">
        <v>110</v>
      </c>
      <c r="V148" s="98" t="s">
        <v>111</v>
      </c>
      <c r="W148" s="99" t="s">
        <v>112</v>
      </c>
      <c r="X148" s="100" t="s">
        <v>113</v>
      </c>
      <c r="Y148" s="98" t="s">
        <v>114</v>
      </c>
      <c r="Z148" s="101" t="s">
        <v>115</v>
      </c>
      <c r="AA148" s="102" t="s">
        <v>116</v>
      </c>
      <c r="AB148" s="98" t="s">
        <v>117</v>
      </c>
      <c r="AC148" s="98" t="s">
        <v>118</v>
      </c>
      <c r="AD148" s="99" t="s">
        <v>119</v>
      </c>
      <c r="AE148" s="100" t="s">
        <v>120</v>
      </c>
      <c r="AF148" s="98" t="s">
        <v>121</v>
      </c>
      <c r="AG148" s="101" t="s">
        <v>122</v>
      </c>
      <c r="AH148" s="103" t="s">
        <v>123</v>
      </c>
      <c r="AI148" s="267" t="s">
        <v>81</v>
      </c>
      <c r="AJ148" s="103" t="s">
        <v>50</v>
      </c>
    </row>
    <row r="149" spans="2:36" x14ac:dyDescent="0.35">
      <c r="B149" s="75" t="s">
        <v>76</v>
      </c>
      <c r="C149" s="86"/>
      <c r="D149" s="87"/>
      <c r="E149" s="87"/>
      <c r="F149" s="88"/>
      <c r="G149" s="89"/>
      <c r="H149" s="87"/>
      <c r="I149" s="90"/>
      <c r="J149" s="201"/>
      <c r="K149" s="87"/>
      <c r="L149" s="87"/>
      <c r="M149" s="88"/>
      <c r="N149" s="89"/>
      <c r="O149" s="87"/>
      <c r="P149" s="90"/>
      <c r="Q149" s="160"/>
      <c r="R149" s="152"/>
      <c r="S149" s="160"/>
      <c r="T149" s="86"/>
      <c r="U149" s="87"/>
      <c r="V149" s="87"/>
      <c r="W149" s="88"/>
      <c r="X149" s="89"/>
      <c r="Y149" s="87"/>
      <c r="Z149" s="90"/>
      <c r="AA149" s="201"/>
      <c r="AB149" s="87"/>
      <c r="AC149" s="87"/>
      <c r="AD149" s="88"/>
      <c r="AE149" s="89"/>
      <c r="AF149" s="87"/>
      <c r="AG149" s="90"/>
      <c r="AH149" s="160"/>
      <c r="AI149" s="152"/>
      <c r="AJ149" s="160"/>
    </row>
    <row r="150" spans="2:36" x14ac:dyDescent="0.35">
      <c r="B150" s="123" t="s">
        <v>56</v>
      </c>
      <c r="C150" s="69">
        <v>184</v>
      </c>
      <c r="D150" s="70">
        <v>67</v>
      </c>
      <c r="E150" s="70">
        <v>158</v>
      </c>
      <c r="F150" s="93">
        <v>409</v>
      </c>
      <c r="G150" s="91">
        <v>256</v>
      </c>
      <c r="H150" s="70">
        <v>21</v>
      </c>
      <c r="I150" s="95">
        <v>277</v>
      </c>
      <c r="J150" s="378">
        <f>SUM(F150,I150)</f>
        <v>686</v>
      </c>
      <c r="K150" s="70">
        <v>455</v>
      </c>
      <c r="L150" s="70">
        <v>144</v>
      </c>
      <c r="M150" s="379">
        <f>SUM(K150:L150)</f>
        <v>599</v>
      </c>
      <c r="N150" s="91">
        <v>462</v>
      </c>
      <c r="O150" s="70">
        <v>256</v>
      </c>
      <c r="P150" s="380">
        <f>SUM(N150:O150)</f>
        <v>718</v>
      </c>
      <c r="Q150" s="381">
        <f>SUM(M150,P150)</f>
        <v>1317</v>
      </c>
      <c r="R150" s="382">
        <v>2498</v>
      </c>
      <c r="S150" s="381">
        <v>137</v>
      </c>
      <c r="T150" s="69">
        <v>8123.1750000000002</v>
      </c>
      <c r="U150" s="70">
        <v>747</v>
      </c>
      <c r="V150" s="70">
        <v>555.81500000000005</v>
      </c>
      <c r="W150" s="93">
        <v>13030.99</v>
      </c>
      <c r="X150" s="91">
        <v>7376.0569999999998</v>
      </c>
      <c r="Y150" s="70">
        <v>1035.5999999999999</v>
      </c>
      <c r="Z150" s="95">
        <v>12002.656999999999</v>
      </c>
      <c r="AA150" s="378">
        <f>SUM(W150,Z150)</f>
        <v>25033.646999999997</v>
      </c>
      <c r="AB150" s="70">
        <v>34748.427000000003</v>
      </c>
      <c r="AC150" s="70">
        <v>4475.6959999999999</v>
      </c>
      <c r="AD150" s="379">
        <f>SUM(AB150:AC150)</f>
        <v>39224.123000000007</v>
      </c>
      <c r="AE150" s="91">
        <v>16484.688999999998</v>
      </c>
      <c r="AF150" s="70">
        <v>6038.2250000000004</v>
      </c>
      <c r="AG150" s="380">
        <f>SUM(AE150:AF150)</f>
        <v>22522.913999999997</v>
      </c>
      <c r="AH150" s="381">
        <f>SUM(AD150,AG150)</f>
        <v>61747.037000000004</v>
      </c>
      <c r="AI150" s="382">
        <v>84337.77</v>
      </c>
      <c r="AJ150" s="381">
        <v>10421.754999999999</v>
      </c>
    </row>
    <row r="151" spans="2:36" x14ac:dyDescent="0.35">
      <c r="B151" s="124" t="s">
        <v>57</v>
      </c>
      <c r="C151" s="72">
        <v>0</v>
      </c>
      <c r="D151" s="73">
        <v>0</v>
      </c>
      <c r="E151" s="73">
        <v>0</v>
      </c>
      <c r="F151" s="165">
        <v>312</v>
      </c>
      <c r="G151" s="166">
        <v>0</v>
      </c>
      <c r="H151" s="73">
        <v>0</v>
      </c>
      <c r="I151" s="167">
        <v>377</v>
      </c>
      <c r="J151" s="383">
        <f t="shared" ref="J151:J154" si="83">SUM(F151,I151)</f>
        <v>689</v>
      </c>
      <c r="K151" s="73">
        <v>454</v>
      </c>
      <c r="L151" s="73">
        <v>97</v>
      </c>
      <c r="M151" s="384">
        <f t="shared" ref="M151:M154" si="84">SUM(K151:L151)</f>
        <v>551</v>
      </c>
      <c r="N151" s="166">
        <v>459</v>
      </c>
      <c r="O151" s="73">
        <v>197</v>
      </c>
      <c r="P151" s="385">
        <f t="shared" ref="P151:P154" si="85">SUM(N151:O151)</f>
        <v>656</v>
      </c>
      <c r="Q151" s="386">
        <f t="shared" ref="Q151:Q154" si="86">SUM(M151,P151)</f>
        <v>1207</v>
      </c>
      <c r="R151" s="387">
        <v>1509</v>
      </c>
      <c r="S151" s="386">
        <v>47</v>
      </c>
      <c r="T151" s="72">
        <v>2379</v>
      </c>
      <c r="U151" s="73">
        <v>220</v>
      </c>
      <c r="V151" s="73">
        <v>347</v>
      </c>
      <c r="W151" s="165">
        <v>14265.74</v>
      </c>
      <c r="X151" s="166">
        <v>2646</v>
      </c>
      <c r="Y151" s="73">
        <v>573</v>
      </c>
      <c r="Z151" s="167">
        <v>15043.915000000001</v>
      </c>
      <c r="AA151" s="383">
        <f t="shared" ref="AA151:AA154" si="87">SUM(W151,Z151)</f>
        <v>29309.654999999999</v>
      </c>
      <c r="AB151" s="73">
        <v>42961.415000000001</v>
      </c>
      <c r="AC151" s="73">
        <v>6355.1549999999997</v>
      </c>
      <c r="AD151" s="384">
        <f t="shared" ref="AD151:AD154" si="88">SUM(AB151:AC151)</f>
        <v>49316.57</v>
      </c>
      <c r="AE151" s="166">
        <v>19132.064999999999</v>
      </c>
      <c r="AF151" s="73">
        <v>8705.7250000000004</v>
      </c>
      <c r="AG151" s="385">
        <f t="shared" ref="AG151:AG154" si="89">SUM(AE151:AF151)</f>
        <v>27837.79</v>
      </c>
      <c r="AH151" s="386">
        <f t="shared" ref="AH151:AH154" si="90">SUM(AD151,AG151)</f>
        <v>77154.36</v>
      </c>
      <c r="AI151" s="387">
        <v>42018.83</v>
      </c>
      <c r="AJ151" s="386">
        <v>2397</v>
      </c>
    </row>
    <row r="152" spans="2:36" x14ac:dyDescent="0.35">
      <c r="B152" s="123" t="s">
        <v>58</v>
      </c>
      <c r="C152" s="69">
        <v>0</v>
      </c>
      <c r="D152" s="70">
        <v>0</v>
      </c>
      <c r="E152" s="70">
        <v>0</v>
      </c>
      <c r="F152" s="93">
        <v>374</v>
      </c>
      <c r="G152" s="91">
        <v>0</v>
      </c>
      <c r="H152" s="70">
        <v>0</v>
      </c>
      <c r="I152" s="95">
        <v>474</v>
      </c>
      <c r="J152" s="378">
        <f t="shared" si="83"/>
        <v>848</v>
      </c>
      <c r="K152" s="70">
        <v>528</v>
      </c>
      <c r="L152" s="70">
        <v>113</v>
      </c>
      <c r="M152" s="379">
        <f t="shared" si="84"/>
        <v>641</v>
      </c>
      <c r="N152" s="91">
        <v>537</v>
      </c>
      <c r="O152" s="70">
        <v>193</v>
      </c>
      <c r="P152" s="380">
        <f t="shared" si="85"/>
        <v>730</v>
      </c>
      <c r="Q152" s="381">
        <f t="shared" si="86"/>
        <v>1371</v>
      </c>
      <c r="R152" s="382">
        <v>1879</v>
      </c>
      <c r="S152" s="381">
        <v>220</v>
      </c>
      <c r="T152" s="69">
        <v>3988.99</v>
      </c>
      <c r="U152" s="70">
        <v>1068.1600000000001</v>
      </c>
      <c r="V152" s="70">
        <v>812.22</v>
      </c>
      <c r="W152" s="93">
        <v>17188.150000000001</v>
      </c>
      <c r="X152" s="91">
        <v>3174.78</v>
      </c>
      <c r="Y152" s="70">
        <v>557.02</v>
      </c>
      <c r="Z152" s="95">
        <v>17643.61</v>
      </c>
      <c r="AA152" s="378">
        <f t="shared" si="87"/>
        <v>34831.760000000002</v>
      </c>
      <c r="AB152" s="70">
        <v>48757.13</v>
      </c>
      <c r="AC152" s="70">
        <v>5890.11</v>
      </c>
      <c r="AD152" s="379">
        <f t="shared" si="88"/>
        <v>54647.24</v>
      </c>
      <c r="AE152" s="91">
        <v>22058.71</v>
      </c>
      <c r="AF152" s="70">
        <v>7272.8</v>
      </c>
      <c r="AG152" s="380">
        <f t="shared" si="89"/>
        <v>29331.51</v>
      </c>
      <c r="AH152" s="381">
        <f t="shared" si="90"/>
        <v>83978.75</v>
      </c>
      <c r="AI152" s="382">
        <v>74343.600000000006</v>
      </c>
      <c r="AJ152" s="381">
        <v>6593.7</v>
      </c>
    </row>
    <row r="153" spans="2:36" x14ac:dyDescent="0.35">
      <c r="B153" s="124" t="s">
        <v>59</v>
      </c>
      <c r="C153" s="72">
        <v>0</v>
      </c>
      <c r="D153" s="73">
        <v>0</v>
      </c>
      <c r="E153" s="73">
        <v>0</v>
      </c>
      <c r="F153" s="165">
        <v>452</v>
      </c>
      <c r="G153" s="166">
        <v>387</v>
      </c>
      <c r="H153" s="73">
        <v>64</v>
      </c>
      <c r="I153" s="167">
        <v>451</v>
      </c>
      <c r="J153" s="383">
        <f t="shared" si="83"/>
        <v>903</v>
      </c>
      <c r="K153" s="73">
        <v>599</v>
      </c>
      <c r="L153" s="73">
        <v>119</v>
      </c>
      <c r="M153" s="384">
        <f t="shared" si="84"/>
        <v>718</v>
      </c>
      <c r="N153" s="166">
        <v>522</v>
      </c>
      <c r="O153" s="73">
        <v>202</v>
      </c>
      <c r="P153" s="385">
        <f t="shared" si="85"/>
        <v>724</v>
      </c>
      <c r="Q153" s="386">
        <f t="shared" si="86"/>
        <v>1442</v>
      </c>
      <c r="R153" s="387">
        <v>2041</v>
      </c>
      <c r="S153" s="386">
        <v>406</v>
      </c>
      <c r="T153" s="72">
        <v>1947.97</v>
      </c>
      <c r="U153" s="73">
        <v>631.44000000000005</v>
      </c>
      <c r="V153" s="73">
        <v>354.93</v>
      </c>
      <c r="W153" s="165">
        <v>17226.6924</v>
      </c>
      <c r="X153" s="166">
        <v>4393.8450000000003</v>
      </c>
      <c r="Y153" s="73">
        <v>1465.3</v>
      </c>
      <c r="Z153" s="167">
        <v>16461.379200000003</v>
      </c>
      <c r="AA153" s="383">
        <f t="shared" si="87"/>
        <v>33688.071600000003</v>
      </c>
      <c r="AB153" s="73">
        <v>56446.138200000001</v>
      </c>
      <c r="AC153" s="73">
        <v>6480.6152000000002</v>
      </c>
      <c r="AD153" s="384">
        <f t="shared" si="88"/>
        <v>62926.753400000001</v>
      </c>
      <c r="AE153" s="166">
        <v>18603.768199999999</v>
      </c>
      <c r="AF153" s="73">
        <v>7324.6827999999996</v>
      </c>
      <c r="AG153" s="385">
        <f t="shared" si="89"/>
        <v>25928.450999999997</v>
      </c>
      <c r="AH153" s="386">
        <f t="shared" si="90"/>
        <v>88855.204400000002</v>
      </c>
      <c r="AI153" s="387">
        <v>72464.784</v>
      </c>
      <c r="AJ153" s="386">
        <v>4179.8789999999999</v>
      </c>
    </row>
    <row r="154" spans="2:36" x14ac:dyDescent="0.35">
      <c r="B154" s="41" t="s">
        <v>60</v>
      </c>
      <c r="C154" s="76">
        <v>0</v>
      </c>
      <c r="D154" s="77">
        <v>0</v>
      </c>
      <c r="E154" s="77">
        <v>0</v>
      </c>
      <c r="F154" s="314">
        <v>655</v>
      </c>
      <c r="G154" s="315">
        <v>421</v>
      </c>
      <c r="H154" s="77">
        <v>114</v>
      </c>
      <c r="I154" s="316">
        <v>535</v>
      </c>
      <c r="J154" s="388">
        <f t="shared" si="83"/>
        <v>1190</v>
      </c>
      <c r="K154" s="77">
        <v>739</v>
      </c>
      <c r="L154" s="77">
        <v>275</v>
      </c>
      <c r="M154" s="389">
        <f t="shared" si="84"/>
        <v>1014</v>
      </c>
      <c r="N154" s="315">
        <v>572</v>
      </c>
      <c r="O154" s="77">
        <v>321</v>
      </c>
      <c r="P154" s="390">
        <f t="shared" si="85"/>
        <v>893</v>
      </c>
      <c r="Q154" s="391">
        <f t="shared" si="86"/>
        <v>1907</v>
      </c>
      <c r="R154" s="392">
        <v>2537</v>
      </c>
      <c r="S154" s="391">
        <v>246</v>
      </c>
      <c r="T154" s="76">
        <v>6482</v>
      </c>
      <c r="U154" s="77">
        <v>743</v>
      </c>
      <c r="V154" s="77">
        <v>306</v>
      </c>
      <c r="W154" s="314">
        <v>22395</v>
      </c>
      <c r="X154" s="315">
        <v>7526</v>
      </c>
      <c r="Y154" s="77">
        <v>1883</v>
      </c>
      <c r="Z154" s="316">
        <v>20378</v>
      </c>
      <c r="AA154" s="388">
        <f t="shared" si="87"/>
        <v>42773</v>
      </c>
      <c r="AB154" s="77">
        <v>47737</v>
      </c>
      <c r="AC154" s="77">
        <v>9033</v>
      </c>
      <c r="AD154" s="389">
        <f t="shared" si="88"/>
        <v>56770</v>
      </c>
      <c r="AE154" s="315">
        <v>19475</v>
      </c>
      <c r="AF154" s="77">
        <v>11036</v>
      </c>
      <c r="AG154" s="390">
        <f t="shared" si="89"/>
        <v>30511</v>
      </c>
      <c r="AH154" s="391">
        <f t="shared" si="90"/>
        <v>87281</v>
      </c>
      <c r="AI154" s="392">
        <v>84048</v>
      </c>
      <c r="AJ154" s="391">
        <v>7189</v>
      </c>
    </row>
    <row r="155" spans="2:36" x14ac:dyDescent="0.35">
      <c r="B155" s="5" t="s">
        <v>77</v>
      </c>
      <c r="C155" s="86"/>
      <c r="D155" s="87"/>
      <c r="E155" s="87"/>
      <c r="F155" s="88"/>
      <c r="G155" s="89"/>
      <c r="H155" s="87"/>
      <c r="I155" s="90"/>
      <c r="J155" s="201"/>
      <c r="K155" s="87"/>
      <c r="L155" s="87"/>
      <c r="M155" s="88"/>
      <c r="N155" s="89"/>
      <c r="O155" s="87"/>
      <c r="P155" s="90"/>
      <c r="Q155" s="160"/>
      <c r="R155" s="152"/>
      <c r="S155" s="160"/>
      <c r="T155" s="86"/>
      <c r="U155" s="87"/>
      <c r="V155" s="87"/>
      <c r="W155" s="88"/>
      <c r="X155" s="89"/>
      <c r="Y155" s="87"/>
      <c r="Z155" s="90"/>
      <c r="AA155" s="201"/>
      <c r="AB155" s="87"/>
      <c r="AC155" s="87"/>
      <c r="AD155" s="88"/>
      <c r="AE155" s="89"/>
      <c r="AF155" s="87"/>
      <c r="AG155" s="90"/>
      <c r="AH155" s="160"/>
      <c r="AI155" s="152"/>
      <c r="AJ155" s="160"/>
    </row>
    <row r="156" spans="2:36" x14ac:dyDescent="0.35">
      <c r="B156" s="123" t="s">
        <v>56</v>
      </c>
      <c r="C156" s="53">
        <f>IFERROR(C150/SUM($J150,$Q150,$R150,$S150),"-")</f>
        <v>3.9672272531263472E-2</v>
      </c>
      <c r="D156" s="52">
        <f t="shared" ref="D156:F156" si="91">IFERROR(D150/SUM($J150,$Q150,$R150,$S150),"-")</f>
        <v>1.4445881845623114E-2</v>
      </c>
      <c r="E156" s="52">
        <f t="shared" si="91"/>
        <v>3.4066407934454507E-2</v>
      </c>
      <c r="F156" s="94">
        <f t="shared" si="91"/>
        <v>8.81845623113411E-2</v>
      </c>
      <c r="G156" s="92">
        <f t="shared" ref="G156:S156" si="92">IFERROR(G150/SUM($J150,$Q150,$R150,$S150),"-")</f>
        <v>5.5196205260888316E-2</v>
      </c>
      <c r="H156" s="52">
        <f t="shared" si="92"/>
        <v>4.5278137128072441E-3</v>
      </c>
      <c r="I156" s="96">
        <f t="shared" si="92"/>
        <v>5.9724018973695558E-2</v>
      </c>
      <c r="J156" s="250">
        <f t="shared" si="92"/>
        <v>0.14790858128503664</v>
      </c>
      <c r="K156" s="52">
        <f t="shared" si="92"/>
        <v>9.8102630444156957E-2</v>
      </c>
      <c r="L156" s="52">
        <f t="shared" si="92"/>
        <v>3.1047865459249677E-2</v>
      </c>
      <c r="M156" s="94">
        <f t="shared" si="92"/>
        <v>0.12915049590340663</v>
      </c>
      <c r="N156" s="92">
        <f t="shared" si="92"/>
        <v>9.9611901681759374E-2</v>
      </c>
      <c r="O156" s="52">
        <f t="shared" si="92"/>
        <v>5.5196205260888316E-2</v>
      </c>
      <c r="P156" s="96">
        <f t="shared" si="92"/>
        <v>0.15480810694264768</v>
      </c>
      <c r="Q156" s="252">
        <f t="shared" si="92"/>
        <v>0.28395860284605434</v>
      </c>
      <c r="R156" s="268">
        <f t="shared" si="92"/>
        <v>0.53859422164726178</v>
      </c>
      <c r="S156" s="252">
        <f t="shared" si="92"/>
        <v>2.9538594221647261E-2</v>
      </c>
      <c r="T156" s="53">
        <f>IFERROR(T150/SUM($AA150,$AH150,$AI150,$AJ150),"-")</f>
        <v>4.4745872249161059E-2</v>
      </c>
      <c r="U156" s="52">
        <f t="shared" ref="U156:AJ156" si="93">IFERROR(U150/SUM($AA150,$AH150,$AI150,$AJ150),"-")</f>
        <v>4.114790900125051E-3</v>
      </c>
      <c r="V156" s="52">
        <f t="shared" si="93"/>
        <v>3.0616633255060315E-3</v>
      </c>
      <c r="W156" s="94">
        <f t="shared" si="93"/>
        <v>7.1780186173521471E-2</v>
      </c>
      <c r="X156" s="92">
        <f t="shared" si="93"/>
        <v>4.0630431355292748E-2</v>
      </c>
      <c r="Y156" s="52">
        <f t="shared" si="93"/>
        <v>5.7045213603340054E-3</v>
      </c>
      <c r="Z156" s="96">
        <f t="shared" si="93"/>
        <v>6.611569451261344E-2</v>
      </c>
      <c r="AA156" s="250">
        <f t="shared" si="93"/>
        <v>0.1378958806861349</v>
      </c>
      <c r="AB156" s="52">
        <f t="shared" si="93"/>
        <v>0.19140898422123109</v>
      </c>
      <c r="AC156" s="52">
        <f t="shared" si="93"/>
        <v>2.4654020311279907E-2</v>
      </c>
      <c r="AD156" s="94">
        <f t="shared" si="93"/>
        <v>0.21606300453251104</v>
      </c>
      <c r="AE156" s="92">
        <f t="shared" si="93"/>
        <v>9.0804616182853445E-2</v>
      </c>
      <c r="AF156" s="52">
        <f t="shared" si="93"/>
        <v>3.326108873213867E-2</v>
      </c>
      <c r="AG156" s="96">
        <f t="shared" si="93"/>
        <v>0.12406570491499209</v>
      </c>
      <c r="AH156" s="252">
        <f t="shared" si="93"/>
        <v>0.34012870944750312</v>
      </c>
      <c r="AI156" s="268">
        <f t="shared" si="93"/>
        <v>0.46456799000380122</v>
      </c>
      <c r="AJ156" s="252">
        <f t="shared" si="93"/>
        <v>5.7407419862560573E-2</v>
      </c>
    </row>
    <row r="157" spans="2:36" x14ac:dyDescent="0.35">
      <c r="B157" s="124" t="s">
        <v>57</v>
      </c>
      <c r="C157" s="54">
        <f t="shared" ref="C157:S157" si="94">IFERROR(C151/SUM($J151,$Q151,$R151,$S151),"-")</f>
        <v>0</v>
      </c>
      <c r="D157" s="46">
        <f t="shared" si="94"/>
        <v>0</v>
      </c>
      <c r="E157" s="46">
        <f t="shared" si="94"/>
        <v>0</v>
      </c>
      <c r="F157" s="169">
        <f t="shared" si="94"/>
        <v>9.0382387022016217E-2</v>
      </c>
      <c r="G157" s="170">
        <f t="shared" si="94"/>
        <v>0</v>
      </c>
      <c r="H157" s="46">
        <f t="shared" si="94"/>
        <v>0</v>
      </c>
      <c r="I157" s="171">
        <f t="shared" si="94"/>
        <v>0.10921205098493626</v>
      </c>
      <c r="J157" s="251">
        <f t="shared" si="94"/>
        <v>0.19959443800695248</v>
      </c>
      <c r="K157" s="46">
        <f t="shared" si="94"/>
        <v>0.13151796060254925</v>
      </c>
      <c r="L157" s="46">
        <f t="shared" si="94"/>
        <v>2.809965237543453E-2</v>
      </c>
      <c r="M157" s="169">
        <f t="shared" si="94"/>
        <v>0.15961761297798377</v>
      </c>
      <c r="N157" s="170">
        <f t="shared" si="94"/>
        <v>0.13296639629200463</v>
      </c>
      <c r="O157" s="46">
        <f t="shared" si="94"/>
        <v>5.7068366164542292E-2</v>
      </c>
      <c r="P157" s="171">
        <f t="shared" si="94"/>
        <v>0.19003476245654694</v>
      </c>
      <c r="Q157" s="168">
        <f t="shared" si="94"/>
        <v>0.3496523754345307</v>
      </c>
      <c r="R157" s="269">
        <f t="shared" si="94"/>
        <v>0.43713789107763618</v>
      </c>
      <c r="S157" s="168">
        <f t="shared" si="94"/>
        <v>1.3615295480880649E-2</v>
      </c>
      <c r="T157" s="54">
        <f t="shared" ref="T157:AJ157" si="95">IFERROR(T151/SUM($AA151,$AH151,$AI151,$AJ151),"-")</f>
        <v>1.5767513546955193E-2</v>
      </c>
      <c r="U157" s="46">
        <f t="shared" si="95"/>
        <v>1.4581139051408755E-3</v>
      </c>
      <c r="V157" s="46">
        <f t="shared" si="95"/>
        <v>2.2998432958358356E-3</v>
      </c>
      <c r="W157" s="169">
        <f t="shared" si="95"/>
        <v>9.4550335732383597E-2</v>
      </c>
      <c r="X157" s="170">
        <f t="shared" si="95"/>
        <v>1.7537133604557983E-2</v>
      </c>
      <c r="Y157" s="46">
        <f t="shared" si="95"/>
        <v>3.7977239438441892E-3</v>
      </c>
      <c r="Z157" s="171">
        <f t="shared" si="95"/>
        <v>9.9707916587533613E-2</v>
      </c>
      <c r="AA157" s="251">
        <f t="shared" si="95"/>
        <v>0.1942582523199172</v>
      </c>
      <c r="AB157" s="46">
        <f t="shared" si="95"/>
        <v>0.28473925725467175</v>
      </c>
      <c r="AC157" s="46">
        <f t="shared" si="95"/>
        <v>4.2120635794661639E-2</v>
      </c>
      <c r="AD157" s="169">
        <f t="shared" si="95"/>
        <v>0.32685989304933338</v>
      </c>
      <c r="AE157" s="170">
        <f t="shared" si="95"/>
        <v>0.12680331822981392</v>
      </c>
      <c r="AF157" s="46">
        <f t="shared" si="95"/>
        <v>5.769972125832977E-2</v>
      </c>
      <c r="AG157" s="171">
        <f t="shared" si="95"/>
        <v>0.1845030394881437</v>
      </c>
      <c r="AH157" s="168">
        <f t="shared" si="95"/>
        <v>0.51136293253747711</v>
      </c>
      <c r="AI157" s="269">
        <f t="shared" si="95"/>
        <v>0.27849200136704805</v>
      </c>
      <c r="AJ157" s="168">
        <f t="shared" si="95"/>
        <v>1.5886813775557628E-2</v>
      </c>
    </row>
    <row r="158" spans="2:36" x14ac:dyDescent="0.35">
      <c r="B158" s="123" t="s">
        <v>58</v>
      </c>
      <c r="C158" s="53">
        <f t="shared" ref="C158:S158" si="96">IFERROR(C152/SUM($J152,$Q152,$R152,$S152),"-")</f>
        <v>0</v>
      </c>
      <c r="D158" s="52">
        <f t="shared" si="96"/>
        <v>0</v>
      </c>
      <c r="E158" s="52">
        <f t="shared" si="96"/>
        <v>0</v>
      </c>
      <c r="F158" s="94">
        <f t="shared" si="96"/>
        <v>8.6614173228346455E-2</v>
      </c>
      <c r="G158" s="92">
        <f t="shared" si="96"/>
        <v>0</v>
      </c>
      <c r="H158" s="52">
        <f t="shared" si="96"/>
        <v>0</v>
      </c>
      <c r="I158" s="96">
        <f t="shared" si="96"/>
        <v>0.10977304307549791</v>
      </c>
      <c r="J158" s="250">
        <f t="shared" si="96"/>
        <v>0.19638721630384437</v>
      </c>
      <c r="K158" s="52">
        <f t="shared" si="96"/>
        <v>0.1222788327929597</v>
      </c>
      <c r="L158" s="52">
        <f t="shared" si="96"/>
        <v>2.6169522927281148E-2</v>
      </c>
      <c r="M158" s="94">
        <f t="shared" si="96"/>
        <v>0.14844835572024084</v>
      </c>
      <c r="N158" s="92">
        <f t="shared" si="96"/>
        <v>0.12436313107920334</v>
      </c>
      <c r="O158" s="52">
        <f t="shared" si="96"/>
        <v>4.4696618805002315E-2</v>
      </c>
      <c r="P158" s="96">
        <f t="shared" si="96"/>
        <v>0.16905974988420566</v>
      </c>
      <c r="Q158" s="252">
        <f t="shared" si="96"/>
        <v>0.31750810560444648</v>
      </c>
      <c r="R158" s="268">
        <f t="shared" si="96"/>
        <v>0.43515516442797592</v>
      </c>
      <c r="S158" s="252">
        <f t="shared" si="96"/>
        <v>5.0949513663733209E-2</v>
      </c>
      <c r="T158" s="53">
        <f t="shared" ref="T158:AJ158" si="97">IFERROR(T152/SUM($AA152,$AH152,$AI152,$AJ152),"-")</f>
        <v>1.9970131337109523E-2</v>
      </c>
      <c r="U158" s="52">
        <f t="shared" si="97"/>
        <v>5.3475429843260853E-3</v>
      </c>
      <c r="V158" s="52">
        <f t="shared" si="97"/>
        <v>4.0662273093256939E-3</v>
      </c>
      <c r="W158" s="94">
        <f t="shared" si="97"/>
        <v>8.6049253806587414E-2</v>
      </c>
      <c r="X158" s="92">
        <f t="shared" si="97"/>
        <v>1.5893941465490908E-2</v>
      </c>
      <c r="Y158" s="52">
        <f t="shared" si="97"/>
        <v>2.7886163057307106E-3</v>
      </c>
      <c r="Z158" s="96">
        <f t="shared" si="97"/>
        <v>8.8329428993489334E-2</v>
      </c>
      <c r="AA158" s="250">
        <f t="shared" si="97"/>
        <v>0.17437868280007673</v>
      </c>
      <c r="AB158" s="52">
        <f t="shared" si="97"/>
        <v>0.2440934396226922</v>
      </c>
      <c r="AC158" s="52">
        <f t="shared" si="97"/>
        <v>2.9487732556366945E-2</v>
      </c>
      <c r="AD158" s="94">
        <f t="shared" si="97"/>
        <v>0.27358117217905914</v>
      </c>
      <c r="AE158" s="92">
        <f t="shared" si="97"/>
        <v>0.11043280023946193</v>
      </c>
      <c r="AF158" s="52">
        <f t="shared" si="97"/>
        <v>3.6409911077373007E-2</v>
      </c>
      <c r="AG158" s="96">
        <f t="shared" si="97"/>
        <v>0.14684271131683493</v>
      </c>
      <c r="AH158" s="252">
        <f t="shared" si="97"/>
        <v>0.4204238834958941</v>
      </c>
      <c r="AI158" s="268">
        <f t="shared" si="97"/>
        <v>0.37218730958802498</v>
      </c>
      <c r="AJ158" s="252">
        <f t="shared" si="97"/>
        <v>3.3010124116004069E-2</v>
      </c>
    </row>
    <row r="159" spans="2:36" x14ac:dyDescent="0.35">
      <c r="B159" s="124" t="s">
        <v>59</v>
      </c>
      <c r="C159" s="54">
        <f t="shared" ref="C159:S160" si="98">IFERROR(C153/SUM($J153,$Q153,$R153,$S153),"-")</f>
        <v>0</v>
      </c>
      <c r="D159" s="46">
        <f t="shared" si="98"/>
        <v>0</v>
      </c>
      <c r="E159" s="46">
        <f t="shared" si="98"/>
        <v>0</v>
      </c>
      <c r="F159" s="169">
        <f t="shared" si="98"/>
        <v>9.4323873121869781E-2</v>
      </c>
      <c r="G159" s="170">
        <f t="shared" si="98"/>
        <v>8.0759599332220364E-2</v>
      </c>
      <c r="H159" s="46">
        <f t="shared" si="98"/>
        <v>1.335559265442404E-2</v>
      </c>
      <c r="I159" s="171">
        <f t="shared" si="98"/>
        <v>9.4115191986644406E-2</v>
      </c>
      <c r="J159" s="251">
        <f t="shared" si="98"/>
        <v>0.18843906510851419</v>
      </c>
      <c r="K159" s="46">
        <f t="shared" si="98"/>
        <v>0.125</v>
      </c>
      <c r="L159" s="46">
        <f t="shared" si="98"/>
        <v>2.4833055091819701E-2</v>
      </c>
      <c r="M159" s="169">
        <f t="shared" si="98"/>
        <v>0.14983305509181971</v>
      </c>
      <c r="N159" s="170">
        <f t="shared" si="98"/>
        <v>0.10893155258764607</v>
      </c>
      <c r="O159" s="46">
        <f t="shared" si="98"/>
        <v>4.2153589315525875E-2</v>
      </c>
      <c r="P159" s="171">
        <f t="shared" si="98"/>
        <v>0.15108514190317196</v>
      </c>
      <c r="Q159" s="168">
        <f t="shared" si="98"/>
        <v>0.30091819699499167</v>
      </c>
      <c r="R159" s="269">
        <f t="shared" si="98"/>
        <v>0.42591819699499167</v>
      </c>
      <c r="S159" s="168">
        <f t="shared" si="98"/>
        <v>8.4724540901502499E-2</v>
      </c>
      <c r="T159" s="54">
        <f t="shared" ref="T159:AJ160" si="99">IFERROR(T153/SUM($AA153,$AH153,$AI153,$AJ153),"-")</f>
        <v>9.7795579881972683E-3</v>
      </c>
      <c r="U159" s="46">
        <f t="shared" si="99"/>
        <v>3.170071456987163E-3</v>
      </c>
      <c r="V159" s="46">
        <f t="shared" si="99"/>
        <v>1.7818849965609616E-3</v>
      </c>
      <c r="W159" s="169">
        <f t="shared" si="99"/>
        <v>8.6484615918436716E-2</v>
      </c>
      <c r="X159" s="170">
        <f t="shared" si="99"/>
        <v>2.2058790417024198E-2</v>
      </c>
      <c r="Y159" s="46">
        <f t="shared" si="99"/>
        <v>7.3563691022477022E-3</v>
      </c>
      <c r="Z159" s="171">
        <f t="shared" si="99"/>
        <v>8.2642449551124708E-2</v>
      </c>
      <c r="AA159" s="251">
        <f t="shared" si="99"/>
        <v>0.16912706546956141</v>
      </c>
      <c r="AB159" s="46">
        <f t="shared" si="99"/>
        <v>0.28338130553175717</v>
      </c>
      <c r="AC159" s="46">
        <f t="shared" si="99"/>
        <v>3.2535178748950261E-2</v>
      </c>
      <c r="AD159" s="169">
        <f t="shared" si="99"/>
        <v>0.3159164842807074</v>
      </c>
      <c r="AE159" s="170">
        <f t="shared" si="99"/>
        <v>9.3398065632879515E-2</v>
      </c>
      <c r="AF159" s="46">
        <f t="shared" si="99"/>
        <v>3.6772722468904104E-2</v>
      </c>
      <c r="AG159" s="171">
        <f t="shared" si="99"/>
        <v>0.13017078810178362</v>
      </c>
      <c r="AH159" s="168">
        <f t="shared" si="99"/>
        <v>0.44608727238249102</v>
      </c>
      <c r="AI159" s="269">
        <f t="shared" si="99"/>
        <v>0.3638010632762258</v>
      </c>
      <c r="AJ159" s="168">
        <f t="shared" si="99"/>
        <v>2.0984598871721848E-2</v>
      </c>
    </row>
    <row r="160" spans="2:36" ht="15" thickBot="1" x14ac:dyDescent="0.4">
      <c r="B160" s="265" t="s">
        <v>60</v>
      </c>
      <c r="C160" s="352">
        <f t="shared" si="98"/>
        <v>0</v>
      </c>
      <c r="D160" s="352">
        <f t="shared" si="98"/>
        <v>0</v>
      </c>
      <c r="E160" s="352">
        <f t="shared" si="98"/>
        <v>0</v>
      </c>
      <c r="F160" s="354">
        <f t="shared" si="98"/>
        <v>0.11139455782312925</v>
      </c>
      <c r="G160" s="352">
        <f t="shared" si="98"/>
        <v>7.1598639455782306E-2</v>
      </c>
      <c r="H160" s="352">
        <f t="shared" si="98"/>
        <v>1.9387755102040816E-2</v>
      </c>
      <c r="I160" s="355">
        <f t="shared" si="98"/>
        <v>9.0986394557823133E-2</v>
      </c>
      <c r="J160" s="356">
        <f t="shared" si="98"/>
        <v>0.20238095238095238</v>
      </c>
      <c r="K160" s="352">
        <f t="shared" si="98"/>
        <v>0.12568027210884353</v>
      </c>
      <c r="L160" s="352">
        <f t="shared" si="98"/>
        <v>4.6768707482993201E-2</v>
      </c>
      <c r="M160" s="354">
        <f t="shared" si="98"/>
        <v>0.17244897959183675</v>
      </c>
      <c r="N160" s="352">
        <f t="shared" si="98"/>
        <v>9.7278911564625856E-2</v>
      </c>
      <c r="O160" s="352">
        <f t="shared" si="98"/>
        <v>5.459183673469388E-2</v>
      </c>
      <c r="P160" s="357">
        <f t="shared" si="98"/>
        <v>0.15187074829931974</v>
      </c>
      <c r="Q160" s="356">
        <f t="shared" si="98"/>
        <v>0.32431972789115648</v>
      </c>
      <c r="R160" s="357">
        <f t="shared" si="98"/>
        <v>0.43146258503401358</v>
      </c>
      <c r="S160" s="393">
        <f t="shared" si="98"/>
        <v>4.1836734693877553E-2</v>
      </c>
      <c r="T160" s="352">
        <f t="shared" si="99"/>
        <v>2.9291747066080408E-2</v>
      </c>
      <c r="U160" s="352">
        <f t="shared" si="99"/>
        <v>3.3575698966519197E-3</v>
      </c>
      <c r="V160" s="352">
        <f t="shared" si="99"/>
        <v>1.3827946007745457E-3</v>
      </c>
      <c r="W160" s="354">
        <f t="shared" si="99"/>
        <v>0.10120158524296062</v>
      </c>
      <c r="X160" s="352">
        <f t="shared" si="99"/>
        <v>3.4009516880487686E-2</v>
      </c>
      <c r="Y160" s="352">
        <f t="shared" si="99"/>
        <v>8.5091576250276788E-3</v>
      </c>
      <c r="Z160" s="355">
        <f t="shared" si="99"/>
        <v>9.2086890113018599E-2</v>
      </c>
      <c r="AA160" s="356">
        <f t="shared" si="99"/>
        <v>0.19328847535597923</v>
      </c>
      <c r="AB160" s="352">
        <f t="shared" si="99"/>
        <v>0.21572047665743296</v>
      </c>
      <c r="AC160" s="352">
        <f t="shared" si="99"/>
        <v>4.0819554342472128E-2</v>
      </c>
      <c r="AD160" s="353">
        <f t="shared" si="99"/>
        <v>0.25654003099990508</v>
      </c>
      <c r="AE160" s="352">
        <f t="shared" si="99"/>
        <v>8.8006290359752548E-2</v>
      </c>
      <c r="AF160" s="352">
        <f t="shared" si="99"/>
        <v>4.9870984359960416E-2</v>
      </c>
      <c r="AG160" s="358">
        <f t="shared" si="99"/>
        <v>0.13787727471971295</v>
      </c>
      <c r="AH160" s="359">
        <f t="shared" si="99"/>
        <v>0.39441730571961808</v>
      </c>
      <c r="AI160" s="357">
        <f t="shared" si="99"/>
        <v>0.37980758367940859</v>
      </c>
      <c r="AJ160" s="357">
        <f t="shared" si="99"/>
        <v>3.248663524499415E-2</v>
      </c>
    </row>
    <row r="161" spans="1:21" x14ac:dyDescent="0.35">
      <c r="B161" s="124"/>
      <c r="C161" s="46"/>
      <c r="D161" s="46"/>
      <c r="E161" s="46"/>
      <c r="F161" s="46"/>
      <c r="G161" s="46"/>
      <c r="H161" s="172"/>
      <c r="I161" s="168"/>
      <c r="J161" s="46"/>
      <c r="K161" s="46"/>
      <c r="L161" s="46"/>
      <c r="M161" s="46"/>
      <c r="N161" s="46"/>
      <c r="O161" s="172"/>
      <c r="P161" s="168"/>
      <c r="U161" s="15"/>
    </row>
    <row r="162" spans="1:21" x14ac:dyDescent="0.35">
      <c r="A162" s="10" t="s">
        <v>124</v>
      </c>
    </row>
    <row r="163" spans="1:21" x14ac:dyDescent="0.35">
      <c r="A163" s="10" t="s">
        <v>125</v>
      </c>
    </row>
    <row r="164" spans="1:21" x14ac:dyDescent="0.35">
      <c r="A164" s="10" t="s">
        <v>126</v>
      </c>
    </row>
    <row r="165" spans="1:21" x14ac:dyDescent="0.35">
      <c r="A165" s="10" t="s">
        <v>127</v>
      </c>
    </row>
    <row r="166" spans="1:21" x14ac:dyDescent="0.35">
      <c r="A166" s="10" t="s">
        <v>128</v>
      </c>
    </row>
    <row r="167" spans="1:21" x14ac:dyDescent="0.35">
      <c r="A167" s="10" t="s">
        <v>129</v>
      </c>
    </row>
    <row r="169" spans="1:21" x14ac:dyDescent="0.35">
      <c r="A169" s="10"/>
    </row>
  </sheetData>
  <mergeCells count="43">
    <mergeCell ref="O108:R108"/>
    <mergeCell ref="O107:R107"/>
    <mergeCell ref="I108:N108"/>
    <mergeCell ref="C108:H108"/>
    <mergeCell ref="C107:N107"/>
    <mergeCell ref="C69:F69"/>
    <mergeCell ref="G69:J69"/>
    <mergeCell ref="C68:J68"/>
    <mergeCell ref="K69:N69"/>
    <mergeCell ref="K68:N68"/>
    <mergeCell ref="C34:G34"/>
    <mergeCell ref="H34:L34"/>
    <mergeCell ref="C33:L33"/>
    <mergeCell ref="M34:O34"/>
    <mergeCell ref="M33:O33"/>
    <mergeCell ref="T146:AA146"/>
    <mergeCell ref="AB146:AH146"/>
    <mergeCell ref="T147:W147"/>
    <mergeCell ref="X147:Z147"/>
    <mergeCell ref="AB147:AD147"/>
    <mergeCell ref="AE147:AG147"/>
    <mergeCell ref="A1:C1"/>
    <mergeCell ref="K13:N13"/>
    <mergeCell ref="G14:J14"/>
    <mergeCell ref="C13:J13"/>
    <mergeCell ref="C14:F14"/>
    <mergeCell ref="K14:N14"/>
    <mergeCell ref="K147:M147"/>
    <mergeCell ref="N147:P147"/>
    <mergeCell ref="C51:L51"/>
    <mergeCell ref="M51:V51"/>
    <mergeCell ref="K88:R88"/>
    <mergeCell ref="C87:R87"/>
    <mergeCell ref="C147:F147"/>
    <mergeCell ref="G147:I147"/>
    <mergeCell ref="C88:J88"/>
    <mergeCell ref="C126:L126"/>
    <mergeCell ref="M126:V126"/>
    <mergeCell ref="C125:V125"/>
    <mergeCell ref="C146:J146"/>
    <mergeCell ref="K146:Q146"/>
    <mergeCell ref="C145:S145"/>
    <mergeCell ref="T145:AJ145"/>
  </mergeCells>
  <hyperlinks>
    <hyperlink ref="C5" location="Demographics!A11" display="Table C2.1" xr:uid="{3618424B-CDEF-4723-98C4-B9AE2BB343CD}"/>
    <hyperlink ref="C6" location="Demographics!A31" display="Table C2.2" xr:uid="{0BC399DE-9DC3-406B-9B5C-E7CC0BDF4821}"/>
    <hyperlink ref="C7" location="Demographics!A66" display="Table C2.3" xr:uid="{B2B375BD-E192-4DDE-B25F-69AE552D77A1}"/>
    <hyperlink ref="C8" location="Demographics!A105" display="Table C2.4" xr:uid="{E26B983B-1CA6-4861-BE98-A72AF10C750B}"/>
    <hyperlink ref="C9" location="Demographics!A143" display="Table C2.5" xr:uid="{1D8BF7F4-B0E2-4BD2-897C-12365DFE7918}"/>
    <hyperlink ref="A3" location="Contents!A1" display="Return to Contents" xr:uid="{E58821A0-857D-40F7-893E-2C42EF8E3E50}"/>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D74E56-ADBC-4B55-9C3E-3C536DA434CE}">
  <sheetPr codeName="Sheet8"/>
  <dimension ref="A1:Z68"/>
  <sheetViews>
    <sheetView topLeftCell="A12" workbookViewId="0">
      <selection activeCell="A2" sqref="A2"/>
    </sheetView>
  </sheetViews>
  <sheetFormatPr defaultColWidth="9.1796875" defaultRowHeight="14.5" x14ac:dyDescent="0.35"/>
  <cols>
    <col min="1" max="1" width="9.1796875" style="2"/>
    <col min="2" max="2" width="34.453125" style="2" customWidth="1"/>
    <col min="3" max="5" width="14.26953125" style="2" customWidth="1"/>
    <col min="6" max="6" width="12.7265625" style="2" customWidth="1"/>
    <col min="7" max="9" width="12.26953125" style="2" customWidth="1"/>
    <col min="10" max="12" width="13.7265625" style="2" customWidth="1"/>
    <col min="13" max="20" width="12" style="2" customWidth="1"/>
    <col min="21" max="16384" width="9.1796875" style="2"/>
  </cols>
  <sheetData>
    <row r="1" spans="1:17" ht="18.5" x14ac:dyDescent="0.45">
      <c r="A1" s="396" t="str">
        <f>Contents!A2</f>
        <v>Midlothian</v>
      </c>
      <c r="B1" s="396"/>
      <c r="C1" s="396"/>
      <c r="Q1" s="117"/>
    </row>
    <row r="2" spans="1:17" x14ac:dyDescent="0.35">
      <c r="A2" s="5" t="s">
        <v>130</v>
      </c>
    </row>
    <row r="3" spans="1:17" x14ac:dyDescent="0.35">
      <c r="A3" s="117" t="s">
        <v>11</v>
      </c>
    </row>
    <row r="4" spans="1:17" x14ac:dyDescent="0.35">
      <c r="A4" s="5"/>
    </row>
    <row r="5" spans="1:17" x14ac:dyDescent="0.35">
      <c r="A5" s="116" t="s">
        <v>131</v>
      </c>
      <c r="C5" s="117" t="s">
        <v>28</v>
      </c>
    </row>
    <row r="6" spans="1:17" x14ac:dyDescent="0.35">
      <c r="A6" s="116" t="s">
        <v>132</v>
      </c>
      <c r="C6" s="117" t="s">
        <v>29</v>
      </c>
    </row>
    <row r="8" spans="1:17" ht="16.5" x14ac:dyDescent="0.35">
      <c r="A8" t="s">
        <v>133</v>
      </c>
    </row>
    <row r="10" spans="1:17" x14ac:dyDescent="0.35">
      <c r="C10" s="401" t="str">
        <f>$A$1</f>
        <v>Midlothian</v>
      </c>
      <c r="D10" s="402"/>
      <c r="E10" s="402"/>
      <c r="F10" s="402"/>
      <c r="G10" s="402"/>
      <c r="H10" s="415"/>
      <c r="I10" s="401" t="s">
        <v>46</v>
      </c>
      <c r="J10" s="402"/>
      <c r="K10" s="402"/>
      <c r="L10" s="402"/>
      <c r="M10" s="402"/>
      <c r="N10" s="402"/>
    </row>
    <row r="11" spans="1:17" ht="15" thickBot="1" x14ac:dyDescent="0.4">
      <c r="C11" s="137" t="s">
        <v>54</v>
      </c>
      <c r="D11" s="134" t="s">
        <v>56</v>
      </c>
      <c r="E11" s="134" t="s">
        <v>57</v>
      </c>
      <c r="F11" s="134" t="s">
        <v>58</v>
      </c>
      <c r="G11" s="134" t="s">
        <v>59</v>
      </c>
      <c r="H11" s="134" t="s">
        <v>60</v>
      </c>
      <c r="I11" s="137" t="s">
        <v>54</v>
      </c>
      <c r="J11" s="134" t="s">
        <v>56</v>
      </c>
      <c r="K11" s="134" t="s">
        <v>57</v>
      </c>
      <c r="L11" s="134" t="s">
        <v>58</v>
      </c>
      <c r="M11" s="134" t="s">
        <v>59</v>
      </c>
      <c r="N11" s="134" t="s">
        <v>60</v>
      </c>
    </row>
    <row r="12" spans="1:17" x14ac:dyDescent="0.35">
      <c r="B12" s="214" t="s">
        <v>134</v>
      </c>
      <c r="C12" s="173">
        <v>503</v>
      </c>
      <c r="D12" s="174">
        <v>0</v>
      </c>
      <c r="E12" s="174">
        <v>503</v>
      </c>
      <c r="F12" s="174">
        <v>60</v>
      </c>
      <c r="G12" s="174">
        <v>0</v>
      </c>
      <c r="H12" s="174">
        <v>494</v>
      </c>
      <c r="I12" s="173">
        <v>56055</v>
      </c>
      <c r="J12" s="174">
        <v>43593</v>
      </c>
      <c r="K12" s="174">
        <v>35038.15</v>
      </c>
      <c r="L12" s="174">
        <v>15311.18</v>
      </c>
      <c r="M12" s="174">
        <v>18876.820400000001</v>
      </c>
      <c r="N12" s="174">
        <v>25162</v>
      </c>
    </row>
    <row r="13" spans="1:17" ht="15" thickBot="1" x14ac:dyDescent="0.4">
      <c r="B13" s="215" t="s">
        <v>135</v>
      </c>
      <c r="C13" s="212">
        <v>1533387.67</v>
      </c>
      <c r="D13" s="213">
        <v>2664004.12</v>
      </c>
      <c r="E13" s="213">
        <v>1772373.88</v>
      </c>
      <c r="F13" s="213">
        <v>988775.36</v>
      </c>
      <c r="G13" s="213">
        <v>0</v>
      </c>
      <c r="H13" s="213">
        <v>3041906.01</v>
      </c>
      <c r="I13" s="212">
        <v>204057200.09</v>
      </c>
      <c r="J13" s="213">
        <v>186250137.23084</v>
      </c>
      <c r="K13" s="213">
        <v>130189948.97532</v>
      </c>
      <c r="L13" s="213">
        <v>102539557.52767999</v>
      </c>
      <c r="M13" s="213">
        <v>134048916.65778001</v>
      </c>
      <c r="N13" s="213">
        <v>134592789.8387</v>
      </c>
    </row>
    <row r="14" spans="1:17" x14ac:dyDescent="0.35">
      <c r="I14" s="143"/>
    </row>
    <row r="15" spans="1:17" x14ac:dyDescent="0.35">
      <c r="A15" t="s">
        <v>136</v>
      </c>
    </row>
    <row r="16" spans="1:17" ht="14.25" customHeight="1" x14ac:dyDescent="0.35">
      <c r="A16" s="5"/>
    </row>
    <row r="17" spans="1:26" ht="14.25" customHeight="1" x14ac:dyDescent="0.35">
      <c r="A17" s="5" t="s">
        <v>63</v>
      </c>
    </row>
    <row r="18" spans="1:26" ht="15" customHeight="1" x14ac:dyDescent="0.35">
      <c r="A18" s="5"/>
      <c r="B18" s="421" t="s">
        <v>137</v>
      </c>
      <c r="C18" s="401" t="str">
        <f>$A$1</f>
        <v>Midlothian</v>
      </c>
      <c r="D18" s="402"/>
      <c r="E18" s="402"/>
      <c r="F18" s="402"/>
      <c r="G18" s="402"/>
      <c r="H18" s="402"/>
      <c r="I18" s="402"/>
      <c r="J18" s="402"/>
      <c r="K18" s="402"/>
      <c r="L18" s="402"/>
      <c r="M18" s="402"/>
      <c r="N18" s="415"/>
      <c r="O18" s="401" t="s">
        <v>46</v>
      </c>
      <c r="P18" s="402"/>
      <c r="Q18" s="402"/>
      <c r="R18" s="402"/>
      <c r="S18" s="402"/>
      <c r="T18" s="402"/>
      <c r="U18" s="402"/>
      <c r="V18" s="402"/>
      <c r="W18" s="402"/>
      <c r="X18" s="402"/>
      <c r="Y18" s="402"/>
      <c r="Z18" s="402"/>
    </row>
    <row r="19" spans="1:26" ht="15" customHeight="1" x14ac:dyDescent="0.35">
      <c r="B19" s="421"/>
      <c r="C19" s="401" t="s">
        <v>53</v>
      </c>
      <c r="D19" s="402"/>
      <c r="E19" s="402"/>
      <c r="F19" s="402"/>
      <c r="G19" s="402"/>
      <c r="H19" s="422"/>
      <c r="I19" s="402" t="s">
        <v>61</v>
      </c>
      <c r="J19" s="402"/>
      <c r="K19" s="402"/>
      <c r="L19" s="402"/>
      <c r="M19" s="402"/>
      <c r="N19" s="415"/>
      <c r="O19" s="398" t="s">
        <v>53</v>
      </c>
      <c r="P19" s="399"/>
      <c r="Q19" s="399"/>
      <c r="R19" s="399"/>
      <c r="S19" s="399"/>
      <c r="T19" s="418"/>
      <c r="U19" s="419" t="s">
        <v>61</v>
      </c>
      <c r="V19" s="412"/>
      <c r="W19" s="412"/>
      <c r="X19" s="412"/>
      <c r="Y19" s="412"/>
      <c r="Z19" s="412"/>
    </row>
    <row r="20" spans="1:26" ht="15" thickBot="1" x14ac:dyDescent="0.4">
      <c r="B20" s="141" t="s">
        <v>138</v>
      </c>
      <c r="C20" s="105" t="s">
        <v>54</v>
      </c>
      <c r="D20" s="104" t="s">
        <v>56</v>
      </c>
      <c r="E20" s="104" t="s">
        <v>57</v>
      </c>
      <c r="F20" s="104" t="s">
        <v>58</v>
      </c>
      <c r="G20" s="104" t="s">
        <v>59</v>
      </c>
      <c r="H20" s="106" t="s">
        <v>60</v>
      </c>
      <c r="I20" s="104" t="s">
        <v>54</v>
      </c>
      <c r="J20" s="104" t="s">
        <v>56</v>
      </c>
      <c r="K20" s="104" t="s">
        <v>57</v>
      </c>
      <c r="L20" s="104" t="s">
        <v>58</v>
      </c>
      <c r="M20" s="104" t="s">
        <v>59</v>
      </c>
      <c r="N20" s="104" t="s">
        <v>60</v>
      </c>
      <c r="O20" s="105" t="s">
        <v>54</v>
      </c>
      <c r="P20" s="104" t="s">
        <v>56</v>
      </c>
      <c r="Q20" s="104" t="s">
        <v>57</v>
      </c>
      <c r="R20" s="104" t="s">
        <v>58</v>
      </c>
      <c r="S20" s="104" t="s">
        <v>59</v>
      </c>
      <c r="T20" s="106" t="s">
        <v>60</v>
      </c>
      <c r="U20" s="104" t="s">
        <v>54</v>
      </c>
      <c r="V20" s="104" t="s">
        <v>56</v>
      </c>
      <c r="W20" s="104" t="s">
        <v>57</v>
      </c>
      <c r="X20" s="104" t="s">
        <v>58</v>
      </c>
      <c r="Y20" s="104" t="s">
        <v>59</v>
      </c>
      <c r="Z20" s="104" t="s">
        <v>60</v>
      </c>
    </row>
    <row r="21" spans="1:26" x14ac:dyDescent="0.35">
      <c r="B21" s="81" t="s">
        <v>139</v>
      </c>
      <c r="C21" s="110">
        <v>33419.4</v>
      </c>
      <c r="D21" s="111">
        <v>72704.37</v>
      </c>
      <c r="E21" s="111">
        <v>54557.34</v>
      </c>
      <c r="F21" s="111">
        <f t="array" ref="F21">INDEX(C$38:C$65,MATCH($B21,$B$38:$B$65,0))</f>
        <v>33319.440000000002</v>
      </c>
      <c r="G21" s="111">
        <f t="array" ref="G21">INDEX(D$38:D$65,MATCH($B21,$B$38:$B$65,0))</f>
        <v>0</v>
      </c>
      <c r="H21" s="112">
        <f t="array" ref="H21">INDEX(E$38:E$65,MATCH($B21,$B$38:$B$65,0))</f>
        <v>22458.31</v>
      </c>
      <c r="I21" s="109">
        <f>IFERROR(C21/SUM(C$21:C$32),"-")</f>
        <v>2.1794488539222445E-2</v>
      </c>
      <c r="J21" s="109">
        <f t="array" ref="J21">IFERROR(D21/SUM(D$21:D$32),"-")</f>
        <v>2.7291387972778362E-2</v>
      </c>
      <c r="K21" s="109">
        <f t="array" ref="K21">IFERROR(E21/SUM(E$21:E$32),"-")</f>
        <v>3.0782071782732429E-2</v>
      </c>
      <c r="L21" s="109">
        <f t="array" ref="L21">IFERROR(F21/SUM(F$21:F$32),"-")</f>
        <v>3.3697684375953711E-2</v>
      </c>
      <c r="M21" s="109" t="str">
        <f t="array" ref="M21">IFERROR(G21/SUM(G$21:G$32),"-")</f>
        <v>-</v>
      </c>
      <c r="N21" s="109">
        <f t="array" ref="N21">IFERROR(H21/SUM(H$21:H$32),"-")</f>
        <v>7.3829730196035871E-3</v>
      </c>
      <c r="O21" s="110">
        <v>5545049.5300000003</v>
      </c>
      <c r="P21" s="111">
        <v>4553239.4145</v>
      </c>
      <c r="Q21" s="111">
        <v>3003606.3018638901</v>
      </c>
      <c r="R21" s="111">
        <f t="array" ref="R21">INDEX(I$38:I$65,MATCH($B21,$B$38:$B$65,0))</f>
        <v>2948004.5286300001</v>
      </c>
      <c r="S21" s="111">
        <f t="array" ref="S21">INDEX(J$38:J$65,MATCH($B21,$B$38:$B$65,0))</f>
        <v>2443382.859065</v>
      </c>
      <c r="T21" s="112">
        <f t="array" ref="T21">INDEX(K$38:K$65,MATCH($B21,$B$38:$B$65,0))</f>
        <v>2903580.5</v>
      </c>
      <c r="U21" s="109">
        <f>IFERROR(O21/SUM(O$21:O$32),"-")</f>
        <v>2.7173995955812096E-2</v>
      </c>
      <c r="V21" s="109">
        <f t="array" ref="V21">IFERROR(P21/SUM(P$21:P$32),"-")</f>
        <v>2.444690501815135E-2</v>
      </c>
      <c r="W21" s="109">
        <f t="array" ref="W21">IFERROR(Q21/SUM(Q$21:Q$32),"-")</f>
        <v>2.5559831395328574E-2</v>
      </c>
      <c r="X21" s="109">
        <f t="array" ref="X21">IFERROR(R21/SUM(R$21:R$32),"-")</f>
        <v>3.3830310185663591E-2</v>
      </c>
      <c r="Y21" s="109">
        <f t="array" ref="Y21">IFERROR(S21/SUM(S$21:S$32),"-")</f>
        <v>2.3715405741255038E-2</v>
      </c>
      <c r="Z21" s="109">
        <f t="array" ref="Z21">IFERROR(T21/SUM(T$21:T$32),"-")</f>
        <v>2.3945909308287872E-2</v>
      </c>
    </row>
    <row r="22" spans="1:26" x14ac:dyDescent="0.35">
      <c r="B22" s="2" t="s">
        <v>140</v>
      </c>
      <c r="C22" s="113">
        <v>114579.76</v>
      </c>
      <c r="D22" s="114">
        <v>106670</v>
      </c>
      <c r="E22" s="114">
        <v>27237.35</v>
      </c>
      <c r="F22" s="114">
        <f t="array" ref="F22">INDEX(C$38:C$65,MATCH($B22,$B$38:$B$65,0))</f>
        <v>2604.35</v>
      </c>
      <c r="G22" s="114">
        <f t="array" ref="G22">INDEX(D$38:D$65,MATCH($B22,$B$38:$B$65,0))</f>
        <v>0</v>
      </c>
      <c r="H22" s="115">
        <f t="array" ref="H22">INDEX(E$38:E$65,MATCH($B22,$B$38:$B$65,0))</f>
        <v>190431.39</v>
      </c>
      <c r="I22" s="20">
        <f t="array" ref="I22">IFERROR(C22/SUM(C$21:C$32),"-")</f>
        <v>7.4723282469070604E-2</v>
      </c>
      <c r="J22" s="20">
        <f t="array" ref="J22">IFERROR(D22/SUM(D$21:D$32),"-")</f>
        <v>4.00412293656663E-2</v>
      </c>
      <c r="K22" s="20">
        <f t="array" ref="K22">IFERROR(E22/SUM(E$21:E$32),"-")</f>
        <v>1.5367722525904071E-2</v>
      </c>
      <c r="L22" s="20">
        <f t="array" ref="L22">IFERROR(F22/SUM(F$21:F$32),"-")</f>
        <v>2.6339147448010839E-3</v>
      </c>
      <c r="M22" s="20" t="str">
        <f t="array" ref="M22">IFERROR(G22/SUM(G$21:G$32),"-")</f>
        <v>-</v>
      </c>
      <c r="N22" s="20">
        <f t="array" ref="N22">IFERROR(H22/SUM(H$21:H$32),"-")</f>
        <v>6.2602654182599152E-2</v>
      </c>
      <c r="O22" s="113">
        <v>9334734.3699999992</v>
      </c>
      <c r="P22" s="114">
        <v>6283913.3158</v>
      </c>
      <c r="Q22" s="114">
        <v>4293748.6834700303</v>
      </c>
      <c r="R22" s="114">
        <f t="array" ref="R22">INDEX(I$38:I$65,MATCH($B22,$B$38:$B$65,0))</f>
        <v>2337344.7159299999</v>
      </c>
      <c r="S22" s="114">
        <f t="array" ref="S22">INDEX(J$38:J$65,MATCH($B22,$B$38:$B$65,0))</f>
        <v>3550453.5422129999</v>
      </c>
      <c r="T22" s="115">
        <f t="array" ref="T22">INDEX(K$38:K$65,MATCH($B22,$B$38:$B$65,0))</f>
        <v>5222129.51</v>
      </c>
      <c r="U22" s="20">
        <f t="array" ref="U22">IFERROR(O22/SUM(O$21:O$32),"-")</f>
        <v>4.5745675065044934E-2</v>
      </c>
      <c r="V22" s="20">
        <f t="array" ref="V22">IFERROR(P22/SUM(P$21:P$32),"-")</f>
        <v>3.3739107037605374E-2</v>
      </c>
      <c r="W22" s="20">
        <f t="array" ref="W22">IFERROR(Q22/SUM(Q$21:Q$32),"-")</f>
        <v>3.6538574424785343E-2</v>
      </c>
      <c r="X22" s="20">
        <f t="array" ref="X22">IFERROR(R22/SUM(R$21:R$32),"-")</f>
        <v>2.6822583202570787E-2</v>
      </c>
      <c r="Y22" s="20">
        <f t="array" ref="Y22">IFERROR(S22/SUM(S$21:S$32),"-")</f>
        <v>3.4460602850949901E-2</v>
      </c>
      <c r="Z22" s="20">
        <f t="array" ref="Z22">IFERROR(T22/SUM(T$21:T$32),"-")</f>
        <v>4.3067047613315278E-2</v>
      </c>
    </row>
    <row r="23" spans="1:26" x14ac:dyDescent="0.35">
      <c r="B23" s="81" t="s">
        <v>141</v>
      </c>
      <c r="C23" s="110">
        <v>60699.62</v>
      </c>
      <c r="D23" s="111">
        <v>78417.08</v>
      </c>
      <c r="E23" s="111">
        <v>64339.51</v>
      </c>
      <c r="F23" s="111">
        <f t="array" ref="F23">INDEX(C$38:C$65,MATCH($B23,$B$38:$B$65,0))</f>
        <v>18957.78</v>
      </c>
      <c r="G23" s="111">
        <f t="array" ref="G23">INDEX(D$38:D$65,MATCH($B23,$B$38:$B$65,0))</f>
        <v>0</v>
      </c>
      <c r="H23" s="112">
        <f t="array" ref="H23">INDEX(E$38:E$65,MATCH($B23,$B$38:$B$65,0))</f>
        <v>75690.02</v>
      </c>
      <c r="I23" s="109">
        <f t="array" ref="I23">IFERROR(C23/SUM(C$21:C$32),"-")</f>
        <v>3.9585305912887649E-2</v>
      </c>
      <c r="J23" s="109">
        <f t="array" ref="J23">IFERROR(D23/SUM(D$21:D$32),"-")</f>
        <v>2.9435795317013253E-2</v>
      </c>
      <c r="K23" s="109">
        <f t="array" ref="K23">IFERROR(E23/SUM(E$21:E$32),"-")</f>
        <v>3.630131922278159E-2</v>
      </c>
      <c r="L23" s="109">
        <f t="array" ref="L23">IFERROR(F23/SUM(F$21:F$32),"-")</f>
        <v>1.9172989909457289E-2</v>
      </c>
      <c r="M23" s="109" t="str">
        <f t="array" ref="M23">IFERROR(G23/SUM(G$21:G$32),"-")</f>
        <v>-</v>
      </c>
      <c r="N23" s="109">
        <f t="array" ref="N23">IFERROR(H23/SUM(H$21:H$32),"-")</f>
        <v>2.4882432182709024E-2</v>
      </c>
      <c r="O23" s="110">
        <v>4309521.1500000004</v>
      </c>
      <c r="P23" s="111">
        <v>3858003.8875199999</v>
      </c>
      <c r="Q23" s="111">
        <v>3039421.4389474802</v>
      </c>
      <c r="R23" s="111">
        <f t="array" ref="R23">INDEX(I$38:I$65,MATCH($B23,$B$38:$B$65,0))</f>
        <v>2322996.2316299998</v>
      </c>
      <c r="S23" s="111">
        <f t="array" ref="S23">INDEX(J$38:J$65,MATCH($B23,$B$38:$B$65,0))</f>
        <v>2114335.806262</v>
      </c>
      <c r="T23" s="112">
        <f t="array" ref="T23">INDEX(K$38:K$65,MATCH($B23,$B$38:$B$65,0))</f>
        <v>2463387.4715</v>
      </c>
      <c r="U23" s="109">
        <f t="array" ref="U23">IFERROR(O23/SUM(O$21:O$32),"-")</f>
        <v>2.1119182014157176E-2</v>
      </c>
      <c r="V23" s="109">
        <f t="array" ref="V23">IFERROR(P23/SUM(P$21:P$32),"-")</f>
        <v>2.0714099569968947E-2</v>
      </c>
      <c r="W23" s="109">
        <f t="array" ref="W23">IFERROR(Q23/SUM(Q$21:Q$32),"-")</f>
        <v>2.5864607978294547E-2</v>
      </c>
      <c r="X23" s="109">
        <f t="array" ref="X23">IFERROR(R23/SUM(R$21:R$32),"-")</f>
        <v>2.6657924814210469E-2</v>
      </c>
      <c r="Y23" s="109">
        <f t="array" ref="Y23">IFERROR(S23/SUM(S$21:S$32),"-")</f>
        <v>2.0521684243113136E-2</v>
      </c>
      <c r="Z23" s="109">
        <f t="array" ref="Z23">IFERROR(T23/SUM(T$21:T$32),"-")</f>
        <v>2.0315625133765561E-2</v>
      </c>
    </row>
    <row r="24" spans="1:26" x14ac:dyDescent="0.35">
      <c r="B24" s="2" t="s">
        <v>142</v>
      </c>
      <c r="C24" s="113">
        <v>208954.54</v>
      </c>
      <c r="D24" s="114">
        <v>262816.23</v>
      </c>
      <c r="E24" s="114">
        <v>247067.2</v>
      </c>
      <c r="F24" s="114">
        <f t="array" ref="F24">INDEX(C$38:C$65,MATCH($B24,$B$38:$B$65,0))</f>
        <v>84341.33</v>
      </c>
      <c r="G24" s="114">
        <f t="array" ref="G24">INDEX(D$38:D$65,MATCH($B24,$B$38:$B$65,0))</f>
        <v>0</v>
      </c>
      <c r="H24" s="115">
        <f t="array" ref="H24">INDEX(E$38:E$65,MATCH($B24,$B$38:$B$65,0))</f>
        <v>304346.28999999998</v>
      </c>
      <c r="I24" s="20">
        <f t="array" ref="I24">IFERROR(C24/SUM(C$21:C$32),"-")</f>
        <v>0.13626987101050581</v>
      </c>
      <c r="J24" s="20">
        <f t="array" ref="J24">IFERROR(D24/SUM(D$21:D$32),"-")</f>
        <v>9.8654588417077985E-2</v>
      </c>
      <c r="K24" s="20">
        <f t="array" ref="K24">IFERROR(E24/SUM(E$21:E$32),"-")</f>
        <v>0.13939903018656538</v>
      </c>
      <c r="L24" s="20">
        <f t="array" ref="L24">IFERROR(F24/SUM(F$21:F$32),"-")</f>
        <v>8.5298778076346893E-2</v>
      </c>
      <c r="M24" s="20" t="str">
        <f t="array" ref="M24">IFERROR(G24/SUM(G$21:G$32),"-")</f>
        <v>-</v>
      </c>
      <c r="N24" s="20">
        <f t="array" ref="N24">IFERROR(H24/SUM(H$21:H$32),"-")</f>
        <v>0.10005118139728451</v>
      </c>
      <c r="O24" s="113">
        <v>21816519.390000001</v>
      </c>
      <c r="P24" s="114">
        <v>20075954.035840001</v>
      </c>
      <c r="Q24" s="114">
        <v>15458500.135886701</v>
      </c>
      <c r="R24" s="114">
        <f t="array" ref="R24">INDEX(I$38:I$65,MATCH($B24,$B$38:$B$65,0))</f>
        <v>9845767.9155000001</v>
      </c>
      <c r="S24" s="114">
        <f t="array" ref="S24">INDEX(J$38:J$65,MATCH($B24,$B$38:$B$65,0))</f>
        <v>14674960.793243</v>
      </c>
      <c r="T24" s="115">
        <f t="array" ref="T24">INDEX(K$38:K$65,MATCH($B24,$B$38:$B$65,0))</f>
        <v>19142071.509</v>
      </c>
      <c r="U24" s="20">
        <f t="array" ref="U24">IFERROR(O24/SUM(O$21:O$32),"-")</f>
        <v>0.1069137446773638</v>
      </c>
      <c r="V24" s="20">
        <f t="array" ref="V24">IFERROR(P24/SUM(P$21:P$32),"-")</f>
        <v>0.10779027781846783</v>
      </c>
      <c r="W24" s="20">
        <f t="array" ref="W24">IFERROR(Q24/SUM(Q$21:Q$32),"-")</f>
        <v>0.13154741913170778</v>
      </c>
      <c r="X24" s="20">
        <f t="array" ref="X24">IFERROR(R24/SUM(R$21:R$32),"-")</f>
        <v>0.1129867269071704</v>
      </c>
      <c r="Y24" s="20">
        <f t="array" ref="Y24">IFERROR(S24/SUM(S$21:S$32),"-")</f>
        <v>0.14243475931641106</v>
      </c>
      <c r="Z24" s="20">
        <f t="array" ref="Z24">IFERROR(T24/SUM(T$21:T$32),"-")</f>
        <v>0.15786519723743675</v>
      </c>
    </row>
    <row r="25" spans="1:26" x14ac:dyDescent="0.35">
      <c r="B25" s="81" t="s">
        <v>143</v>
      </c>
      <c r="C25" s="110">
        <v>297751.96000000002</v>
      </c>
      <c r="D25" s="111">
        <v>831163.77</v>
      </c>
      <c r="E25" s="111">
        <v>550158.42000000004</v>
      </c>
      <c r="F25" s="111">
        <f t="array" ref="F25">INDEX(C$38:C$65,MATCH($B25,$B$38:$B$65,0))</f>
        <v>380054.25</v>
      </c>
      <c r="G25" s="111">
        <f t="array" ref="G25">INDEX(D$38:D$65,MATCH($B25,$B$38:$B$65,0))</f>
        <v>0</v>
      </c>
      <c r="H25" s="112">
        <f t="array" ref="H25">INDEX(E$38:E$65,MATCH($B25,$B$38:$B$65,0))</f>
        <v>442724.32</v>
      </c>
      <c r="I25" s="109">
        <f t="array" ref="I25">IFERROR(C25/SUM(C$21:C$32),"-")</f>
        <v>0.19417917975041502</v>
      </c>
      <c r="J25" s="109">
        <f t="array" ref="J25">IFERROR(D25/SUM(D$21:D$32),"-")</f>
        <v>0.31199792964284156</v>
      </c>
      <c r="K25" s="109">
        <f t="array" ref="K25">IFERROR(E25/SUM(E$21:E$32),"-")</f>
        <v>0.31040765507106211</v>
      </c>
      <c r="L25" s="109">
        <f t="array" ref="L25">IFERROR(F25/SUM(F$21:F$32),"-")</f>
        <v>0.38436864972039758</v>
      </c>
      <c r="M25" s="109" t="str">
        <f t="array" ref="M25">IFERROR(G25/SUM(G$21:G$32),"-")</f>
        <v>-</v>
      </c>
      <c r="N25" s="109">
        <f t="array" ref="N25">IFERROR(H25/SUM(H$21:H$32),"-")</f>
        <v>0.1455417486748711</v>
      </c>
      <c r="O25" s="110">
        <v>38980820.890000001</v>
      </c>
      <c r="P25" s="111">
        <v>34926764.118759997</v>
      </c>
      <c r="Q25" s="111">
        <v>27056834.0741776</v>
      </c>
      <c r="R25" s="111">
        <f t="array" ref="R25">INDEX(I$38:I$65,MATCH($B25,$B$38:$B$65,0))</f>
        <v>23924675.912889998</v>
      </c>
      <c r="S25" s="111">
        <f t="array" ref="S25">INDEX(J$38:J$65,MATCH($B25,$B$38:$B$65,0))</f>
        <v>18509174.379264999</v>
      </c>
      <c r="T25" s="112">
        <f t="array" ref="T25">INDEX(K$38:K$65,MATCH($B25,$B$38:$B$65,0))</f>
        <v>22178896.209199999</v>
      </c>
      <c r="U25" s="109">
        <f t="array" ref="U25">IFERROR(O25/SUM(O$21:O$32),"-")</f>
        <v>0.19102889225573708</v>
      </c>
      <c r="V25" s="109">
        <f t="array" ref="V25">IFERROR(P25/SUM(P$21:P$32),"-")</f>
        <v>0.18752611213097509</v>
      </c>
      <c r="W25" s="109">
        <f t="array" ref="W25">IFERROR(Q25/SUM(Q$21:Q$32),"-")</f>
        <v>0.23024592690400453</v>
      </c>
      <c r="X25" s="109">
        <f t="array" ref="X25">IFERROR(R25/SUM(R$21:R$32),"-")</f>
        <v>0.27455154812827864</v>
      </c>
      <c r="Y25" s="109">
        <f t="array" ref="Y25">IFERROR(S25/SUM(S$21:S$32),"-")</f>
        <v>0.17964952922191005</v>
      </c>
      <c r="Z25" s="109">
        <f t="array" ref="Z25">IFERROR(T25/SUM(T$21:T$32),"-")</f>
        <v>0.18290997517838162</v>
      </c>
    </row>
    <row r="26" spans="1:26" x14ac:dyDescent="0.35">
      <c r="B26" s="2" t="s">
        <v>144</v>
      </c>
      <c r="C26" s="113">
        <v>299375.34999999998</v>
      </c>
      <c r="D26" s="114">
        <v>280081.37</v>
      </c>
      <c r="E26" s="114">
        <v>134214.26</v>
      </c>
      <c r="F26" s="114">
        <f t="array" ref="F26">INDEX(C$38:C$65,MATCH($B26,$B$38:$B$65,0))</f>
        <v>7498.82</v>
      </c>
      <c r="G26" s="114">
        <f t="array" ref="G26">INDEX(D$38:D$65,MATCH($B26,$B$38:$B$65,0))</f>
        <v>0</v>
      </c>
      <c r="H26" s="115">
        <f t="array" ref="H26">INDEX(E$38:E$65,MATCH($B26,$B$38:$B$65,0))</f>
        <v>665757.77</v>
      </c>
      <c r="I26" s="20">
        <f t="array" ref="I26">IFERROR(C26/SUM(C$21:C$32),"-")</f>
        <v>0.19523787484217872</v>
      </c>
      <c r="J26" s="20">
        <f t="array" ref="J26">IFERROR(D26/SUM(D$21:D$32),"-")</f>
        <v>0.10513548680247538</v>
      </c>
      <c r="K26" s="20">
        <f t="array" ref="K26">IFERROR(E26/SUM(E$21:E$32),"-")</f>
        <v>7.5725704104824654E-2</v>
      </c>
      <c r="L26" s="20">
        <f t="array" ref="L26">IFERROR(F26/SUM(F$21:F$32),"-")</f>
        <v>7.5839470757038284E-3</v>
      </c>
      <c r="M26" s="20" t="str">
        <f t="array" ref="M26">IFERROR(G26/SUM(G$21:G$32),"-")</f>
        <v>-</v>
      </c>
      <c r="N26" s="20">
        <f t="array" ref="N26">IFERROR(H26/SUM(H$21:H$32),"-")</f>
        <v>0.21886204498474954</v>
      </c>
      <c r="O26" s="113">
        <v>27259608.609999999</v>
      </c>
      <c r="P26" s="114">
        <v>17668282.4067</v>
      </c>
      <c r="Q26" s="114">
        <v>11204802.3978855</v>
      </c>
      <c r="R26" s="114">
        <f t="array" ref="R26">INDEX(I$38:I$65,MATCH($B26,$B$38:$B$65,0))</f>
        <v>7152808.4348999998</v>
      </c>
      <c r="S26" s="114">
        <f t="array" ref="S26">INDEX(J$38:J$65,MATCH($B26,$B$38:$B$65,0))</f>
        <v>11135389.955836</v>
      </c>
      <c r="T26" s="115">
        <f t="array" ref="T26">INDEX(K$38:K$65,MATCH($B26,$B$38:$B$65,0))</f>
        <v>11054020.429500001</v>
      </c>
      <c r="U26" s="20">
        <f t="array" ref="U26">IFERROR(O26/SUM(O$21:O$32),"-")</f>
        <v>0.1335880752944619</v>
      </c>
      <c r="V26" s="20">
        <f t="array" ref="V26">IFERROR(P26/SUM(P$21:P$32),"-")</f>
        <v>9.4863191347890286E-2</v>
      </c>
      <c r="W26" s="20">
        <f t="array" ref="W26">IFERROR(Q26/SUM(Q$21:Q$32),"-")</f>
        <v>9.5349666808930783E-2</v>
      </c>
      <c r="X26" s="20">
        <f t="array" ref="X26">IFERROR(R26/SUM(R$21:R$32),"-")</f>
        <v>8.2083228061983982E-2</v>
      </c>
      <c r="Y26" s="20">
        <f t="array" ref="Y26">IFERROR(S26/SUM(S$21:S$32),"-")</f>
        <v>0.10807978369415318</v>
      </c>
      <c r="Z26" s="20">
        <f t="array" ref="Z26">IFERROR(T26/SUM(T$21:T$32),"-")</f>
        <v>9.1162814565247413E-2</v>
      </c>
    </row>
    <row r="27" spans="1:26" x14ac:dyDescent="0.35">
      <c r="B27" s="81" t="s">
        <v>145</v>
      </c>
      <c r="C27" s="110">
        <v>8865.8799999999992</v>
      </c>
      <c r="D27" s="111">
        <v>20710.34</v>
      </c>
      <c r="E27" s="111">
        <v>69748.429999999993</v>
      </c>
      <c r="F27" s="111">
        <f t="array" ref="F27">INDEX(C$38:C$65,MATCH($B27,$B$38:$B$65,0))</f>
        <v>40624.089999999997</v>
      </c>
      <c r="G27" s="111">
        <f t="array" ref="G27">INDEX(D$38:D$65,MATCH($B27,$B$38:$B$65,0))</f>
        <v>0</v>
      </c>
      <c r="H27" s="112">
        <f t="array" ref="H27">INDEX(E$38:E$65,MATCH($B27,$B$38:$B$65,0))</f>
        <v>18108.75</v>
      </c>
      <c r="I27" s="109">
        <f t="array" ref="I27">IFERROR(C27/SUM(C$21:C$32),"-")</f>
        <v>5.7818907595624533E-3</v>
      </c>
      <c r="J27" s="109">
        <f t="array" ref="J27">IFERROR(D27/SUM(D$21:D$32),"-")</f>
        <v>7.7741396285828579E-3</v>
      </c>
      <c r="K27" s="109">
        <f t="array" ref="K27">IFERROR(E27/SUM(E$21:E$32),"-")</f>
        <v>3.9353113238161687E-2</v>
      </c>
      <c r="L27" s="109">
        <f t="array" ref="L27">IFERROR(F27/SUM(F$21:F$32),"-")</f>
        <v>4.1085257221620083E-2</v>
      </c>
      <c r="M27" s="109" t="str">
        <f t="array" ref="M27">IFERROR(G27/SUM(G$21:G$32),"-")</f>
        <v>-</v>
      </c>
      <c r="N27" s="109">
        <f t="array" ref="N27">IFERROR(H27/SUM(H$21:H$32),"-")</f>
        <v>5.9530932055326712E-3</v>
      </c>
      <c r="O27" s="110">
        <v>7882077.2999999998</v>
      </c>
      <c r="P27" s="111">
        <v>3306421.97908</v>
      </c>
      <c r="Q27" s="111">
        <v>3359595.8832299798</v>
      </c>
      <c r="R27" s="111">
        <f t="array" ref="R27">INDEX(I$38:I$65,MATCH($B27,$B$38:$B$65,0))</f>
        <v>2139593.7946299999</v>
      </c>
      <c r="S27" s="111">
        <f t="array" ref="S27">INDEX(J$38:J$65,MATCH($B27,$B$38:$B$65,0))</f>
        <v>1912555.6805130001</v>
      </c>
      <c r="T27" s="112">
        <f t="array" ref="T27">INDEX(K$38:K$65,MATCH($B27,$B$38:$B$65,0))</f>
        <v>1437006.24</v>
      </c>
      <c r="U27" s="109">
        <f t="array" ref="U27">IFERROR(O27/SUM(O$21:O$32),"-")</f>
        <v>3.8626803153839151E-2</v>
      </c>
      <c r="V27" s="109">
        <f t="array" ref="V27">IFERROR(P27/SUM(P$21:P$32),"-")</f>
        <v>1.7752588149677402E-2</v>
      </c>
      <c r="W27" s="109">
        <f t="array" ref="W27">IFERROR(Q27/SUM(Q$21:Q$32),"-")</f>
        <v>2.8589201014297759E-2</v>
      </c>
      <c r="X27" s="109">
        <f t="array" ref="X27">IFERROR(R27/SUM(R$21:R$32),"-")</f>
        <v>2.4553260024092249E-2</v>
      </c>
      <c r="Y27" s="109">
        <f t="array" ref="Y27">IFERROR(S27/SUM(S$21:S$32),"-")</f>
        <v>1.8563211982040563E-2</v>
      </c>
      <c r="Z27" s="109">
        <f t="array" ref="Z27">IFERROR(T27/SUM(T$21:T$32),"-")</f>
        <v>1.1851030511633399E-2</v>
      </c>
    </row>
    <row r="28" spans="1:26" x14ac:dyDescent="0.35">
      <c r="B28" s="2" t="s">
        <v>146</v>
      </c>
      <c r="C28" s="113">
        <v>70928.44</v>
      </c>
      <c r="D28" s="114">
        <v>66345.95</v>
      </c>
      <c r="E28" s="114">
        <v>71089.25</v>
      </c>
      <c r="F28" s="114">
        <f t="array" ref="F28">INDEX(C$38:C$65,MATCH($B28,$B$38:$B$65,0))</f>
        <v>39361.74</v>
      </c>
      <c r="G28" s="114">
        <f t="array" ref="G28">INDEX(D$38:D$65,MATCH($B28,$B$38:$B$65,0))</f>
        <v>0</v>
      </c>
      <c r="H28" s="115">
        <f t="array" ref="H28">INDEX(E$38:E$65,MATCH($B28,$B$38:$B$65,0))</f>
        <v>115760.63</v>
      </c>
      <c r="I28" s="20">
        <f t="array" ref="I28">IFERROR(C28/SUM(C$21:C$32),"-")</f>
        <v>4.625603908762356E-2</v>
      </c>
      <c r="J28" s="20">
        <f t="array" ref="J28">IFERROR(D28/SUM(D$21:D$32),"-")</f>
        <v>2.4904597369766832E-2</v>
      </c>
      <c r="K28" s="20">
        <f t="array" ref="K28">IFERROR(E28/SUM(E$21:E$32),"-")</f>
        <v>4.0109624048397734E-2</v>
      </c>
      <c r="L28" s="20">
        <f t="array" ref="L28">IFERROR(F28/SUM(F$21:F$32),"-")</f>
        <v>3.9808576945121285E-2</v>
      </c>
      <c r="M28" s="20" t="str">
        <f t="array" ref="M28">IFERROR(G28/SUM(G$21:G$32),"-")</f>
        <v>-</v>
      </c>
      <c r="N28" s="20">
        <f t="array" ref="N28">IFERROR(H28/SUM(H$21:H$32),"-")</f>
        <v>3.8055294811689462E-2</v>
      </c>
      <c r="O28" s="113">
        <v>10945737.039999999</v>
      </c>
      <c r="P28" s="114">
        <v>8197950.5178399999</v>
      </c>
      <c r="Q28" s="114">
        <v>6681042.8976802099</v>
      </c>
      <c r="R28" s="114">
        <f t="array" ref="R28">INDEX(I$38:I$65,MATCH($B28,$B$38:$B$65,0))</f>
        <v>5269116.9512999998</v>
      </c>
      <c r="S28" s="114">
        <f t="array" ref="S28">INDEX(J$38:J$65,MATCH($B28,$B$38:$B$65,0))</f>
        <v>7155142.9765309999</v>
      </c>
      <c r="T28" s="115">
        <f t="array" ref="T28">INDEX(K$38:K$65,MATCH($B28,$B$38:$B$65,0))</f>
        <v>12435430.718</v>
      </c>
      <c r="U28" s="20">
        <f t="array" ref="U28">IFERROR(O28/SUM(O$21:O$32),"-")</f>
        <v>5.3640533316993221E-2</v>
      </c>
      <c r="V28" s="20">
        <f t="array" ref="V28">IFERROR(P28/SUM(P$21:P$32),"-")</f>
        <v>4.4015809275240375E-2</v>
      </c>
      <c r="W28" s="20">
        <f t="array" ref="W28">IFERROR(Q28/SUM(Q$21:Q$32),"-")</f>
        <v>5.6853766055722565E-2</v>
      </c>
      <c r="X28" s="20">
        <f t="array" ref="X28">IFERROR(R28/SUM(R$21:R$32),"-")</f>
        <v>6.0466617040733084E-2</v>
      </c>
      <c r="Y28" s="20">
        <f t="array" ref="Y28">IFERROR(S28/SUM(S$21:S$32),"-")</f>
        <v>6.9447617754860344E-2</v>
      </c>
      <c r="Z28" s="20">
        <f t="array" ref="Z28">IFERROR(T28/SUM(T$21:T$32),"-")</f>
        <v>0.10255534371536286</v>
      </c>
    </row>
    <row r="29" spans="1:26" x14ac:dyDescent="0.35">
      <c r="B29" s="81" t="s">
        <v>147</v>
      </c>
      <c r="C29" s="110">
        <v>0</v>
      </c>
      <c r="D29" s="111">
        <v>0</v>
      </c>
      <c r="E29" s="111">
        <v>998</v>
      </c>
      <c r="F29" s="111">
        <f t="array" ref="F29">INDEX(C$38:C$65,MATCH($B29,$B$38:$B$65,0))</f>
        <v>0</v>
      </c>
      <c r="G29" s="111">
        <f t="array" ref="G29">INDEX(D$38:D$65,MATCH($B29,$B$38:$B$65,0))</f>
        <v>0</v>
      </c>
      <c r="H29" s="112">
        <f t="array" ref="H29">INDEX(E$38:E$65,MATCH($B29,$B$38:$B$65,0))</f>
        <v>0</v>
      </c>
      <c r="I29" s="109">
        <f t="array" ref="I29">IFERROR(C29/SUM(C$21:C$32),"-")</f>
        <v>0</v>
      </c>
      <c r="J29" s="109">
        <f t="array" ref="J29">IFERROR(D29/SUM(D$21:D$32),"-")</f>
        <v>0</v>
      </c>
      <c r="K29" s="109">
        <f t="array" ref="K29">IFERROR(E29/SUM(E$21:E$32),"-")</f>
        <v>5.6308661014571029E-4</v>
      </c>
      <c r="L29" s="109">
        <f t="array" ref="L29">IFERROR(F29/SUM(F$21:F$32),"-")</f>
        <v>0</v>
      </c>
      <c r="M29" s="109" t="str">
        <f t="array" ref="M29">IFERROR(G29/SUM(G$21:G$32),"-")</f>
        <v>-</v>
      </c>
      <c r="N29" s="109">
        <f t="array" ref="N29">IFERROR(H29/SUM(H$21:H$32),"-")</f>
        <v>0</v>
      </c>
      <c r="O29" s="110">
        <v>4598093.01</v>
      </c>
      <c r="P29" s="111">
        <v>2015158.4</v>
      </c>
      <c r="Q29" s="111">
        <v>1872896.92</v>
      </c>
      <c r="R29" s="111">
        <f t="array" ref="R29">INDEX(I$38:I$65,MATCH($B29,$B$38:$B$65,0))</f>
        <v>343688.04590000003</v>
      </c>
      <c r="S29" s="111">
        <f t="array" ref="S29">INDEX(J$38:J$65,MATCH($B29,$B$38:$B$65,0))</f>
        <v>524566.26304999995</v>
      </c>
      <c r="T29" s="112">
        <f t="array" ref="T29">INDEX(K$38:K$65,MATCH($B29,$B$38:$B$65,0))</f>
        <v>1444284.62</v>
      </c>
      <c r="U29" s="109">
        <f t="array" ref="U29">IFERROR(O29/SUM(O$21:O$32),"-")</f>
        <v>2.253335343213568E-2</v>
      </c>
      <c r="V29" s="109">
        <f t="array" ref="V29">IFERROR(P29/SUM(P$21:P$32),"-")</f>
        <v>1.0819634444093834E-2</v>
      </c>
      <c r="W29" s="109">
        <f t="array" ref="W29">IFERROR(Q29/SUM(Q$21:Q$32),"-")</f>
        <v>1.5937817638191746E-2</v>
      </c>
      <c r="X29" s="109">
        <f t="array" ref="X29">IFERROR(R29/SUM(R$21:R$32),"-")</f>
        <v>3.9440486223760764E-3</v>
      </c>
      <c r="Y29" s="109">
        <f t="array" ref="Y29">IFERROR(S29/SUM(S$21:S$32),"-")</f>
        <v>5.0914254883351155E-3</v>
      </c>
      <c r="Z29" s="109">
        <f t="array" ref="Z29">IFERROR(T29/SUM(T$21:T$32),"-")</f>
        <v>1.1911055514346862E-2</v>
      </c>
    </row>
    <row r="30" spans="1:26" x14ac:dyDescent="0.35">
      <c r="B30" s="2" t="s">
        <v>148</v>
      </c>
      <c r="C30" s="113">
        <v>286948.87</v>
      </c>
      <c r="D30" s="114">
        <v>698677.27</v>
      </c>
      <c r="E30" s="114">
        <v>260689.3</v>
      </c>
      <c r="F30" s="114">
        <f t="array" ref="F30">INDEX(C$38:C$65,MATCH($B30,$B$38:$B$65,0))</f>
        <v>215096.14</v>
      </c>
      <c r="G30" s="114">
        <f t="array" ref="G30">INDEX(D$38:D$65,MATCH($B30,$B$38:$B$65,0))</f>
        <v>0</v>
      </c>
      <c r="H30" s="115">
        <f t="array" ref="H30">INDEX(E$38:E$65,MATCH($B30,$B$38:$B$65,0))</f>
        <v>443665.91</v>
      </c>
      <c r="I30" s="20">
        <f t="array" ref="I30">IFERROR(C30/SUM(C$21:C$32),"-")</f>
        <v>0.18713393593415295</v>
      </c>
      <c r="J30" s="20">
        <f t="array" ref="J30">IFERROR(D30/SUM(D$21:D$32),"-")</f>
        <v>0.26226583688616822</v>
      </c>
      <c r="K30" s="20">
        <f t="array" ref="K30">IFERROR(E30/SUM(E$21:E$32),"-")</f>
        <v>0.14708482388603017</v>
      </c>
      <c r="L30" s="20">
        <f t="array" ref="L30">IFERROR(F30/SUM(F$21:F$32),"-")</f>
        <v>0.21753792489327406</v>
      </c>
      <c r="M30" s="20" t="str">
        <f t="array" ref="M30">IFERROR(G30/SUM(G$21:G$32),"-")</f>
        <v>-</v>
      </c>
      <c r="N30" s="20">
        <f t="array" ref="N30">IFERROR(H30/SUM(H$21:H$32),"-")</f>
        <v>0.14585128815337722</v>
      </c>
      <c r="O30" s="113">
        <v>26091700.440000001</v>
      </c>
      <c r="P30" s="114">
        <v>23273668.944499999</v>
      </c>
      <c r="Q30" s="114">
        <v>19702710.103551</v>
      </c>
      <c r="R30" s="114">
        <f t="array" ref="R30">INDEX(I$38:I$65,MATCH($B30,$B$38:$B$65,0))</f>
        <v>14165479.93117</v>
      </c>
      <c r="S30" s="114">
        <f t="array" ref="S30">INDEX(J$38:J$65,MATCH($B30,$B$38:$B$65,0))</f>
        <v>13156607.380449999</v>
      </c>
      <c r="T30" s="115">
        <f t="array" ref="T30">INDEX(K$38:K$65,MATCH($B30,$B$38:$B$65,0))</f>
        <v>13739287.880000001</v>
      </c>
      <c r="U30" s="20">
        <f t="array" ref="U30">IFERROR(O30/SUM(O$21:O$32),"-")</f>
        <v>0.127864640054319</v>
      </c>
      <c r="V30" s="20">
        <f t="array" ref="V30">IFERROR(P30/SUM(P$21:P$32),"-")</f>
        <v>0.12495920427513252</v>
      </c>
      <c r="W30" s="20">
        <f t="array" ref="W30">IFERROR(Q30/SUM(Q$21:Q$32),"-")</f>
        <v>0.16766443323989974</v>
      </c>
      <c r="X30" s="20">
        <f t="array" ref="X30">IFERROR(R30/SUM(R$21:R$32),"-")</f>
        <v>0.16255829166686472</v>
      </c>
      <c r="Y30" s="20">
        <f t="array" ref="Y30">IFERROR(S30/SUM(S$21:S$32),"-")</f>
        <v>0.12769766352750778</v>
      </c>
      <c r="Z30" s="20">
        <f t="array" ref="Z30">IFERROR(T30/SUM(T$21:T$32),"-")</f>
        <v>0.11330829006977378</v>
      </c>
    </row>
    <row r="31" spans="1:26" x14ac:dyDescent="0.35">
      <c r="B31" s="81" t="s">
        <v>149</v>
      </c>
      <c r="C31" s="110">
        <v>48264.4</v>
      </c>
      <c r="D31" s="111">
        <v>43784.94</v>
      </c>
      <c r="E31" s="111">
        <v>23892.26</v>
      </c>
      <c r="F31" s="111">
        <f t="array" ref="F31">INDEX(C$38:C$65,MATCH($B31,$B$38:$B$65,0))</f>
        <v>38929.800000000003</v>
      </c>
      <c r="G31" s="111">
        <f t="array" ref="G31">INDEX(D$38:D$65,MATCH($B31,$B$38:$B$65,0))</f>
        <v>0</v>
      </c>
      <c r="H31" s="112">
        <f t="array" ref="H31">INDEX(E$38:E$65,MATCH($B31,$B$38:$B$65,0))</f>
        <v>151114.65000000002</v>
      </c>
      <c r="I31" s="109">
        <f t="array" ref="I31">IFERROR(C31/SUM(C$21:C$32),"-")</f>
        <v>3.1475667206845359E-2</v>
      </c>
      <c r="J31" s="109">
        <f t="array" ref="J31">IFERROR(D31/SUM(D$21:D$32),"-")</f>
        <v>1.6435762869615986E-2</v>
      </c>
      <c r="K31" s="109">
        <f t="array" ref="K31">IFERROR(E31/SUM(E$21:E$32),"-")</f>
        <v>1.3480372436993935E-2</v>
      </c>
      <c r="L31" s="109">
        <f t="array" ref="L31">IFERROR(F31/SUM(F$21:F$32),"-")</f>
        <v>3.9371733535107513E-2</v>
      </c>
      <c r="M31" s="109" t="str">
        <f t="array" ref="M31">IFERROR(G31/SUM(G$21:G$32),"-")</f>
        <v>-</v>
      </c>
      <c r="N31" s="109">
        <f t="array" ref="N31">IFERROR(H31/SUM(H$21:H$32),"-")</f>
        <v>4.9677619723694229E-2</v>
      </c>
      <c r="O31" s="110">
        <v>3566177.09</v>
      </c>
      <c r="P31" s="111">
        <v>3214670.92068</v>
      </c>
      <c r="Q31" s="111">
        <v>2691543.5281990198</v>
      </c>
      <c r="R31" s="111">
        <f t="array" ref="R31">INDEX(I$38:I$65,MATCH($B31,$B$38:$B$65,0))</f>
        <v>2819721.5892000003</v>
      </c>
      <c r="S31" s="111">
        <f t="array" ref="S31">INDEX(J$38:J$65,MATCH($B31,$B$38:$B$65,0))</f>
        <v>4675127.2374949995</v>
      </c>
      <c r="T31" s="112">
        <f t="array" ref="T31">INDEX(K$38:K$65,MATCH($B31,$B$38:$B$65,0))</f>
        <v>7461348.9900000002</v>
      </c>
      <c r="U31" s="109">
        <f t="array" ref="U31">IFERROR(O31/SUM(O$21:O$32),"-")</f>
        <v>1.7476360003112493E-2</v>
      </c>
      <c r="V31" s="109">
        <f t="array" ref="V31">IFERROR(P31/SUM(P$21:P$32),"-")</f>
        <v>1.7259965380297733E-2</v>
      </c>
      <c r="W31" s="109">
        <f t="array" ref="W31">IFERROR(Q31/SUM(Q$21:Q$32),"-")</f>
        <v>2.2904266358498352E-2</v>
      </c>
      <c r="X31" s="109">
        <f t="array" ref="X31">IFERROR(R31/SUM(R$21:R$32),"-")</f>
        <v>3.2358178243429972E-2</v>
      </c>
      <c r="Y31" s="109">
        <f t="array" ref="Y31">IFERROR(S31/SUM(S$21:S$32),"-")</f>
        <v>4.5376654304439989E-2</v>
      </c>
      <c r="Z31" s="109">
        <f t="array" ref="Z31">IFERROR(T31/SUM(T$21:T$32),"-")</f>
        <v>6.1533953073464064E-2</v>
      </c>
    </row>
    <row r="32" spans="1:26" ht="15" thickBot="1" x14ac:dyDescent="0.4">
      <c r="B32" s="153" t="s">
        <v>150</v>
      </c>
      <c r="C32" s="186">
        <v>103599.45</v>
      </c>
      <c r="D32" s="187">
        <v>202632.8</v>
      </c>
      <c r="E32" s="187">
        <v>268382.56</v>
      </c>
      <c r="F32" s="187">
        <f t="array" ref="F32">IFERROR(SUM((INDEX(C$38:C$65,MATCH($B32,$B$38:$B$65,0))),C40,C43,C45,C46,C48,C49,C50,C52,C59,C60),"-")</f>
        <v>127987.62</v>
      </c>
      <c r="G32" s="187">
        <f t="array" ref="G32">IFERROR(SUM((INDEX(D$38:D$65,MATCH($B32,$B$38:$B$65,0))),D40,D43,D45,D46,D48,D49,D50,D52,D59,D60),"-")</f>
        <v>0</v>
      </c>
      <c r="H32" s="188">
        <f t="array" ref="H32">IFERROR(SUM((INDEX(E$38:E$65,MATCH($B32,$B$38:$B$65,0))),E40,E43,E45,E46,E48,E49,E50,E52,E59,E60),"-")</f>
        <v>611847.97000000009</v>
      </c>
      <c r="I32" s="185">
        <f t="array" ref="I32">IFERROR(C32/SUM(C$21:C$32),"-")</f>
        <v>6.7562464487535639E-2</v>
      </c>
      <c r="J32" s="185">
        <f t="array" ref="J32">IFERROR(D32/SUM(D$21:D$32),"-")</f>
        <v>7.6063245728013373E-2</v>
      </c>
      <c r="K32" s="185">
        <f t="array" ref="K32">IFERROR(E32/SUM(E$21:E$32),"-")</f>
        <v>0.15142547688640051</v>
      </c>
      <c r="L32" s="185">
        <f t="array" ref="L32">IFERROR(F32/SUM(F$21:F$32),"-")</f>
        <v>0.12944054350221673</v>
      </c>
      <c r="M32" s="185" t="str">
        <f t="array" ref="M32">IFERROR(G32/SUM(G$21:G$32),"-")</f>
        <v>-</v>
      </c>
      <c r="N32" s="185">
        <f t="array" ref="N32">IFERROR(H32/SUM(H$21:H$32),"-")</f>
        <v>0.20113966966388946</v>
      </c>
      <c r="O32" s="186">
        <v>43727161.270000003</v>
      </c>
      <c r="P32" s="187">
        <v>58876109.289619997</v>
      </c>
      <c r="Q32" s="187">
        <v>19148056.440428499</v>
      </c>
      <c r="R32" s="187">
        <f t="array" ref="R32">IFERROR(SUM((INDEX(I$38:I$65,MATCH($B32,$B$38:$B$65,0))),I40,I43,I45,I46,I48,I49,I50,I52,I59,I60),"-")</f>
        <v>13871727.1261</v>
      </c>
      <c r="S32" s="187">
        <f t="array" ref="S32">IFERROR(SUM((INDEX(J$38:J$65,MATCH($B32,$B$38:$B$65,0))),J40,J43,J45,J46,J48,J49,J50,J52,J59,J60),"-")</f>
        <v>23177653.992907003</v>
      </c>
      <c r="T32" s="188">
        <f t="array" ref="T32">IFERROR(SUM((INDEX(K$38:K$65,MATCH($B32,$B$38:$B$65,0))),K40,K43,K45,K46,K48,K49,K50,K52,K59,K60),"-")</f>
        <v>21774360.520499997</v>
      </c>
      <c r="U32" s="185">
        <f t="array" ref="U32">IFERROR(O32/SUM(O$21:O$32),"-")</f>
        <v>0.21428874477702334</v>
      </c>
      <c r="V32" s="185">
        <f t="array" ref="V32">IFERROR(P32/SUM(P$21:P$32),"-")</f>
        <v>0.31611310555249927</v>
      </c>
      <c r="W32" s="185">
        <f t="array" ref="W32">IFERROR(Q32/SUM(Q$21:Q$32),"-")</f>
        <v>0.16294448905033834</v>
      </c>
      <c r="X32" s="185">
        <f t="array" ref="X32">IFERROR(R32/SUM(R$21:R$32),"-")</f>
        <v>0.15918728310262581</v>
      </c>
      <c r="Y32" s="185">
        <f t="array" ref="Y32">IFERROR(S32/SUM(S$21:S$32),"-")</f>
        <v>0.22496166187502381</v>
      </c>
      <c r="Z32" s="185">
        <f t="array" ref="Z32">IFERROR(T32/SUM(T$21:T$32),"-")</f>
        <v>0.17957375807898451</v>
      </c>
    </row>
    <row r="33" spans="1:20" x14ac:dyDescent="0.35">
      <c r="B33" s="5"/>
      <c r="C33" s="175"/>
      <c r="D33" s="175"/>
      <c r="E33" s="175"/>
      <c r="F33" s="79"/>
      <c r="G33" s="176"/>
      <c r="H33" s="176"/>
      <c r="I33" s="176"/>
      <c r="J33" s="176"/>
      <c r="K33" s="176"/>
      <c r="L33" s="15"/>
      <c r="M33" s="175"/>
      <c r="N33" s="175"/>
      <c r="O33" s="175"/>
      <c r="P33" s="79"/>
      <c r="Q33" s="176"/>
      <c r="R33" s="176"/>
      <c r="S33" s="176"/>
      <c r="T33" s="176"/>
    </row>
    <row r="34" spans="1:20" x14ac:dyDescent="0.35">
      <c r="A34" s="5" t="s">
        <v>67</v>
      </c>
      <c r="B34" s="5"/>
      <c r="C34" s="175"/>
      <c r="D34" s="175"/>
      <c r="E34" s="175"/>
      <c r="F34" s="79"/>
      <c r="G34" s="176"/>
      <c r="H34" s="176"/>
      <c r="I34" s="176"/>
      <c r="J34" s="176"/>
      <c r="K34" s="176"/>
      <c r="L34" s="175"/>
      <c r="M34" s="175"/>
      <c r="N34" s="175"/>
      <c r="O34" s="175"/>
      <c r="P34" s="79"/>
      <c r="Q34" s="176"/>
      <c r="R34" s="176"/>
      <c r="S34" s="176"/>
      <c r="T34" s="176"/>
    </row>
    <row r="35" spans="1:20" ht="15" customHeight="1" x14ac:dyDescent="0.35">
      <c r="B35" s="421" t="s">
        <v>137</v>
      </c>
      <c r="C35" s="401" t="str">
        <f>$A$1</f>
        <v>Midlothian</v>
      </c>
      <c r="D35" s="402"/>
      <c r="E35" s="402"/>
      <c r="F35" s="402"/>
      <c r="G35" s="402"/>
      <c r="H35" s="415"/>
      <c r="I35" s="401" t="s">
        <v>46</v>
      </c>
      <c r="J35" s="402"/>
      <c r="K35" s="402"/>
      <c r="L35" s="402"/>
      <c r="M35" s="402"/>
      <c r="N35" s="402"/>
    </row>
    <row r="36" spans="1:20" ht="15" customHeight="1" x14ac:dyDescent="0.35">
      <c r="B36" s="421"/>
      <c r="C36" s="398" t="s">
        <v>53</v>
      </c>
      <c r="D36" s="399"/>
      <c r="E36" s="418"/>
      <c r="F36" s="399" t="s">
        <v>61</v>
      </c>
      <c r="G36" s="399"/>
      <c r="H36" s="400"/>
      <c r="I36" s="398" t="s">
        <v>53</v>
      </c>
      <c r="J36" s="399"/>
      <c r="K36" s="418"/>
      <c r="L36" s="420" t="s">
        <v>61</v>
      </c>
      <c r="M36" s="399"/>
      <c r="N36" s="399"/>
    </row>
    <row r="37" spans="1:20" ht="17" thickBot="1" x14ac:dyDescent="0.4">
      <c r="B37" s="141" t="s">
        <v>151</v>
      </c>
      <c r="C37" s="105" t="s">
        <v>58</v>
      </c>
      <c r="D37" s="104" t="s">
        <v>59</v>
      </c>
      <c r="E37" s="106" t="s">
        <v>60</v>
      </c>
      <c r="F37" s="104" t="s">
        <v>58</v>
      </c>
      <c r="G37" s="104" t="s">
        <v>59</v>
      </c>
      <c r="H37" s="106" t="s">
        <v>60</v>
      </c>
      <c r="I37" s="105" t="s">
        <v>58</v>
      </c>
      <c r="J37" s="104" t="s">
        <v>59</v>
      </c>
      <c r="K37" s="106" t="s">
        <v>60</v>
      </c>
      <c r="L37" s="198" t="s">
        <v>58</v>
      </c>
      <c r="M37" s="104" t="s">
        <v>59</v>
      </c>
      <c r="N37" s="104" t="s">
        <v>60</v>
      </c>
    </row>
    <row r="38" spans="1:20" x14ac:dyDescent="0.35">
      <c r="B38" s="177" t="s">
        <v>139</v>
      </c>
      <c r="C38" s="271">
        <v>33319.440000000002</v>
      </c>
      <c r="D38" s="317">
        <v>0</v>
      </c>
      <c r="E38" s="272">
        <v>22458.31</v>
      </c>
      <c r="F38" s="178">
        <f t="shared" ref="F38:H65" si="0">IFERROR((C38/SUM(C$38:C$54,C$58:C$61,C$65)),"-")</f>
        <v>3.3697684375953711E-2</v>
      </c>
      <c r="G38" s="178" t="str">
        <f t="shared" ref="G38:G65" si="1">IFERROR((D38/SUM(D$38:D$54,D$58:D$61,D$65)),"-")</f>
        <v>-</v>
      </c>
      <c r="H38" s="360">
        <f t="shared" si="0"/>
        <v>7.382973019603588E-3</v>
      </c>
      <c r="I38" s="271">
        <v>2948004.5286300001</v>
      </c>
      <c r="J38" s="317">
        <v>2443382.859065</v>
      </c>
      <c r="K38" s="272">
        <v>2903580.5</v>
      </c>
      <c r="L38" s="281">
        <f t="shared" ref="L38:L65" si="2">IFERROR((I38/SUM(I$38:I$54,I$58:I$61,I$65)),"-")</f>
        <v>3.3830310185663598E-2</v>
      </c>
      <c r="M38" s="178">
        <f t="shared" ref="M38:N65" si="3">IFERROR((K38/SUM(K$38:K$54,K$58:K$61,K$65)),"-")</f>
        <v>2.3945909308287876E-2</v>
      </c>
      <c r="N38" s="178">
        <f t="shared" si="3"/>
        <v>3.3830310185663598E-2</v>
      </c>
    </row>
    <row r="39" spans="1:20" x14ac:dyDescent="0.35">
      <c r="B39" s="2" t="s">
        <v>140</v>
      </c>
      <c r="C39" s="113">
        <v>2604.35</v>
      </c>
      <c r="D39" s="114">
        <v>0</v>
      </c>
      <c r="E39" s="115">
        <v>190431.39</v>
      </c>
      <c r="F39" s="20">
        <f t="shared" si="0"/>
        <v>2.6339147448010843E-3</v>
      </c>
      <c r="G39" s="20" t="str">
        <f t="shared" si="1"/>
        <v>-</v>
      </c>
      <c r="H39" s="361">
        <f t="shared" si="0"/>
        <v>6.2602654182599166E-2</v>
      </c>
      <c r="I39" s="113">
        <v>2337344.7159299999</v>
      </c>
      <c r="J39" s="114">
        <v>3550453.5422129999</v>
      </c>
      <c r="K39" s="115">
        <v>5222129.51</v>
      </c>
      <c r="L39" s="282">
        <f t="shared" si="2"/>
        <v>2.6822583202570791E-2</v>
      </c>
      <c r="M39" s="20">
        <f t="shared" si="3"/>
        <v>4.3067047613315285E-2</v>
      </c>
      <c r="N39" s="20">
        <f t="shared" si="3"/>
        <v>2.6822583202570791E-2</v>
      </c>
    </row>
    <row r="40" spans="1:20" x14ac:dyDescent="0.35">
      <c r="B40" s="81" t="s">
        <v>152</v>
      </c>
      <c r="C40" s="110">
        <v>34453</v>
      </c>
      <c r="D40" s="111">
        <v>0</v>
      </c>
      <c r="E40" s="112">
        <v>12613.96</v>
      </c>
      <c r="F40" s="109">
        <f t="shared" si="0"/>
        <v>3.4844112620282128E-2</v>
      </c>
      <c r="G40" s="109" t="str">
        <f t="shared" si="1"/>
        <v>-</v>
      </c>
      <c r="H40" s="362">
        <f t="shared" si="0"/>
        <v>4.1467290437418878E-3</v>
      </c>
      <c r="I40" s="110">
        <v>1529661.96</v>
      </c>
      <c r="J40" s="111">
        <v>1385505.197493</v>
      </c>
      <c r="K40" s="112">
        <v>2896538.2201</v>
      </c>
      <c r="L40" s="283">
        <f t="shared" si="2"/>
        <v>1.7553887072914016E-2</v>
      </c>
      <c r="M40" s="109">
        <f t="shared" si="3"/>
        <v>2.3887831429679388E-2</v>
      </c>
      <c r="N40" s="109">
        <f t="shared" si="3"/>
        <v>1.7553887072914016E-2</v>
      </c>
    </row>
    <row r="41" spans="1:20" x14ac:dyDescent="0.35">
      <c r="B41" s="2" t="s">
        <v>141</v>
      </c>
      <c r="C41" s="113">
        <v>18957.78</v>
      </c>
      <c r="D41" s="114">
        <v>0</v>
      </c>
      <c r="E41" s="115">
        <v>75690.02</v>
      </c>
      <c r="F41" s="20">
        <f t="shared" si="0"/>
        <v>1.9172989909457292E-2</v>
      </c>
      <c r="G41" s="20" t="str">
        <f t="shared" si="1"/>
        <v>-</v>
      </c>
      <c r="H41" s="361">
        <f t="shared" si="0"/>
        <v>2.4882432182709028E-2</v>
      </c>
      <c r="I41" s="113">
        <v>2322996.2316299998</v>
      </c>
      <c r="J41" s="114">
        <v>2114335.806262</v>
      </c>
      <c r="K41" s="115">
        <v>2463387.4715</v>
      </c>
      <c r="L41" s="282">
        <f t="shared" si="2"/>
        <v>2.6657924814210473E-2</v>
      </c>
      <c r="M41" s="20">
        <f t="shared" si="3"/>
        <v>2.0315625133765565E-2</v>
      </c>
      <c r="N41" s="20">
        <f t="shared" si="3"/>
        <v>2.6657924814210473E-2</v>
      </c>
    </row>
    <row r="42" spans="1:20" x14ac:dyDescent="0.35">
      <c r="B42" s="81" t="s">
        <v>142</v>
      </c>
      <c r="C42" s="110">
        <v>84341.33</v>
      </c>
      <c r="D42" s="111">
        <v>0</v>
      </c>
      <c r="E42" s="112">
        <v>304346.28999999998</v>
      </c>
      <c r="F42" s="109">
        <f t="shared" si="0"/>
        <v>8.5298778076346893E-2</v>
      </c>
      <c r="G42" s="109" t="str">
        <f t="shared" si="1"/>
        <v>-</v>
      </c>
      <c r="H42" s="362">
        <f t="shared" si="0"/>
        <v>0.10005118139728453</v>
      </c>
      <c r="I42" s="110">
        <v>9845767.9155000001</v>
      </c>
      <c r="J42" s="111">
        <v>14674960.793243</v>
      </c>
      <c r="K42" s="112">
        <v>19142071.509</v>
      </c>
      <c r="L42" s="283">
        <f t="shared" si="2"/>
        <v>0.11298672690717042</v>
      </c>
      <c r="M42" s="109">
        <f t="shared" si="3"/>
        <v>0.15786519723743675</v>
      </c>
      <c r="N42" s="109">
        <f t="shared" si="3"/>
        <v>0.11298672690717042</v>
      </c>
    </row>
    <row r="43" spans="1:20" x14ac:dyDescent="0.35">
      <c r="B43" s="2" t="s">
        <v>153</v>
      </c>
      <c r="C43" s="113">
        <v>0</v>
      </c>
      <c r="D43" s="114">
        <v>0</v>
      </c>
      <c r="E43" s="115">
        <v>1000</v>
      </c>
      <c r="F43" s="20">
        <f t="shared" si="0"/>
        <v>0</v>
      </c>
      <c r="G43" s="20" t="str">
        <f t="shared" si="1"/>
        <v>-</v>
      </c>
      <c r="H43" s="361">
        <f t="shared" si="0"/>
        <v>3.2874125522372731E-4</v>
      </c>
      <c r="I43" s="113">
        <v>73983.631800000003</v>
      </c>
      <c r="J43" s="114">
        <v>132593.42741999999</v>
      </c>
      <c r="K43" s="115">
        <v>284180.32010000001</v>
      </c>
      <c r="L43" s="282">
        <f t="shared" si="2"/>
        <v>8.4901131872381166E-4</v>
      </c>
      <c r="M43" s="20">
        <f t="shared" si="3"/>
        <v>2.3436430201659018E-3</v>
      </c>
      <c r="N43" s="20">
        <f t="shared" si="3"/>
        <v>8.4901131872381166E-4</v>
      </c>
    </row>
    <row r="44" spans="1:20" x14ac:dyDescent="0.35">
      <c r="B44" s="81" t="s">
        <v>143</v>
      </c>
      <c r="C44" s="110">
        <v>380054.25</v>
      </c>
      <c r="D44" s="111">
        <v>0</v>
      </c>
      <c r="E44" s="112">
        <v>442724.32</v>
      </c>
      <c r="F44" s="109">
        <f t="shared" si="0"/>
        <v>0.38436864972039764</v>
      </c>
      <c r="G44" s="109" t="str">
        <f t="shared" si="1"/>
        <v>-</v>
      </c>
      <c r="H44" s="362">
        <f t="shared" si="0"/>
        <v>0.14554174867487113</v>
      </c>
      <c r="I44" s="110">
        <v>23924675.912889998</v>
      </c>
      <c r="J44" s="111">
        <v>18509174.379264999</v>
      </c>
      <c r="K44" s="112">
        <v>22178896.209199999</v>
      </c>
      <c r="L44" s="283">
        <f t="shared" si="2"/>
        <v>0.2745515481282787</v>
      </c>
      <c r="M44" s="109">
        <f t="shared" si="3"/>
        <v>0.18290997517838165</v>
      </c>
      <c r="N44" s="109">
        <f t="shared" si="3"/>
        <v>0.2745515481282787</v>
      </c>
    </row>
    <row r="45" spans="1:20" x14ac:dyDescent="0.35">
      <c r="B45" s="2" t="s">
        <v>154</v>
      </c>
      <c r="C45" s="113">
        <v>0</v>
      </c>
      <c r="D45" s="114">
        <v>0</v>
      </c>
      <c r="E45" s="115">
        <v>30944.99</v>
      </c>
      <c r="F45" s="20">
        <f t="shared" si="0"/>
        <v>0</v>
      </c>
      <c r="G45" s="20" t="str">
        <f t="shared" si="1"/>
        <v>-</v>
      </c>
      <c r="H45" s="361">
        <f t="shared" si="0"/>
        <v>1.0172894855485691E-2</v>
      </c>
      <c r="I45" s="113">
        <v>135119.31349999999</v>
      </c>
      <c r="J45" s="114">
        <v>244758.82475</v>
      </c>
      <c r="K45" s="115">
        <v>238194.18</v>
      </c>
      <c r="L45" s="282">
        <f t="shared" si="2"/>
        <v>1.5505838757660327E-3</v>
      </c>
      <c r="M45" s="20">
        <f t="shared" si="3"/>
        <v>1.964394041095812E-3</v>
      </c>
      <c r="N45" s="20">
        <f t="shared" si="3"/>
        <v>1.5505838757660327E-3</v>
      </c>
    </row>
    <row r="46" spans="1:20" x14ac:dyDescent="0.35">
      <c r="B46" s="81" t="s">
        <v>155</v>
      </c>
      <c r="C46" s="110">
        <v>0</v>
      </c>
      <c r="D46" s="111">
        <v>0</v>
      </c>
      <c r="E46" s="112">
        <v>7000</v>
      </c>
      <c r="F46" s="109">
        <f t="shared" si="0"/>
        <v>0</v>
      </c>
      <c r="G46" s="109" t="str">
        <f t="shared" si="1"/>
        <v>-</v>
      </c>
      <c r="H46" s="362">
        <f t="shared" si="0"/>
        <v>2.3011887865660914E-3</v>
      </c>
      <c r="I46" s="110">
        <v>270663.04499999998</v>
      </c>
      <c r="J46" s="111">
        <v>499992.9682</v>
      </c>
      <c r="K46" s="112">
        <v>909661.38970000006</v>
      </c>
      <c r="L46" s="283">
        <f t="shared" si="2"/>
        <v>3.1060382300028199E-3</v>
      </c>
      <c r="M46" s="109">
        <f t="shared" si="3"/>
        <v>7.5020028337452046E-3</v>
      </c>
      <c r="N46" s="109">
        <f t="shared" si="3"/>
        <v>3.1060382300028199E-3</v>
      </c>
    </row>
    <row r="47" spans="1:20" x14ac:dyDescent="0.35">
      <c r="B47" s="2" t="s">
        <v>145</v>
      </c>
      <c r="C47" s="113">
        <v>40624.089999999997</v>
      </c>
      <c r="D47" s="114">
        <v>0</v>
      </c>
      <c r="E47" s="115">
        <v>18108.75</v>
      </c>
      <c r="F47" s="20">
        <f t="shared" si="0"/>
        <v>4.108525722162009E-2</v>
      </c>
      <c r="G47" s="20" t="str">
        <f t="shared" si="1"/>
        <v>-</v>
      </c>
      <c r="H47" s="361">
        <f t="shared" si="0"/>
        <v>5.9530932055326721E-3</v>
      </c>
      <c r="I47" s="113">
        <v>2139593.7946299999</v>
      </c>
      <c r="J47" s="114">
        <v>1912555.6805130001</v>
      </c>
      <c r="K47" s="115">
        <v>1437006.24</v>
      </c>
      <c r="L47" s="282">
        <f t="shared" si="2"/>
        <v>2.4553260024092253E-2</v>
      </c>
      <c r="M47" s="20">
        <f t="shared" si="3"/>
        <v>1.1851030511633399E-2</v>
      </c>
      <c r="N47" s="20">
        <f t="shared" si="3"/>
        <v>2.4553260024092253E-2</v>
      </c>
    </row>
    <row r="48" spans="1:20" x14ac:dyDescent="0.35">
      <c r="B48" s="81" t="s">
        <v>156</v>
      </c>
      <c r="C48" s="110">
        <v>21282.82</v>
      </c>
      <c r="D48" s="111">
        <v>0</v>
      </c>
      <c r="E48" s="112">
        <v>282200.13</v>
      </c>
      <c r="F48" s="109">
        <f t="shared" si="0"/>
        <v>2.1524423909592572E-2</v>
      </c>
      <c r="G48" s="109" t="str">
        <f t="shared" si="1"/>
        <v>-</v>
      </c>
      <c r="H48" s="362">
        <f t="shared" si="0"/>
        <v>9.2770824960499029E-2</v>
      </c>
      <c r="I48" s="110">
        <v>1267001.486</v>
      </c>
      <c r="J48" s="111">
        <v>2066897.8693520001</v>
      </c>
      <c r="K48" s="112">
        <v>3825979.35</v>
      </c>
      <c r="L48" s="283">
        <f t="shared" si="2"/>
        <v>1.4539683660864685E-2</v>
      </c>
      <c r="M48" s="109">
        <f t="shared" si="3"/>
        <v>3.1552958332128969E-2</v>
      </c>
      <c r="N48" s="109">
        <f t="shared" si="3"/>
        <v>1.4539683660864685E-2</v>
      </c>
    </row>
    <row r="49" spans="2:14" x14ac:dyDescent="0.35">
      <c r="B49" s="2" t="s">
        <v>157</v>
      </c>
      <c r="C49" s="113">
        <v>0</v>
      </c>
      <c r="D49" s="114">
        <v>0</v>
      </c>
      <c r="E49" s="115">
        <v>5403</v>
      </c>
      <c r="F49" s="20">
        <f t="shared" si="0"/>
        <v>0</v>
      </c>
      <c r="G49" s="20" t="str">
        <f t="shared" si="1"/>
        <v>-</v>
      </c>
      <c r="H49" s="361">
        <f t="shared" si="0"/>
        <v>1.7761890019737988E-3</v>
      </c>
      <c r="I49" s="113">
        <v>62319.131000000001</v>
      </c>
      <c r="J49" s="114">
        <v>173673.24400000001</v>
      </c>
      <c r="K49" s="115">
        <v>706304.38</v>
      </c>
      <c r="L49" s="282">
        <f t="shared" si="2"/>
        <v>7.1515342386898034E-4</v>
      </c>
      <c r="M49" s="20">
        <f t="shared" si="3"/>
        <v>5.8249119070494159E-3</v>
      </c>
      <c r="N49" s="20">
        <f t="shared" si="3"/>
        <v>7.1515342386898034E-4</v>
      </c>
    </row>
    <row r="50" spans="2:14" x14ac:dyDescent="0.35">
      <c r="B50" s="81" t="s">
        <v>158</v>
      </c>
      <c r="C50" s="110">
        <v>0</v>
      </c>
      <c r="D50" s="111">
        <v>0</v>
      </c>
      <c r="E50" s="112">
        <v>0</v>
      </c>
      <c r="F50" s="109">
        <f t="shared" si="0"/>
        <v>0</v>
      </c>
      <c r="G50" s="109" t="str">
        <f t="shared" si="1"/>
        <v>-</v>
      </c>
      <c r="H50" s="362">
        <f t="shared" si="0"/>
        <v>0</v>
      </c>
      <c r="I50" s="110">
        <v>184544.51790000001</v>
      </c>
      <c r="J50" s="111">
        <v>916645.69733999996</v>
      </c>
      <c r="K50" s="112">
        <v>418798.78039999999</v>
      </c>
      <c r="L50" s="283">
        <f t="shared" si="2"/>
        <v>2.117770927075914E-3</v>
      </c>
      <c r="M50" s="109">
        <f t="shared" si="3"/>
        <v>3.4538452141691855E-3</v>
      </c>
      <c r="N50" s="109">
        <f t="shared" si="3"/>
        <v>2.117770927075914E-3</v>
      </c>
    </row>
    <row r="51" spans="2:14" x14ac:dyDescent="0.35">
      <c r="B51" s="2" t="s">
        <v>144</v>
      </c>
      <c r="C51" s="113">
        <v>7498.82</v>
      </c>
      <c r="D51" s="114">
        <v>0</v>
      </c>
      <c r="E51" s="115">
        <v>665757.77</v>
      </c>
      <c r="F51" s="20">
        <f t="shared" si="0"/>
        <v>7.5839470757038292E-3</v>
      </c>
      <c r="G51" s="20" t="str">
        <f t="shared" si="1"/>
        <v>-</v>
      </c>
      <c r="H51" s="361">
        <f t="shared" si="0"/>
        <v>0.21886204498474957</v>
      </c>
      <c r="I51" s="113">
        <v>7152808.4348999998</v>
      </c>
      <c r="J51" s="114">
        <v>11135389.955836</v>
      </c>
      <c r="K51" s="115">
        <v>11054020.429500001</v>
      </c>
      <c r="L51" s="282">
        <f t="shared" si="2"/>
        <v>8.2083228061983995E-2</v>
      </c>
      <c r="M51" s="20">
        <f t="shared" si="3"/>
        <v>9.1162814565247427E-2</v>
      </c>
      <c r="N51" s="20">
        <f t="shared" si="3"/>
        <v>8.2083228061983995E-2</v>
      </c>
    </row>
    <row r="52" spans="2:14" x14ac:dyDescent="0.35">
      <c r="B52" s="81" t="s">
        <v>159</v>
      </c>
      <c r="C52" s="110">
        <v>0</v>
      </c>
      <c r="D52" s="111">
        <v>0</v>
      </c>
      <c r="E52" s="112">
        <v>19560.47</v>
      </c>
      <c r="F52" s="109">
        <f t="shared" si="0"/>
        <v>0</v>
      </c>
      <c r="G52" s="109" t="str">
        <f t="shared" si="1"/>
        <v>-</v>
      </c>
      <c r="H52" s="362">
        <f t="shared" si="0"/>
        <v>6.4303334605660626E-3</v>
      </c>
      <c r="I52" s="110">
        <v>28182.1502</v>
      </c>
      <c r="J52" s="111">
        <v>50963.588999</v>
      </c>
      <c r="K52" s="112">
        <v>83622.86</v>
      </c>
      <c r="L52" s="283">
        <f t="shared" si="2"/>
        <v>3.2340889361117482E-4</v>
      </c>
      <c r="M52" s="109">
        <f t="shared" si="3"/>
        <v>6.8964005704668903E-4</v>
      </c>
      <c r="N52" s="109">
        <f t="shared" si="3"/>
        <v>3.2340889361117482E-4</v>
      </c>
    </row>
    <row r="53" spans="2:14" x14ac:dyDescent="0.35">
      <c r="B53" s="2" t="s">
        <v>148</v>
      </c>
      <c r="C53" s="113">
        <v>215096.14</v>
      </c>
      <c r="D53" s="114">
        <v>0</v>
      </c>
      <c r="E53" s="115">
        <v>443665.91</v>
      </c>
      <c r="F53" s="20">
        <f t="shared" si="0"/>
        <v>0.21753792489327409</v>
      </c>
      <c r="G53" s="20" t="str">
        <f t="shared" si="1"/>
        <v>-</v>
      </c>
      <c r="H53" s="361">
        <f t="shared" si="0"/>
        <v>0.14585128815337722</v>
      </c>
      <c r="I53" s="113">
        <v>14165479.93117</v>
      </c>
      <c r="J53" s="114">
        <v>13156607.380449999</v>
      </c>
      <c r="K53" s="115">
        <v>13739287.880000001</v>
      </c>
      <c r="L53" s="282">
        <f t="shared" si="2"/>
        <v>0.16255829166686475</v>
      </c>
      <c r="M53" s="20">
        <f t="shared" si="3"/>
        <v>0.11330829006977379</v>
      </c>
      <c r="N53" s="20">
        <f t="shared" si="3"/>
        <v>0.16255829166686475</v>
      </c>
    </row>
    <row r="54" spans="2:14" x14ac:dyDescent="0.35">
      <c r="B54" s="81" t="s">
        <v>146</v>
      </c>
      <c r="C54" s="110">
        <v>39361.74</v>
      </c>
      <c r="D54" s="111">
        <v>0</v>
      </c>
      <c r="E54" s="112">
        <v>115760.63</v>
      </c>
      <c r="F54" s="109">
        <f t="shared" si="0"/>
        <v>3.9808576945121292E-2</v>
      </c>
      <c r="G54" s="109" t="str">
        <f t="shared" si="1"/>
        <v>-</v>
      </c>
      <c r="H54" s="362">
        <f t="shared" si="0"/>
        <v>3.8055294811689469E-2</v>
      </c>
      <c r="I54" s="110">
        <v>5269116.9512999998</v>
      </c>
      <c r="J54" s="111">
        <v>7155142.9765309999</v>
      </c>
      <c r="K54" s="112">
        <v>12435430.718</v>
      </c>
      <c r="L54" s="283">
        <f t="shared" si="2"/>
        <v>6.0466617040733098E-2</v>
      </c>
      <c r="M54" s="109">
        <f t="shared" si="3"/>
        <v>0.10255534371536287</v>
      </c>
      <c r="N54" s="109">
        <f t="shared" si="3"/>
        <v>6.0466617040733098E-2</v>
      </c>
    </row>
    <row r="55" spans="2:14" x14ac:dyDescent="0.35">
      <c r="B55" s="179" t="s">
        <v>160</v>
      </c>
      <c r="C55" s="273">
        <v>0</v>
      </c>
      <c r="D55" s="318">
        <v>0</v>
      </c>
      <c r="E55" s="274">
        <v>36028.230000000003</v>
      </c>
      <c r="F55" s="180">
        <f t="shared" si="0"/>
        <v>0</v>
      </c>
      <c r="G55" s="180" t="str">
        <f t="shared" si="1"/>
        <v>-</v>
      </c>
      <c r="H55" s="363">
        <f t="shared" si="0"/>
        <v>1.1843965553689152E-2</v>
      </c>
      <c r="I55" s="273">
        <v>132718.1005</v>
      </c>
      <c r="J55" s="318">
        <v>38554.460500000001</v>
      </c>
      <c r="K55" s="274">
        <v>654060.02</v>
      </c>
      <c r="L55" s="284">
        <f t="shared" si="2"/>
        <v>1.523028361579086E-3</v>
      </c>
      <c r="M55" s="180">
        <f t="shared" si="3"/>
        <v>5.3940512140431291E-3</v>
      </c>
      <c r="N55" s="180">
        <f t="shared" si="3"/>
        <v>1.523028361579086E-3</v>
      </c>
    </row>
    <row r="56" spans="2:14" x14ac:dyDescent="0.35">
      <c r="B56" s="181" t="s">
        <v>161</v>
      </c>
      <c r="C56" s="275">
        <v>0</v>
      </c>
      <c r="D56" s="319">
        <v>0</v>
      </c>
      <c r="E56" s="276">
        <v>72829.399999999994</v>
      </c>
      <c r="F56" s="182">
        <f t="shared" si="0"/>
        <v>0</v>
      </c>
      <c r="G56" s="182" t="str">
        <f t="shared" si="1"/>
        <v>-</v>
      </c>
      <c r="H56" s="364">
        <f t="shared" si="0"/>
        <v>2.3942028373190927E-2</v>
      </c>
      <c r="I56" s="275">
        <v>296308.576</v>
      </c>
      <c r="J56" s="319">
        <v>1219380.4350000001</v>
      </c>
      <c r="K56" s="276">
        <v>3420066.61</v>
      </c>
      <c r="L56" s="285">
        <f t="shared" si="2"/>
        <v>3.4003377333381296E-3</v>
      </c>
      <c r="M56" s="182">
        <f t="shared" si="3"/>
        <v>2.8205384652281403E-2</v>
      </c>
      <c r="N56" s="182">
        <f t="shared" si="3"/>
        <v>3.4003377333381296E-3</v>
      </c>
    </row>
    <row r="57" spans="2:14" x14ac:dyDescent="0.35">
      <c r="B57" s="183" t="s">
        <v>162</v>
      </c>
      <c r="C57" s="277">
        <v>0</v>
      </c>
      <c r="D57" s="320">
        <v>0</v>
      </c>
      <c r="E57" s="278">
        <v>6903</v>
      </c>
      <c r="F57" s="184">
        <f t="shared" si="0"/>
        <v>0</v>
      </c>
      <c r="G57" s="184" t="str">
        <f t="shared" si="1"/>
        <v>-</v>
      </c>
      <c r="H57" s="365">
        <f t="shared" si="0"/>
        <v>2.26930088480939E-3</v>
      </c>
      <c r="I57" s="277">
        <v>148285.26999999999</v>
      </c>
      <c r="J57" s="320">
        <v>58617.64</v>
      </c>
      <c r="K57" s="278">
        <v>366590.82</v>
      </c>
      <c r="L57" s="286">
        <f t="shared" si="2"/>
        <v>1.701671972124197E-3</v>
      </c>
      <c r="M57" s="184">
        <f t="shared" si="3"/>
        <v>3.02328470967858E-3</v>
      </c>
      <c r="N57" s="184">
        <f t="shared" si="3"/>
        <v>1.701671972124197E-3</v>
      </c>
    </row>
    <row r="58" spans="2:14" x14ac:dyDescent="0.35">
      <c r="B58" s="2" t="s">
        <v>147</v>
      </c>
      <c r="C58" s="113">
        <v>0</v>
      </c>
      <c r="D58" s="114">
        <v>0</v>
      </c>
      <c r="E58" s="115">
        <v>0</v>
      </c>
      <c r="F58" s="20">
        <f t="shared" si="0"/>
        <v>0</v>
      </c>
      <c r="G58" s="20" t="str">
        <f t="shared" si="1"/>
        <v>-</v>
      </c>
      <c r="H58" s="361">
        <f t="shared" si="0"/>
        <v>0</v>
      </c>
      <c r="I58" s="113">
        <v>343688.04590000003</v>
      </c>
      <c r="J58" s="114">
        <v>524566.26304999995</v>
      </c>
      <c r="K58" s="115">
        <v>1444284.62</v>
      </c>
      <c r="L58" s="282">
        <f t="shared" si="2"/>
        <v>3.9440486223760772E-3</v>
      </c>
      <c r="M58" s="20">
        <f t="shared" si="3"/>
        <v>1.1911055514346862E-2</v>
      </c>
      <c r="N58" s="20">
        <f t="shared" si="3"/>
        <v>3.9440486223760772E-3</v>
      </c>
    </row>
    <row r="59" spans="2:14" x14ac:dyDescent="0.35">
      <c r="B59" s="81" t="s">
        <v>163</v>
      </c>
      <c r="C59" s="110">
        <v>0</v>
      </c>
      <c r="D59" s="111">
        <v>0</v>
      </c>
      <c r="E59" s="112">
        <v>5252.77</v>
      </c>
      <c r="F59" s="109">
        <f t="shared" si="0"/>
        <v>0</v>
      </c>
      <c r="G59" s="109" t="str">
        <f t="shared" si="1"/>
        <v>-</v>
      </c>
      <c r="H59" s="362">
        <f t="shared" si="0"/>
        <v>1.7268022032015384E-3</v>
      </c>
      <c r="I59" s="110">
        <v>449778.05040000001</v>
      </c>
      <c r="J59" s="111">
        <v>264653.95711000002</v>
      </c>
      <c r="K59" s="112">
        <v>363952.99</v>
      </c>
      <c r="L59" s="283">
        <f t="shared" si="2"/>
        <v>5.1615018945735105E-3</v>
      </c>
      <c r="M59" s="109">
        <f t="shared" si="3"/>
        <v>3.0015304521504413E-3</v>
      </c>
      <c r="N59" s="109">
        <f t="shared" si="3"/>
        <v>5.1615018945735105E-3</v>
      </c>
    </row>
    <row r="60" spans="2:14" x14ac:dyDescent="0.35">
      <c r="B60" s="2" t="s">
        <v>164</v>
      </c>
      <c r="C60" s="113">
        <v>2960.85</v>
      </c>
      <c r="D60" s="114">
        <v>0</v>
      </c>
      <c r="E60" s="115">
        <v>14047.17</v>
      </c>
      <c r="F60" s="20">
        <f t="shared" si="0"/>
        <v>2.9944617551958415E-3</v>
      </c>
      <c r="G60" s="20" t="str">
        <f t="shared" si="1"/>
        <v>-</v>
      </c>
      <c r="H60" s="361">
        <f t="shared" si="0"/>
        <v>4.6178842981410857E-3</v>
      </c>
      <c r="I60" s="113">
        <v>432297.89880000002</v>
      </c>
      <c r="J60" s="114">
        <v>863015.962833</v>
      </c>
      <c r="K60" s="115">
        <v>895196.18019999994</v>
      </c>
      <c r="L60" s="282">
        <f t="shared" si="2"/>
        <v>4.9609055437275906E-3</v>
      </c>
      <c r="M60" s="20">
        <f t="shared" si="3"/>
        <v>7.3827078478433542E-3</v>
      </c>
      <c r="N60" s="20">
        <f t="shared" si="3"/>
        <v>4.9609055437275906E-3</v>
      </c>
    </row>
    <row r="61" spans="2:14" x14ac:dyDescent="0.35">
      <c r="B61" s="81" t="s">
        <v>165</v>
      </c>
      <c r="C61" s="110">
        <v>38929.800000000003</v>
      </c>
      <c r="D61" s="111">
        <v>0</v>
      </c>
      <c r="E61" s="112">
        <v>151114.65000000002</v>
      </c>
      <c r="F61" s="109">
        <f t="shared" si="0"/>
        <v>3.937173353510752E-2</v>
      </c>
      <c r="G61" s="109" t="str">
        <f t="shared" si="1"/>
        <v>-</v>
      </c>
      <c r="H61" s="362">
        <f t="shared" si="0"/>
        <v>4.9677619723694236E-2</v>
      </c>
      <c r="I61" s="110">
        <v>2819721.5892000003</v>
      </c>
      <c r="J61" s="111">
        <v>4675127.2374949995</v>
      </c>
      <c r="K61" s="112">
        <v>7461348.9900000002</v>
      </c>
      <c r="L61" s="283">
        <f t="shared" si="2"/>
        <v>3.2358178243429979E-2</v>
      </c>
      <c r="M61" s="109">
        <f t="shared" si="3"/>
        <v>6.1533953073464077E-2</v>
      </c>
      <c r="N61" s="109">
        <f t="shared" si="3"/>
        <v>3.2358178243429979E-2</v>
      </c>
    </row>
    <row r="62" spans="2:14" x14ac:dyDescent="0.35">
      <c r="B62" s="179" t="s">
        <v>166</v>
      </c>
      <c r="C62" s="273">
        <v>9692.32</v>
      </c>
      <c r="D62" s="318">
        <v>0</v>
      </c>
      <c r="E62" s="274">
        <v>44890.94</v>
      </c>
      <c r="F62" s="180">
        <f t="shared" si="0"/>
        <v>9.8023478254959766E-3</v>
      </c>
      <c r="G62" s="180" t="str">
        <f t="shared" si="1"/>
        <v>-</v>
      </c>
      <c r="H62" s="363">
        <f t="shared" si="0"/>
        <v>1.4757503963773032E-2</v>
      </c>
      <c r="I62" s="273">
        <v>1032039.0999</v>
      </c>
      <c r="J62" s="318">
        <v>1984278.696305</v>
      </c>
      <c r="K62" s="274">
        <v>2548257.34</v>
      </c>
      <c r="L62" s="284">
        <f t="shared" si="2"/>
        <v>1.1843334205994394E-2</v>
      </c>
      <c r="M62" s="180">
        <f t="shared" si="3"/>
        <v>2.1015549304666738E-2</v>
      </c>
      <c r="N62" s="180">
        <f t="shared" si="3"/>
        <v>1.1843334205994394E-2</v>
      </c>
    </row>
    <row r="63" spans="2:14" x14ac:dyDescent="0.35">
      <c r="B63" s="181" t="s">
        <v>167</v>
      </c>
      <c r="C63" s="275">
        <v>4941.16</v>
      </c>
      <c r="D63" s="319">
        <v>0</v>
      </c>
      <c r="E63" s="276">
        <v>80588.460000000006</v>
      </c>
      <c r="F63" s="182">
        <f t="shared" si="0"/>
        <v>4.9972523587157357E-3</v>
      </c>
      <c r="G63" s="182" t="str">
        <f t="shared" si="1"/>
        <v>-</v>
      </c>
      <c r="H63" s="364">
        <f t="shared" si="0"/>
        <v>2.6492751496947145E-2</v>
      </c>
      <c r="I63" s="275">
        <v>332960.47859999997</v>
      </c>
      <c r="J63" s="319">
        <v>759678.80702299997</v>
      </c>
      <c r="K63" s="276">
        <v>962737.06</v>
      </c>
      <c r="L63" s="285">
        <f t="shared" si="2"/>
        <v>3.8209426617942461E-3</v>
      </c>
      <c r="M63" s="182">
        <f t="shared" si="3"/>
        <v>7.9397193659647824E-3</v>
      </c>
      <c r="N63" s="182">
        <f t="shared" si="3"/>
        <v>3.8209426617942461E-3</v>
      </c>
    </row>
    <row r="64" spans="2:14" x14ac:dyDescent="0.35">
      <c r="B64" s="183" t="s">
        <v>168</v>
      </c>
      <c r="C64" s="277">
        <v>15828.1</v>
      </c>
      <c r="D64" s="320">
        <v>0</v>
      </c>
      <c r="E64" s="278">
        <v>25635.25</v>
      </c>
      <c r="F64" s="184">
        <f t="shared" si="0"/>
        <v>1.6007781585495821E-2</v>
      </c>
      <c r="G64" s="184" t="str">
        <f t="shared" si="1"/>
        <v>-</v>
      </c>
      <c r="H64" s="365">
        <f t="shared" si="0"/>
        <v>8.4273642629740554E-3</v>
      </c>
      <c r="I64" s="277">
        <v>755674.46680000005</v>
      </c>
      <c r="J64" s="320">
        <v>1014022.525695</v>
      </c>
      <c r="K64" s="278">
        <v>1110171.0900000001</v>
      </c>
      <c r="L64" s="286">
        <f t="shared" si="2"/>
        <v>8.6718664652494296E-3</v>
      </c>
      <c r="M64" s="184">
        <f t="shared" si="3"/>
        <v>9.1556119204627192E-3</v>
      </c>
      <c r="N64" s="184">
        <f t="shared" si="3"/>
        <v>8.6718664652494296E-3</v>
      </c>
    </row>
    <row r="65" spans="1:14" ht="15" thickBot="1" x14ac:dyDescent="0.4">
      <c r="B65" s="189" t="s">
        <v>150</v>
      </c>
      <c r="C65" s="279">
        <v>69290.95</v>
      </c>
      <c r="D65" s="321">
        <v>0</v>
      </c>
      <c r="E65" s="280">
        <v>233825.48</v>
      </c>
      <c r="F65" s="190">
        <f t="shared" si="0"/>
        <v>7.0077545217146195E-2</v>
      </c>
      <c r="G65" s="190" t="str">
        <f t="shared" si="1"/>
        <v>-</v>
      </c>
      <c r="H65" s="366">
        <f t="shared" si="0"/>
        <v>7.6868081798490556E-2</v>
      </c>
      <c r="I65" s="279">
        <v>9438175.9415000007</v>
      </c>
      <c r="J65" s="321">
        <v>16578953.255410001</v>
      </c>
      <c r="K65" s="280">
        <v>11151931.869999999</v>
      </c>
      <c r="L65" s="287">
        <f t="shared" si="2"/>
        <v>0.1083093382614973</v>
      </c>
      <c r="M65" s="190">
        <f t="shared" si="3"/>
        <v>9.1970292943910181E-2</v>
      </c>
      <c r="N65" s="190">
        <f t="shared" si="3"/>
        <v>0.1083093382614973</v>
      </c>
    </row>
    <row r="66" spans="1:14" x14ac:dyDescent="0.35">
      <c r="D66" s="15"/>
      <c r="E66" s="143"/>
    </row>
    <row r="67" spans="1:14" x14ac:dyDescent="0.35">
      <c r="A67" s="10" t="s">
        <v>169</v>
      </c>
    </row>
    <row r="68" spans="1:14" x14ac:dyDescent="0.35">
      <c r="A68" s="10" t="s">
        <v>170</v>
      </c>
    </row>
  </sheetData>
  <mergeCells count="17">
    <mergeCell ref="A1:C1"/>
    <mergeCell ref="C10:H10"/>
    <mergeCell ref="I10:N10"/>
    <mergeCell ref="B35:B36"/>
    <mergeCell ref="B18:B19"/>
    <mergeCell ref="C18:N18"/>
    <mergeCell ref="I19:N19"/>
    <mergeCell ref="C19:H19"/>
    <mergeCell ref="O18:Z18"/>
    <mergeCell ref="O19:T19"/>
    <mergeCell ref="U19:Z19"/>
    <mergeCell ref="C36:E36"/>
    <mergeCell ref="F36:H36"/>
    <mergeCell ref="C35:H35"/>
    <mergeCell ref="I36:K36"/>
    <mergeCell ref="L36:N36"/>
    <mergeCell ref="I35:N35"/>
  </mergeCells>
  <phoneticPr fontId="10" type="noConversion"/>
  <hyperlinks>
    <hyperlink ref="C5" location="Debt!A8" display="Table C3.1" xr:uid="{7932F1F7-1A80-4BB3-BC25-D26B83086448}"/>
    <hyperlink ref="A3" location="Contents!A1" display="Return to Contents" xr:uid="{E5F98786-72B5-4E09-BB3E-49091CDC912E}"/>
    <hyperlink ref="C6" location="Debt!A15" display="Table C3.2" xr:uid="{8E613178-348F-45FC-8671-1A036A702C93}"/>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C08B0-A54E-4F53-895D-10D029BA92AA}">
  <sheetPr codeName="Sheet10"/>
  <dimension ref="A1:O33"/>
  <sheetViews>
    <sheetView topLeftCell="A6" workbookViewId="0">
      <selection activeCell="I20" sqref="I20"/>
    </sheetView>
  </sheetViews>
  <sheetFormatPr defaultColWidth="9.1796875" defaultRowHeight="14.5" x14ac:dyDescent="0.35"/>
  <cols>
    <col min="1" max="1" width="9.1796875" style="2"/>
    <col min="2" max="2" width="15" style="2" customWidth="1"/>
    <col min="3" max="14" width="16.1796875" style="2" customWidth="1"/>
    <col min="15" max="15" width="10.1796875" style="2" bestFit="1" customWidth="1"/>
    <col min="16" max="16" width="10.81640625" style="2" customWidth="1"/>
    <col min="17" max="16384" width="9.1796875" style="2"/>
  </cols>
  <sheetData>
    <row r="1" spans="1:15" ht="18.5" x14ac:dyDescent="0.45">
      <c r="A1" s="396" t="str">
        <f>Contents!A2</f>
        <v>Midlothian</v>
      </c>
      <c r="B1" s="396"/>
      <c r="C1" s="396"/>
      <c r="O1" s="117"/>
    </row>
    <row r="2" spans="1:15" x14ac:dyDescent="0.35">
      <c r="A2" s="5" t="s">
        <v>8</v>
      </c>
    </row>
    <row r="3" spans="1:15" x14ac:dyDescent="0.35">
      <c r="A3" s="117" t="s">
        <v>11</v>
      </c>
    </row>
    <row r="4" spans="1:15" x14ac:dyDescent="0.35">
      <c r="A4" s="5"/>
    </row>
    <row r="5" spans="1:15" x14ac:dyDescent="0.35">
      <c r="A5" s="116" t="s">
        <v>171</v>
      </c>
      <c r="C5" s="117" t="s">
        <v>31</v>
      </c>
    </row>
    <row r="6" spans="1:15" x14ac:dyDescent="0.35">
      <c r="A6" s="116" t="s">
        <v>172</v>
      </c>
      <c r="C6" s="117" t="s">
        <v>32</v>
      </c>
    </row>
    <row r="7" spans="1:15" x14ac:dyDescent="0.35">
      <c r="A7" s="116"/>
      <c r="C7" s="117"/>
    </row>
    <row r="8" spans="1:15" x14ac:dyDescent="0.35">
      <c r="A8" t="s">
        <v>173</v>
      </c>
      <c r="B8"/>
      <c r="C8"/>
      <c r="D8"/>
      <c r="E8"/>
    </row>
    <row r="9" spans="1:15" x14ac:dyDescent="0.35">
      <c r="A9" s="5"/>
    </row>
    <row r="10" spans="1:15" x14ac:dyDescent="0.35">
      <c r="B10" s="423" t="s">
        <v>171</v>
      </c>
      <c r="C10" s="398" t="str">
        <f>$A$1</f>
        <v>Midlothian</v>
      </c>
      <c r="D10" s="399"/>
      <c r="E10" s="399"/>
      <c r="F10" s="398" t="s">
        <v>46</v>
      </c>
      <c r="G10" s="399"/>
      <c r="H10" s="399"/>
    </row>
    <row r="11" spans="1:15" ht="15" thickBot="1" x14ac:dyDescent="0.4">
      <c r="B11" s="424"/>
      <c r="C11" s="118" t="s">
        <v>174</v>
      </c>
      <c r="D11" s="83" t="s">
        <v>175</v>
      </c>
      <c r="E11" s="147" t="s">
        <v>176</v>
      </c>
      <c r="F11" s="118" t="s">
        <v>174</v>
      </c>
      <c r="G11" s="83" t="s">
        <v>175</v>
      </c>
      <c r="H11" s="147" t="s">
        <v>176</v>
      </c>
    </row>
    <row r="12" spans="1:15" x14ac:dyDescent="0.35">
      <c r="B12" s="75" t="s">
        <v>53</v>
      </c>
      <c r="C12" s="25"/>
      <c r="D12" s="80"/>
      <c r="E12" s="80"/>
      <c r="F12" s="25"/>
      <c r="G12" s="80"/>
      <c r="H12" s="80"/>
    </row>
    <row r="13" spans="1:15" x14ac:dyDescent="0.35">
      <c r="B13" s="123" t="s">
        <v>54</v>
      </c>
      <c r="C13" s="119">
        <v>141223.31</v>
      </c>
      <c r="D13" s="120">
        <v>243380.8</v>
      </c>
      <c r="E13" s="125">
        <f>SUM(C13:D13)</f>
        <v>384604.11</v>
      </c>
      <c r="F13" s="119">
        <v>14382414.17</v>
      </c>
      <c r="G13" s="120">
        <v>12300227.789999999</v>
      </c>
      <c r="H13" s="125">
        <f>SUM(F13:G13)</f>
        <v>26682641.960000001</v>
      </c>
    </row>
    <row r="14" spans="1:15" x14ac:dyDescent="0.35">
      <c r="B14" s="124" t="s">
        <v>56</v>
      </c>
      <c r="C14" s="121">
        <v>141223.31</v>
      </c>
      <c r="D14" s="122">
        <v>250000</v>
      </c>
      <c r="E14" s="126">
        <f t="shared" ref="E14:E18" si="0">SUM(C14:D14)</f>
        <v>391223.31</v>
      </c>
      <c r="F14" s="121">
        <v>14914416.17</v>
      </c>
      <c r="G14" s="122">
        <v>11198110.119999999</v>
      </c>
      <c r="H14" s="126">
        <f t="shared" ref="H14:H18" si="1">SUM(F14:G14)</f>
        <v>26112526.289999999</v>
      </c>
    </row>
    <row r="15" spans="1:15" ht="15.75" customHeight="1" x14ac:dyDescent="0.35">
      <c r="B15" s="191" t="s">
        <v>57</v>
      </c>
      <c r="C15" s="119">
        <v>158515.82999999999</v>
      </c>
      <c r="D15" s="120">
        <v>250000</v>
      </c>
      <c r="E15" s="192">
        <f t="shared" si="0"/>
        <v>408515.82999999996</v>
      </c>
      <c r="F15" s="119">
        <v>15249183.859999999</v>
      </c>
      <c r="G15" s="120">
        <v>13035484.51</v>
      </c>
      <c r="H15" s="192">
        <f t="shared" si="1"/>
        <v>28284668.369999997</v>
      </c>
    </row>
    <row r="16" spans="1:15" ht="15.75" customHeight="1" x14ac:dyDescent="0.35">
      <c r="B16" s="220" t="s">
        <v>58</v>
      </c>
      <c r="C16" s="121">
        <v>161248.82</v>
      </c>
      <c r="D16" s="122">
        <v>250000</v>
      </c>
      <c r="E16" s="288">
        <f t="shared" si="0"/>
        <v>411248.82</v>
      </c>
      <c r="F16" s="121">
        <v>16210491.4</v>
      </c>
      <c r="G16" s="122">
        <v>11111460.699999999</v>
      </c>
      <c r="H16" s="288">
        <f t="shared" si="1"/>
        <v>27321952.100000001</v>
      </c>
    </row>
    <row r="17" spans="1:10" ht="15.75" customHeight="1" x14ac:dyDescent="0.35">
      <c r="B17" s="191" t="s">
        <v>59</v>
      </c>
      <c r="C17" s="119">
        <v>132628.99</v>
      </c>
      <c r="D17" s="120">
        <v>250000</v>
      </c>
      <c r="E17" s="192">
        <f t="shared" si="0"/>
        <v>382628.99</v>
      </c>
      <c r="F17" s="119">
        <v>13575361.609999999</v>
      </c>
      <c r="G17" s="120">
        <v>12048640.369999999</v>
      </c>
      <c r="H17" s="192">
        <f t="shared" si="1"/>
        <v>25624001.979999997</v>
      </c>
    </row>
    <row r="18" spans="1:10" ht="15.75" customHeight="1" x14ac:dyDescent="0.35">
      <c r="B18" s="322" t="s">
        <v>60</v>
      </c>
      <c r="C18" s="323">
        <v>213855.8</v>
      </c>
      <c r="D18" s="324">
        <v>356414</v>
      </c>
      <c r="E18" s="325">
        <f t="shared" si="0"/>
        <v>570269.80000000005</v>
      </c>
      <c r="F18" s="323">
        <v>17867982.807016801</v>
      </c>
      <c r="G18" s="324">
        <v>10792643.050000001</v>
      </c>
      <c r="H18" s="325">
        <f t="shared" si="1"/>
        <v>28660625.857016802</v>
      </c>
    </row>
    <row r="19" spans="1:10" x14ac:dyDescent="0.35">
      <c r="B19" s="5" t="s">
        <v>61</v>
      </c>
      <c r="C19" s="82"/>
      <c r="F19" s="82"/>
      <c r="J19" s="163"/>
    </row>
    <row r="20" spans="1:10" x14ac:dyDescent="0.35">
      <c r="B20" s="123" t="s">
        <v>54</v>
      </c>
      <c r="C20" s="128">
        <f t="shared" ref="C20:D25" si="2">IFERROR(C13/$E13,"-")</f>
        <v>0.36719136984781575</v>
      </c>
      <c r="D20" s="107">
        <f t="shared" si="2"/>
        <v>0.63280863015218425</v>
      </c>
      <c r="E20" s="216"/>
      <c r="F20" s="128">
        <f>IFERROR(F13/$H13,"-")</f>
        <v>0.5390176202027035</v>
      </c>
      <c r="G20" s="107">
        <f>IFERROR(G13/$H13,"-")</f>
        <v>0.46098237979729645</v>
      </c>
      <c r="H20" s="216"/>
    </row>
    <row r="21" spans="1:10" x14ac:dyDescent="0.35">
      <c r="B21" s="124" t="s">
        <v>56</v>
      </c>
      <c r="C21" s="127">
        <f t="shared" si="2"/>
        <v>0.36097877194485167</v>
      </c>
      <c r="D21" s="108">
        <f t="shared" si="2"/>
        <v>0.63902122805514838</v>
      </c>
      <c r="E21" s="217"/>
      <c r="F21" s="127">
        <f t="shared" ref="F21:G21" si="3">IFERROR(F14/$H14,"-")</f>
        <v>0.57115945061629658</v>
      </c>
      <c r="G21" s="108">
        <f t="shared" si="3"/>
        <v>0.42884054938370347</v>
      </c>
      <c r="H21" s="217"/>
    </row>
    <row r="22" spans="1:10" x14ac:dyDescent="0.35">
      <c r="B22" s="191" t="s">
        <v>57</v>
      </c>
      <c r="C22" s="194">
        <f t="shared" si="2"/>
        <v>0.38802861078847301</v>
      </c>
      <c r="D22" s="193">
        <f t="shared" si="2"/>
        <v>0.61197138921152705</v>
      </c>
      <c r="E22" s="193"/>
      <c r="F22" s="194">
        <f t="shared" ref="F22:G22" si="4">IFERROR(F15/$H15,"-")</f>
        <v>0.53913249611135539</v>
      </c>
      <c r="G22" s="193">
        <f t="shared" si="4"/>
        <v>0.46086750388864473</v>
      </c>
      <c r="H22" s="193"/>
    </row>
    <row r="23" spans="1:10" x14ac:dyDescent="0.35">
      <c r="B23" s="220" t="s">
        <v>58</v>
      </c>
      <c r="C23" s="289">
        <f t="shared" si="2"/>
        <v>0.39209552017681171</v>
      </c>
      <c r="D23" s="221">
        <f t="shared" si="2"/>
        <v>0.60790447982318829</v>
      </c>
      <c r="E23" s="221"/>
      <c r="F23" s="289">
        <f t="shared" ref="F23:G23" si="5">IFERROR(F16/$H16,"-")</f>
        <v>0.593313806446502</v>
      </c>
      <c r="G23" s="221">
        <f t="shared" si="5"/>
        <v>0.40668619355349789</v>
      </c>
      <c r="H23" s="221"/>
    </row>
    <row r="24" spans="1:10" x14ac:dyDescent="0.35">
      <c r="B24" s="191" t="s">
        <v>59</v>
      </c>
      <c r="C24" s="194">
        <f t="shared" si="2"/>
        <v>0.34662556540736755</v>
      </c>
      <c r="D24" s="193">
        <f t="shared" si="2"/>
        <v>0.65337443459263245</v>
      </c>
      <c r="E24" s="193"/>
      <c r="F24" s="194">
        <f>IFERROR(F17/$H17,"-")</f>
        <v>0.52979084299930268</v>
      </c>
      <c r="G24" s="193">
        <f t="shared" ref="G24:G25" si="6">IFERROR(G17/$H17,"-")</f>
        <v>0.47020915700069738</v>
      </c>
      <c r="H24" s="193"/>
    </row>
    <row r="25" spans="1:10" ht="15" thickBot="1" x14ac:dyDescent="0.4">
      <c r="B25" s="327" t="s">
        <v>60</v>
      </c>
      <c r="C25" s="326">
        <f t="shared" si="2"/>
        <v>0.37500811019626146</v>
      </c>
      <c r="D25" s="326">
        <f t="shared" si="2"/>
        <v>0.62499188980373843</v>
      </c>
      <c r="E25" s="328"/>
      <c r="F25" s="326">
        <f t="shared" ref="F25" si="7">IFERROR(F18/$H18,"-")</f>
        <v>0.62343309933834867</v>
      </c>
      <c r="G25" s="326">
        <f t="shared" si="6"/>
        <v>0.37656690066165133</v>
      </c>
      <c r="H25" s="326"/>
    </row>
    <row r="26" spans="1:10" ht="15.75" customHeight="1" x14ac:dyDescent="0.35">
      <c r="B26" s="220"/>
      <c r="C26" s="221"/>
      <c r="D26" s="221"/>
      <c r="E26" s="221"/>
      <c r="F26" s="163"/>
      <c r="G26" s="163"/>
      <c r="H26" s="163"/>
    </row>
    <row r="27" spans="1:10" x14ac:dyDescent="0.35">
      <c r="A27" t="s">
        <v>177</v>
      </c>
      <c r="C27" s="143"/>
      <c r="D27" s="143"/>
      <c r="E27" s="143"/>
      <c r="F27" s="143"/>
      <c r="G27" s="143"/>
      <c r="H27" s="143"/>
    </row>
    <row r="29" spans="1:10" x14ac:dyDescent="0.35">
      <c r="B29" s="423"/>
      <c r="C29" s="398" t="str">
        <f>$A$1</f>
        <v>Midlothian</v>
      </c>
      <c r="D29" s="399"/>
      <c r="E29" s="399"/>
      <c r="F29" s="398" t="s">
        <v>46</v>
      </c>
      <c r="G29" s="399"/>
      <c r="H29" s="399"/>
    </row>
    <row r="30" spans="1:10" ht="15" thickBot="1" x14ac:dyDescent="0.4">
      <c r="B30" s="424"/>
      <c r="C30" s="118" t="s">
        <v>174</v>
      </c>
      <c r="D30" s="83" t="s">
        <v>175</v>
      </c>
      <c r="E30" s="147" t="s">
        <v>178</v>
      </c>
      <c r="F30" s="118" t="s">
        <v>174</v>
      </c>
      <c r="G30" s="83" t="s">
        <v>175</v>
      </c>
      <c r="H30" s="147" t="s">
        <v>176</v>
      </c>
    </row>
    <row r="31" spans="1:10" ht="29" x14ac:dyDescent="0.35">
      <c r="B31" s="329" t="s">
        <v>171</v>
      </c>
      <c r="C31" s="330">
        <f>C18</f>
        <v>213855.8</v>
      </c>
      <c r="D31" s="331">
        <f>D18</f>
        <v>356414</v>
      </c>
      <c r="E31" s="332">
        <f>SUM(C31:D31)</f>
        <v>570269.80000000005</v>
      </c>
      <c r="F31" s="330">
        <f>F18</f>
        <v>17867982.807016801</v>
      </c>
      <c r="G31" s="331">
        <f>G18</f>
        <v>10792643.050000001</v>
      </c>
      <c r="H31" s="332">
        <f>SUM(F31:G31)</f>
        <v>28660625.857016802</v>
      </c>
    </row>
    <row r="32" spans="1:10" ht="58" x14ac:dyDescent="0.35">
      <c r="B32" s="87" t="s">
        <v>179</v>
      </c>
      <c r="C32" s="121">
        <v>236886.8</v>
      </c>
      <c r="D32" s="122">
        <v>664796</v>
      </c>
      <c r="E32" s="126">
        <f t="shared" ref="E32" si="8">SUM(C32:D32)</f>
        <v>901682.8</v>
      </c>
      <c r="F32" s="121">
        <v>18744973.7570168</v>
      </c>
      <c r="G32" s="122">
        <v>13155826.800000001</v>
      </c>
      <c r="H32" s="126">
        <f t="shared" ref="H32" si="9">SUM(F32:G32)</f>
        <v>31900800.557016801</v>
      </c>
    </row>
    <row r="33" spans="2:8" ht="58.5" thickBot="1" x14ac:dyDescent="0.4">
      <c r="B33" s="336" t="s">
        <v>180</v>
      </c>
      <c r="C33" s="333">
        <f t="shared" ref="C33:H33" si="10">IFERROR(C31/SUM(C31:C32),"-")</f>
        <v>0.47445215961393489</v>
      </c>
      <c r="D33" s="334">
        <f t="shared" si="10"/>
        <v>0.34901146678939687</v>
      </c>
      <c r="E33" s="335">
        <f t="shared" si="10"/>
        <v>0.38742402438774182</v>
      </c>
      <c r="F33" s="333">
        <f t="shared" si="10"/>
        <v>0.48802348905549053</v>
      </c>
      <c r="G33" s="334">
        <f t="shared" si="10"/>
        <v>0.45066107010590489</v>
      </c>
      <c r="H33" s="335">
        <f t="shared" si="10"/>
        <v>0.47324885746705947</v>
      </c>
    </row>
  </sheetData>
  <mergeCells count="7">
    <mergeCell ref="A1:C1"/>
    <mergeCell ref="C10:E10"/>
    <mergeCell ref="B10:B11"/>
    <mergeCell ref="F10:H10"/>
    <mergeCell ref="B29:B30"/>
    <mergeCell ref="C29:E29"/>
    <mergeCell ref="F29:H29"/>
  </mergeCells>
  <hyperlinks>
    <hyperlink ref="C5" location="Funding!A8" display="Table I2.1" xr:uid="{0F07966D-6CB3-4F43-903E-8206216AAB7E}"/>
    <hyperlink ref="C6" location="Funding!A27" display="Table I2.2" xr:uid="{5558E495-2633-4CDB-B2E5-20FFA6F1F12E}"/>
    <hyperlink ref="A3" location="Contents!A1" display="Return to Contents" xr:uid="{2EAE58A6-1877-4778-B45D-7C03737863FF}"/>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188D1-9BCE-4FF7-92BF-8720312F6B4C}">
  <sheetPr codeName="Sheet3"/>
  <dimension ref="A1:B12"/>
  <sheetViews>
    <sheetView workbookViewId="0">
      <selection activeCell="D14" sqref="D14"/>
    </sheetView>
  </sheetViews>
  <sheetFormatPr defaultRowHeight="14.5" x14ac:dyDescent="0.35"/>
  <sheetData>
    <row r="1" spans="1:2" x14ac:dyDescent="0.35">
      <c r="A1" t="s">
        <v>181</v>
      </c>
      <c r="B1" t="s">
        <v>182</v>
      </c>
    </row>
    <row r="2" spans="1:2" x14ac:dyDescent="0.35">
      <c r="A2" t="s">
        <v>183</v>
      </c>
      <c r="B2">
        <v>80.088442496081385</v>
      </c>
    </row>
    <row r="3" spans="1:2" x14ac:dyDescent="0.35">
      <c r="A3" t="s">
        <v>184</v>
      </c>
      <c r="B3">
        <v>81.298188300352749</v>
      </c>
    </row>
    <row r="4" spans="1:2" x14ac:dyDescent="0.35">
      <c r="A4" t="s">
        <v>185</v>
      </c>
      <c r="B4">
        <v>82.937485539351997</v>
      </c>
    </row>
    <row r="5" spans="1:2" x14ac:dyDescent="0.35">
      <c r="A5" t="s">
        <v>186</v>
      </c>
      <c r="B5">
        <v>84.837227809334294</v>
      </c>
    </row>
    <row r="6" spans="1:2" x14ac:dyDescent="0.35">
      <c r="A6" t="s">
        <v>187</v>
      </c>
      <c r="B6">
        <v>85.814610292857836</v>
      </c>
    </row>
    <row r="7" spans="1:2" x14ac:dyDescent="0.35">
      <c r="A7" t="s">
        <v>188</v>
      </c>
      <c r="B7">
        <v>86.346970275585605</v>
      </c>
    </row>
    <row r="8" spans="1:2" x14ac:dyDescent="0.35">
      <c r="A8" t="s">
        <v>189</v>
      </c>
      <c r="B8">
        <v>88.27807601199531</v>
      </c>
    </row>
    <row r="9" spans="1:2" x14ac:dyDescent="0.35">
      <c r="A9" t="s">
        <v>190</v>
      </c>
      <c r="B9">
        <v>89.798339913423177</v>
      </c>
    </row>
    <row r="10" spans="1:2" x14ac:dyDescent="0.35">
      <c r="A10" t="s">
        <v>191</v>
      </c>
      <c r="B10">
        <v>91.550976862938995</v>
      </c>
    </row>
    <row r="11" spans="1:2" x14ac:dyDescent="0.35">
      <c r="A11" t="s">
        <v>192</v>
      </c>
      <c r="B11">
        <v>93.74782600806553</v>
      </c>
    </row>
    <row r="12" spans="1:2" x14ac:dyDescent="0.35">
      <c r="A12" t="s">
        <v>193</v>
      </c>
      <c r="B12">
        <v>100.00000000000001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537B69-BE77-4144-B93D-D775750A7815}">
  <sheetPr codeName="Sheet11"/>
  <dimension ref="A1:O38"/>
  <sheetViews>
    <sheetView topLeftCell="A3" workbookViewId="0">
      <selection activeCell="E13" sqref="E13"/>
    </sheetView>
  </sheetViews>
  <sheetFormatPr defaultColWidth="9.1796875" defaultRowHeight="14.5" x14ac:dyDescent="0.35"/>
  <cols>
    <col min="1" max="1" width="9.1796875" style="2"/>
    <col min="2" max="2" width="23.7265625" style="2" customWidth="1"/>
    <col min="3" max="3" width="15.453125" style="2" customWidth="1"/>
    <col min="4" max="4" width="18.7265625" style="2" customWidth="1"/>
    <col min="5" max="5" width="13.54296875" style="2" customWidth="1"/>
    <col min="6" max="6" width="19.1796875" style="2" customWidth="1"/>
    <col min="7" max="14" width="13.54296875" style="2" customWidth="1"/>
    <col min="15" max="16384" width="9.1796875" style="2"/>
  </cols>
  <sheetData>
    <row r="1" spans="1:8" ht="18.5" x14ac:dyDescent="0.45">
      <c r="A1" s="396" t="str">
        <f>Contents!A2</f>
        <v>Midlothian</v>
      </c>
      <c r="B1" s="396"/>
      <c r="C1" s="396"/>
    </row>
    <row r="2" spans="1:8" x14ac:dyDescent="0.35">
      <c r="A2" s="5" t="s">
        <v>9</v>
      </c>
    </row>
    <row r="3" spans="1:8" x14ac:dyDescent="0.35">
      <c r="A3" s="117" t="s">
        <v>11</v>
      </c>
    </row>
    <row r="4" spans="1:8" x14ac:dyDescent="0.35">
      <c r="A4" s="5"/>
    </row>
    <row r="5" spans="1:8" x14ac:dyDescent="0.35">
      <c r="A5" s="116" t="s">
        <v>194</v>
      </c>
      <c r="C5" s="117" t="s">
        <v>33</v>
      </c>
    </row>
    <row r="6" spans="1:8" x14ac:dyDescent="0.35">
      <c r="A6" s="116" t="s">
        <v>195</v>
      </c>
      <c r="C6" s="117" t="s">
        <v>34</v>
      </c>
    </row>
    <row r="8" spans="1:8" x14ac:dyDescent="0.35">
      <c r="A8" t="s">
        <v>196</v>
      </c>
    </row>
    <row r="10" spans="1:8" x14ac:dyDescent="0.35">
      <c r="B10" s="5"/>
      <c r="C10" s="398" t="str">
        <f>$A$1</f>
        <v>Midlothian</v>
      </c>
      <c r="D10" s="399"/>
      <c r="E10" s="398" t="s">
        <v>46</v>
      </c>
      <c r="F10" s="399"/>
      <c r="H10" s="5"/>
    </row>
    <row r="11" spans="1:8" ht="15" thickBot="1" x14ac:dyDescent="0.4">
      <c r="B11" s="5" t="s">
        <v>197</v>
      </c>
      <c r="C11" s="137" t="s">
        <v>198</v>
      </c>
      <c r="D11" s="134" t="s">
        <v>199</v>
      </c>
      <c r="E11" s="137" t="s">
        <v>198</v>
      </c>
      <c r="F11" s="134" t="s">
        <v>199</v>
      </c>
    </row>
    <row r="12" spans="1:8" x14ac:dyDescent="0.35">
      <c r="B12" s="132" t="s">
        <v>54</v>
      </c>
      <c r="C12" s="135">
        <v>4860</v>
      </c>
      <c r="D12" s="136">
        <v>2557</v>
      </c>
      <c r="E12" s="135">
        <v>164415</v>
      </c>
      <c r="F12" s="136">
        <v>99017</v>
      </c>
    </row>
    <row r="13" spans="1:8" x14ac:dyDescent="0.35">
      <c r="B13" s="2" t="s">
        <v>56</v>
      </c>
      <c r="C13" s="78">
        <v>4638</v>
      </c>
      <c r="D13" s="74">
        <v>1340</v>
      </c>
      <c r="E13" s="78">
        <v>244637</v>
      </c>
      <c r="F13" s="74">
        <v>68653</v>
      </c>
    </row>
    <row r="14" spans="1:8" x14ac:dyDescent="0.35">
      <c r="B14" s="81" t="s">
        <v>57</v>
      </c>
      <c r="C14" s="138">
        <v>3452</v>
      </c>
      <c r="D14" s="71">
        <v>2432</v>
      </c>
      <c r="E14" s="138">
        <v>249108.245</v>
      </c>
      <c r="F14" s="71">
        <v>104911.72500000001</v>
      </c>
    </row>
    <row r="15" spans="1:8" x14ac:dyDescent="0.35">
      <c r="B15" s="2" t="s">
        <v>58</v>
      </c>
      <c r="C15" s="78">
        <v>4344</v>
      </c>
      <c r="D15" s="74">
        <v>1982</v>
      </c>
      <c r="E15" s="78">
        <v>209758.35</v>
      </c>
      <c r="F15" s="74">
        <v>138697.15</v>
      </c>
    </row>
    <row r="16" spans="1:8" x14ac:dyDescent="0.35">
      <c r="B16" s="81" t="s">
        <v>59</v>
      </c>
      <c r="C16" s="138">
        <v>4855</v>
      </c>
      <c r="D16" s="71">
        <v>3097</v>
      </c>
      <c r="E16" s="138">
        <v>239265.0962</v>
      </c>
      <c r="F16" s="71">
        <v>152456.50779999999</v>
      </c>
    </row>
    <row r="17" spans="1:15" ht="15" thickBot="1" x14ac:dyDescent="0.4">
      <c r="B17" s="297" t="s">
        <v>60</v>
      </c>
      <c r="C17" s="367">
        <v>5976</v>
      </c>
      <c r="D17" s="368">
        <v>3583</v>
      </c>
      <c r="E17" s="367">
        <v>294666</v>
      </c>
      <c r="F17" s="367">
        <v>171339</v>
      </c>
      <c r="G17" s="143"/>
      <c r="H17" s="143"/>
    </row>
    <row r="18" spans="1:15" x14ac:dyDescent="0.35">
      <c r="C18" s="143"/>
      <c r="D18" s="143"/>
      <c r="E18" s="143"/>
      <c r="F18" s="143"/>
      <c r="G18" s="143"/>
      <c r="H18" s="143"/>
    </row>
    <row r="19" spans="1:15" x14ac:dyDescent="0.35">
      <c r="A19" t="s">
        <v>200</v>
      </c>
      <c r="C19" s="143"/>
      <c r="D19" s="143"/>
      <c r="E19" s="143"/>
      <c r="F19" s="143"/>
      <c r="G19" s="143"/>
      <c r="H19" s="143"/>
    </row>
    <row r="21" spans="1:15" x14ac:dyDescent="0.35">
      <c r="C21" s="398" t="str">
        <f>$A$1</f>
        <v>Midlothian</v>
      </c>
      <c r="D21" s="399"/>
      <c r="E21" s="399"/>
      <c r="F21" s="399"/>
      <c r="G21" s="399"/>
      <c r="H21" s="399"/>
      <c r="I21" s="398" t="s">
        <v>46</v>
      </c>
      <c r="J21" s="399"/>
      <c r="K21" s="399"/>
      <c r="L21" s="399"/>
      <c r="M21" s="399"/>
      <c r="N21" s="399"/>
    </row>
    <row r="22" spans="1:15" ht="15" thickBot="1" x14ac:dyDescent="0.4">
      <c r="B22" s="195" t="s">
        <v>201</v>
      </c>
      <c r="C22" s="137" t="s">
        <v>202</v>
      </c>
      <c r="D22" s="134" t="s">
        <v>203</v>
      </c>
      <c r="E22" s="134" t="s">
        <v>204</v>
      </c>
      <c r="F22" s="134" t="s">
        <v>205</v>
      </c>
      <c r="G22" s="134" t="s">
        <v>206</v>
      </c>
      <c r="H22" s="134" t="s">
        <v>150</v>
      </c>
      <c r="I22" s="137" t="s">
        <v>202</v>
      </c>
      <c r="J22" s="134" t="s">
        <v>203</v>
      </c>
      <c r="K22" s="134" t="s">
        <v>204</v>
      </c>
      <c r="L22" s="134" t="s">
        <v>205</v>
      </c>
      <c r="M22" s="134" t="s">
        <v>206</v>
      </c>
      <c r="N22" s="134" t="s">
        <v>150</v>
      </c>
    </row>
    <row r="23" spans="1:15" x14ac:dyDescent="0.35">
      <c r="B23" s="75" t="s">
        <v>53</v>
      </c>
      <c r="C23" s="25"/>
      <c r="D23" s="80"/>
      <c r="E23" s="80"/>
      <c r="F23" s="80"/>
      <c r="G23" s="80"/>
      <c r="H23" s="80"/>
      <c r="I23" s="25"/>
      <c r="J23" s="80"/>
      <c r="K23" s="80"/>
      <c r="L23" s="80"/>
      <c r="M23" s="80"/>
      <c r="N23" s="80"/>
    </row>
    <row r="24" spans="1:15" x14ac:dyDescent="0.35">
      <c r="B24" s="123" t="s">
        <v>54</v>
      </c>
      <c r="C24" s="69">
        <v>623</v>
      </c>
      <c r="D24" s="70">
        <v>4035</v>
      </c>
      <c r="E24" s="70">
        <v>2134</v>
      </c>
      <c r="F24" s="70">
        <v>0</v>
      </c>
      <c r="G24" s="70">
        <v>0</v>
      </c>
      <c r="H24" s="70">
        <v>0</v>
      </c>
      <c r="I24" s="69">
        <v>16380</v>
      </c>
      <c r="J24" s="70">
        <v>129567</v>
      </c>
      <c r="K24" s="70">
        <v>70004</v>
      </c>
      <c r="L24" s="70">
        <v>2047</v>
      </c>
      <c r="M24" s="70">
        <v>0</v>
      </c>
      <c r="N24" s="70">
        <v>0</v>
      </c>
    </row>
    <row r="25" spans="1:15" x14ac:dyDescent="0.35">
      <c r="B25" s="124" t="s">
        <v>56</v>
      </c>
      <c r="C25" s="72">
        <v>443</v>
      </c>
      <c r="D25" s="73">
        <v>197</v>
      </c>
      <c r="E25" s="73">
        <v>80</v>
      </c>
      <c r="F25" s="73">
        <v>0</v>
      </c>
      <c r="G25" s="73">
        <v>0</v>
      </c>
      <c r="H25" s="73">
        <v>0</v>
      </c>
      <c r="I25" s="72">
        <v>22286</v>
      </c>
      <c r="J25" s="73">
        <v>103407</v>
      </c>
      <c r="K25" s="73">
        <v>56566</v>
      </c>
      <c r="L25" s="73">
        <v>4739</v>
      </c>
      <c r="M25" s="73">
        <v>833</v>
      </c>
      <c r="N25" s="73">
        <v>0</v>
      </c>
    </row>
    <row r="26" spans="1:15" x14ac:dyDescent="0.35">
      <c r="B26" s="123" t="s">
        <v>57</v>
      </c>
      <c r="C26" s="69">
        <v>343</v>
      </c>
      <c r="D26" s="70">
        <v>2329</v>
      </c>
      <c r="E26" s="70">
        <v>940</v>
      </c>
      <c r="F26" s="70">
        <v>0</v>
      </c>
      <c r="G26" s="70">
        <v>15</v>
      </c>
      <c r="H26" s="70">
        <v>603</v>
      </c>
      <c r="I26" s="69">
        <v>17723.424999999999</v>
      </c>
      <c r="J26" s="70">
        <v>93863.78</v>
      </c>
      <c r="K26" s="70">
        <v>74746.31</v>
      </c>
      <c r="L26" s="70">
        <v>1217</v>
      </c>
      <c r="M26" s="70">
        <v>403.60500000000002</v>
      </c>
      <c r="N26" s="70">
        <v>6676.95</v>
      </c>
    </row>
    <row r="27" spans="1:15" x14ac:dyDescent="0.35">
      <c r="B27" s="124" t="s">
        <v>58</v>
      </c>
      <c r="C27" s="72">
        <v>0</v>
      </c>
      <c r="D27" s="73">
        <v>0</v>
      </c>
      <c r="E27" s="73">
        <v>0</v>
      </c>
      <c r="F27" s="73">
        <v>0</v>
      </c>
      <c r="G27" s="73">
        <v>0</v>
      </c>
      <c r="H27" s="73">
        <v>0</v>
      </c>
      <c r="I27" s="72">
        <v>19839.080000000002</v>
      </c>
      <c r="J27" s="73">
        <v>3363.21</v>
      </c>
      <c r="K27" s="73">
        <v>63610.9</v>
      </c>
      <c r="L27" s="73">
        <v>65628.58</v>
      </c>
      <c r="M27" s="73">
        <v>151.6</v>
      </c>
      <c r="N27" s="73">
        <v>4837.79</v>
      </c>
    </row>
    <row r="28" spans="1:15" x14ac:dyDescent="0.35">
      <c r="B28" s="123" t="s">
        <v>59</v>
      </c>
      <c r="C28" s="69">
        <v>0</v>
      </c>
      <c r="D28" s="70">
        <v>0</v>
      </c>
      <c r="E28" s="70">
        <v>0</v>
      </c>
      <c r="F28" s="70">
        <v>0</v>
      </c>
      <c r="G28" s="70">
        <v>0</v>
      </c>
      <c r="H28" s="70">
        <v>0</v>
      </c>
      <c r="I28" s="69">
        <v>17780.48</v>
      </c>
      <c r="J28" s="70">
        <v>11075.84</v>
      </c>
      <c r="K28" s="70">
        <v>53170.14</v>
      </c>
      <c r="L28" s="70">
        <v>2354</v>
      </c>
      <c r="M28" s="70">
        <v>152.96</v>
      </c>
      <c r="N28" s="70">
        <v>4897.38</v>
      </c>
    </row>
    <row r="29" spans="1:15" x14ac:dyDescent="0.35">
      <c r="B29" s="124" t="s">
        <v>60</v>
      </c>
      <c r="C29" s="72">
        <v>0</v>
      </c>
      <c r="D29" s="73">
        <v>0</v>
      </c>
      <c r="E29" s="73">
        <v>324</v>
      </c>
      <c r="F29" s="73">
        <v>0</v>
      </c>
      <c r="G29" s="73">
        <v>0</v>
      </c>
      <c r="H29" s="73">
        <v>0</v>
      </c>
      <c r="I29" s="72">
        <v>32329</v>
      </c>
      <c r="J29" s="73">
        <v>23490</v>
      </c>
      <c r="K29" s="73">
        <v>80170</v>
      </c>
      <c r="L29" s="73">
        <v>15519</v>
      </c>
      <c r="M29" s="73">
        <v>243</v>
      </c>
      <c r="N29" s="73">
        <v>6318</v>
      </c>
    </row>
    <row r="30" spans="1:15" x14ac:dyDescent="0.35">
      <c r="B30" s="129" t="s">
        <v>61</v>
      </c>
      <c r="C30" s="131"/>
      <c r="D30" s="130"/>
      <c r="E30" s="130"/>
      <c r="F30" s="130"/>
      <c r="G30" s="130"/>
      <c r="H30" s="130"/>
      <c r="I30" s="131"/>
      <c r="J30" s="130"/>
      <c r="K30" s="130"/>
      <c r="L30" s="130"/>
      <c r="M30" s="130"/>
      <c r="N30" s="130"/>
    </row>
    <row r="31" spans="1:15" x14ac:dyDescent="0.35">
      <c r="B31" s="123" t="s">
        <v>54</v>
      </c>
      <c r="C31" s="139">
        <f>IFERROR(C24/SUM($C24:$H24),"-")</f>
        <v>9.1725559481743227E-2</v>
      </c>
      <c r="D31" s="109">
        <f>IFERROR(D24/SUM($C24:$H24),"-")</f>
        <v>0.59408127208480566</v>
      </c>
      <c r="E31" s="109">
        <f>IFERROR(E24/SUM($C24:$H24),"-")</f>
        <v>0.31419316843345113</v>
      </c>
      <c r="F31" s="109">
        <f>IFERROR(F24/SUM($C24:$H24),"-")</f>
        <v>0</v>
      </c>
      <c r="G31" s="109">
        <f>IFERROR(G24/SUM($C24:$H24),"-")</f>
        <v>0</v>
      </c>
      <c r="H31" s="109">
        <f t="shared" ref="H31" si="0">IFERROR(H24/SUM($C24:$H24),"-")</f>
        <v>0</v>
      </c>
      <c r="I31" s="139">
        <f>IFERROR(I24/SUM($I24:$N24),"-")</f>
        <v>7.5138304021137803E-2</v>
      </c>
      <c r="J31" s="109">
        <f t="shared" ref="J31:N31" si="1">IFERROR(J24/SUM($I24:$N24),"-")</f>
        <v>0.59434948944485733</v>
      </c>
      <c r="K31" s="109">
        <f t="shared" si="1"/>
        <v>0.3211222121303865</v>
      </c>
      <c r="L31" s="109">
        <f t="shared" si="1"/>
        <v>9.3899944036183822E-3</v>
      </c>
      <c r="M31" s="109">
        <f t="shared" si="1"/>
        <v>0</v>
      </c>
      <c r="N31" s="109">
        <f t="shared" si="1"/>
        <v>0</v>
      </c>
      <c r="O31" s="15"/>
    </row>
    <row r="32" spans="1:15" x14ac:dyDescent="0.35">
      <c r="B32" s="124" t="s">
        <v>56</v>
      </c>
      <c r="C32" s="140">
        <f t="shared" ref="C32:H32" si="2">IFERROR(C25/SUM($C25:$H25),"-")</f>
        <v>0.61527777777777781</v>
      </c>
      <c r="D32" s="20">
        <f t="shared" si="2"/>
        <v>0.27361111111111114</v>
      </c>
      <c r="E32" s="20">
        <f t="shared" si="2"/>
        <v>0.1111111111111111</v>
      </c>
      <c r="F32" s="20">
        <f t="shared" si="2"/>
        <v>0</v>
      </c>
      <c r="G32" s="20">
        <f t="shared" si="2"/>
        <v>0</v>
      </c>
      <c r="H32" s="20">
        <f t="shared" si="2"/>
        <v>0</v>
      </c>
      <c r="I32" s="140">
        <f t="shared" ref="I32:N32" si="3">IFERROR(I25/SUM($I25:$N25),"-")</f>
        <v>0.11864921125905735</v>
      </c>
      <c r="J32" s="20">
        <f t="shared" si="3"/>
        <v>0.55053212728463352</v>
      </c>
      <c r="K32" s="20">
        <f t="shared" si="3"/>
        <v>0.30115369667413794</v>
      </c>
      <c r="L32" s="20">
        <f t="shared" si="3"/>
        <v>2.5230127082324003E-2</v>
      </c>
      <c r="M32" s="20">
        <f t="shared" si="3"/>
        <v>4.4348376998472033E-3</v>
      </c>
      <c r="N32" s="20">
        <f t="shared" si="3"/>
        <v>0</v>
      </c>
      <c r="O32" s="15"/>
    </row>
    <row r="33" spans="1:15" x14ac:dyDescent="0.35">
      <c r="B33" s="123" t="s">
        <v>57</v>
      </c>
      <c r="C33" s="139">
        <f t="shared" ref="C33:H33" si="4">IFERROR(C26/SUM($C26:$H26),"-")</f>
        <v>8.1087470449172583E-2</v>
      </c>
      <c r="D33" s="109">
        <f t="shared" si="4"/>
        <v>0.55059101654846332</v>
      </c>
      <c r="E33" s="109">
        <f t="shared" si="4"/>
        <v>0.22222222222222221</v>
      </c>
      <c r="F33" s="109">
        <f t="shared" si="4"/>
        <v>0</v>
      </c>
      <c r="G33" s="109">
        <f t="shared" si="4"/>
        <v>3.5460992907801418E-3</v>
      </c>
      <c r="H33" s="109">
        <f t="shared" si="4"/>
        <v>0.14255319148936171</v>
      </c>
      <c r="I33" s="139">
        <f t="shared" ref="I33:N33" si="5">IFERROR(I26/SUM($I26:$N26),"-")</f>
        <v>9.1061642932960277E-2</v>
      </c>
      <c r="J33" s="109">
        <f t="shared" si="5"/>
        <v>0.48226513885989519</v>
      </c>
      <c r="K33" s="109">
        <f t="shared" si="5"/>
        <v>0.38404099612667175</v>
      </c>
      <c r="L33" s="109">
        <f t="shared" si="5"/>
        <v>6.2528557233950356E-3</v>
      </c>
      <c r="M33" s="109">
        <f t="shared" si="5"/>
        <v>2.0736925507320076E-3</v>
      </c>
      <c r="N33" s="109">
        <f t="shared" si="5"/>
        <v>3.4305673806345506E-2</v>
      </c>
      <c r="O33" s="15"/>
    </row>
    <row r="34" spans="1:15" x14ac:dyDescent="0.35">
      <c r="B34" s="124" t="s">
        <v>58</v>
      </c>
      <c r="C34" s="140" t="str">
        <f t="shared" ref="C34:H34" si="6">IFERROR(C27/SUM($C27:$H27),"-")</f>
        <v>-</v>
      </c>
      <c r="D34" s="20" t="str">
        <f t="shared" si="6"/>
        <v>-</v>
      </c>
      <c r="E34" s="20" t="str">
        <f t="shared" si="6"/>
        <v>-</v>
      </c>
      <c r="F34" s="20" t="str">
        <f t="shared" si="6"/>
        <v>-</v>
      </c>
      <c r="G34" s="20" t="str">
        <f t="shared" si="6"/>
        <v>-</v>
      </c>
      <c r="H34" s="20" t="str">
        <f t="shared" si="6"/>
        <v>-</v>
      </c>
      <c r="I34" s="140">
        <f t="shared" ref="I34:N34" si="7">IFERROR(I27/SUM($I27:$N27),"-")</f>
        <v>0.12601749234395526</v>
      </c>
      <c r="J34" s="20">
        <f t="shared" si="7"/>
        <v>2.1363051634758958E-2</v>
      </c>
      <c r="K34" s="20">
        <f t="shared" si="7"/>
        <v>0.40405533440774993</v>
      </c>
      <c r="L34" s="20">
        <f t="shared" si="7"/>
        <v>0.41687160280086855</v>
      </c>
      <c r="M34" s="20">
        <f t="shared" si="7"/>
        <v>9.6296057273541E-4</v>
      </c>
      <c r="N34" s="20">
        <f t="shared" si="7"/>
        <v>3.0729558239931655E-2</v>
      </c>
      <c r="O34" s="15"/>
    </row>
    <row r="35" spans="1:15" x14ac:dyDescent="0.35">
      <c r="B35" s="123" t="s">
        <v>59</v>
      </c>
      <c r="C35" s="139" t="str">
        <f t="shared" ref="C35:H35" si="8">IFERROR(C28/SUM($C28:$H28),"-")</f>
        <v>-</v>
      </c>
      <c r="D35" s="109" t="str">
        <f t="shared" si="8"/>
        <v>-</v>
      </c>
      <c r="E35" s="109" t="str">
        <f t="shared" si="8"/>
        <v>-</v>
      </c>
      <c r="F35" s="109" t="str">
        <f t="shared" si="8"/>
        <v>-</v>
      </c>
      <c r="G35" s="109" t="str">
        <f t="shared" si="8"/>
        <v>-</v>
      </c>
      <c r="H35" s="109" t="str">
        <f t="shared" si="8"/>
        <v>-</v>
      </c>
      <c r="I35" s="139">
        <f t="shared" ref="I35:N35" si="9">IFERROR(I28/SUM($I28:$N28),"-")</f>
        <v>0.19881830420839353</v>
      </c>
      <c r="J35" s="109">
        <f t="shared" si="9"/>
        <v>0.12384815969442295</v>
      </c>
      <c r="K35" s="109">
        <f t="shared" si="9"/>
        <v>0.59453946515070866</v>
      </c>
      <c r="L35" s="109">
        <f t="shared" si="9"/>
        <v>2.6322027757774726E-2</v>
      </c>
      <c r="M35" s="109">
        <f t="shared" si="9"/>
        <v>1.7103727127566789E-3</v>
      </c>
      <c r="N35" s="109">
        <f t="shared" si="9"/>
        <v>5.4761670475943408E-2</v>
      </c>
      <c r="O35" s="15"/>
    </row>
    <row r="36" spans="1:15" ht="15" thickBot="1" x14ac:dyDescent="0.4">
      <c r="B36" s="303" t="s">
        <v>60</v>
      </c>
      <c r="C36" s="133">
        <f t="shared" ref="C36:H36" si="10">IFERROR(C29/SUM($C29:$H29),"-")</f>
        <v>0</v>
      </c>
      <c r="D36" s="133">
        <f t="shared" si="10"/>
        <v>0</v>
      </c>
      <c r="E36" s="133">
        <f t="shared" si="10"/>
        <v>1</v>
      </c>
      <c r="F36" s="133">
        <f t="shared" si="10"/>
        <v>0</v>
      </c>
      <c r="G36" s="133">
        <f t="shared" si="10"/>
        <v>0</v>
      </c>
      <c r="H36" s="337">
        <f t="shared" si="10"/>
        <v>0</v>
      </c>
      <c r="I36" s="133">
        <f t="shared" ref="I36:N36" si="11">IFERROR(I29/SUM($I29:$N29),"-")</f>
        <v>0.20452460634279968</v>
      </c>
      <c r="J36" s="133">
        <f t="shared" si="11"/>
        <v>0.14860598852399901</v>
      </c>
      <c r="K36" s="133">
        <f t="shared" si="11"/>
        <v>0.50718357173133255</v>
      </c>
      <c r="L36" s="133">
        <f t="shared" si="11"/>
        <v>9.8178643503786328E-2</v>
      </c>
      <c r="M36" s="133">
        <f t="shared" si="11"/>
        <v>1.5373033295586105E-3</v>
      </c>
      <c r="N36" s="133">
        <f t="shared" si="11"/>
        <v>3.996988656852387E-2</v>
      </c>
    </row>
    <row r="38" spans="1:15" x14ac:dyDescent="0.35">
      <c r="A38" s="10"/>
    </row>
  </sheetData>
  <mergeCells count="5">
    <mergeCell ref="A1:C1"/>
    <mergeCell ref="C10:D10"/>
    <mergeCell ref="E10:F10"/>
    <mergeCell ref="C21:H21"/>
    <mergeCell ref="I21:N21"/>
  </mergeCells>
  <hyperlinks>
    <hyperlink ref="C5" location="Volume!A8" display="Table A1.1" xr:uid="{29C114B4-FE5D-4AEC-8AC3-DDE5AE12B81F}"/>
    <hyperlink ref="C6" location="Volume!B14" display="Table A1.1" xr:uid="{1D2DA14A-DC94-4213-B71D-7350588B936B}"/>
    <hyperlink ref="C6" location="Volume!A19" display="Table A1.2" xr:uid="{D19898C3-E897-486E-89C3-C038D2253805}"/>
    <hyperlink ref="A3" location="Contents!A1" display="Return to Contents" xr:uid="{9C176B87-B963-4DEF-A88A-B4707A46A4FE}"/>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CEE38C-C037-42F8-805E-5652BDCACDF0}">
  <sheetPr codeName="Sheet16"/>
  <dimension ref="A1:N19"/>
  <sheetViews>
    <sheetView zoomScaleNormal="100" workbookViewId="0">
      <selection activeCell="A3" sqref="A3"/>
    </sheetView>
  </sheetViews>
  <sheetFormatPr defaultColWidth="9.1796875" defaultRowHeight="14.5" x14ac:dyDescent="0.35"/>
  <cols>
    <col min="1" max="1" width="9.1796875" style="2"/>
    <col min="2" max="2" width="64.26953125" style="2" customWidth="1"/>
    <col min="3" max="9" width="14.54296875" style="2" customWidth="1"/>
    <col min="10" max="10" width="13.81640625" style="2" bestFit="1" customWidth="1"/>
    <col min="11" max="12" width="12.7265625" style="2" bestFit="1" customWidth="1"/>
    <col min="13" max="21" width="13" style="2" customWidth="1"/>
    <col min="22" max="23" width="11.1796875" style="2" customWidth="1"/>
    <col min="24" max="16384" width="9.1796875" style="2"/>
  </cols>
  <sheetData>
    <row r="1" spans="1:14" ht="18.5" x14ac:dyDescent="0.45">
      <c r="A1" s="396" t="str">
        <f>'Notes &amp; Caveats'!A1</f>
        <v>Midlothian</v>
      </c>
      <c r="B1" s="396"/>
      <c r="C1" s="396"/>
    </row>
    <row r="2" spans="1:14" x14ac:dyDescent="0.35">
      <c r="A2" s="5" t="s">
        <v>10</v>
      </c>
    </row>
    <row r="3" spans="1:14" x14ac:dyDescent="0.35">
      <c r="A3" s="117" t="s">
        <v>11</v>
      </c>
    </row>
    <row r="4" spans="1:14" x14ac:dyDescent="0.35">
      <c r="A4" s="5"/>
    </row>
    <row r="5" spans="1:14" x14ac:dyDescent="0.35">
      <c r="A5" s="116" t="s">
        <v>207</v>
      </c>
      <c r="C5" s="200" t="s">
        <v>35</v>
      </c>
    </row>
    <row r="7" spans="1:14" x14ac:dyDescent="0.35">
      <c r="A7" t="s">
        <v>208</v>
      </c>
      <c r="G7" s="149"/>
      <c r="H7" s="149"/>
    </row>
    <row r="8" spans="1:14" x14ac:dyDescent="0.35">
      <c r="G8" s="143"/>
      <c r="H8" s="143"/>
    </row>
    <row r="9" spans="1:14" x14ac:dyDescent="0.35">
      <c r="B9" s="5"/>
      <c r="C9" s="398" t="str">
        <f>$A$1</f>
        <v>Midlothian</v>
      </c>
      <c r="D9" s="399"/>
      <c r="E9" s="399"/>
      <c r="F9" s="399"/>
      <c r="G9" s="399"/>
      <c r="H9" s="400"/>
      <c r="I9" s="398" t="s">
        <v>46</v>
      </c>
      <c r="J9" s="399"/>
      <c r="K9" s="399"/>
      <c r="L9" s="399"/>
      <c r="M9" s="399"/>
      <c r="N9" s="399"/>
    </row>
    <row r="10" spans="1:14" ht="15" thickBot="1" x14ac:dyDescent="0.4">
      <c r="B10" s="146" t="s">
        <v>209</v>
      </c>
      <c r="C10" s="3" t="s">
        <v>54</v>
      </c>
      <c r="D10" s="147" t="s">
        <v>56</v>
      </c>
      <c r="E10" s="147" t="s">
        <v>57</v>
      </c>
      <c r="F10" s="147" t="s">
        <v>58</v>
      </c>
      <c r="G10" s="147" t="s">
        <v>59</v>
      </c>
      <c r="H10" s="147" t="s">
        <v>60</v>
      </c>
      <c r="I10" s="3" t="s">
        <v>54</v>
      </c>
      <c r="J10" s="147" t="s">
        <v>56</v>
      </c>
      <c r="K10" s="147" t="s">
        <v>57</v>
      </c>
      <c r="L10" s="147" t="s">
        <v>58</v>
      </c>
      <c r="M10" s="147" t="s">
        <v>59</v>
      </c>
      <c r="N10" s="147" t="s">
        <v>60</v>
      </c>
    </row>
    <row r="11" spans="1:14" x14ac:dyDescent="0.35">
      <c r="B11" s="145" t="s">
        <v>210</v>
      </c>
      <c r="C11" s="218">
        <v>6779894.4100000001</v>
      </c>
      <c r="D11" s="197">
        <v>8223380.2400000002</v>
      </c>
      <c r="E11" s="197">
        <v>9013079.6600000001</v>
      </c>
      <c r="F11" s="197">
        <v>8877099.3399999999</v>
      </c>
      <c r="G11" s="197">
        <v>11044289.710000001</v>
      </c>
      <c r="H11" s="197">
        <v>8305147.8600000003</v>
      </c>
      <c r="I11" s="218">
        <v>220648617.19</v>
      </c>
      <c r="J11" s="197">
        <v>288655249.11338001</v>
      </c>
      <c r="K11" s="197">
        <v>354381586.81879997</v>
      </c>
      <c r="L11" s="197">
        <v>286278151.99739999</v>
      </c>
      <c r="M11" s="197">
        <v>256652753.94999301</v>
      </c>
      <c r="N11" s="197">
        <v>305925417.57999998</v>
      </c>
    </row>
    <row r="12" spans="1:14" x14ac:dyDescent="0.35">
      <c r="B12" s="148" t="s">
        <v>211</v>
      </c>
      <c r="C12" s="219" t="s">
        <v>55</v>
      </c>
      <c r="D12" s="196">
        <v>1571649.11</v>
      </c>
      <c r="E12" s="196">
        <v>594702</v>
      </c>
      <c r="F12" s="196">
        <v>397061.05</v>
      </c>
      <c r="G12" s="196">
        <v>944869</v>
      </c>
      <c r="H12" s="196">
        <v>939930.54</v>
      </c>
      <c r="I12" s="219" t="s">
        <v>55</v>
      </c>
      <c r="J12" s="196">
        <v>30217870.109999999</v>
      </c>
      <c r="K12" s="196">
        <v>21318013.316</v>
      </c>
      <c r="L12" s="196">
        <v>29277885.996874999</v>
      </c>
      <c r="M12" s="196">
        <v>19328054.989746001</v>
      </c>
      <c r="N12" s="196">
        <v>24620328.009399999</v>
      </c>
    </row>
    <row r="13" spans="1:14" ht="15" thickBot="1" x14ac:dyDescent="0.4">
      <c r="B13" s="338" t="s">
        <v>212</v>
      </c>
      <c r="C13" s="339">
        <v>10703633.99</v>
      </c>
      <c r="D13" s="340">
        <f t="shared" ref="D13:E13" si="0">SUM(D11,D12)</f>
        <v>9795029.3499999996</v>
      </c>
      <c r="E13" s="340">
        <f t="shared" si="0"/>
        <v>9607781.6600000001</v>
      </c>
      <c r="F13" s="340">
        <f>SUM(F11,F12)</f>
        <v>9274160.3900000006</v>
      </c>
      <c r="G13" s="340">
        <f t="shared" ref="G13:H13" si="1">SUM(G11,G12)</f>
        <v>11989158.710000001</v>
      </c>
      <c r="H13" s="340">
        <f t="shared" si="1"/>
        <v>9245078.4000000004</v>
      </c>
      <c r="I13" s="339">
        <v>301791232.73000002</v>
      </c>
      <c r="J13" s="340">
        <v>331945538.54000002</v>
      </c>
      <c r="K13" s="340">
        <f t="shared" ref="K13" si="2">SUM(K11,K12)</f>
        <v>375699600.13479996</v>
      </c>
      <c r="L13" s="340">
        <f>SUM(L11,L12)</f>
        <v>315556037.99427497</v>
      </c>
      <c r="M13" s="340">
        <f t="shared" ref="M13:N13" si="3">SUM(M11,M12)</f>
        <v>275980808.93973899</v>
      </c>
      <c r="N13" s="340">
        <f t="shared" si="3"/>
        <v>330545745.58939999</v>
      </c>
    </row>
    <row r="14" spans="1:14" x14ac:dyDescent="0.35">
      <c r="C14" s="149"/>
      <c r="D14" s="149"/>
      <c r="E14" s="149"/>
      <c r="F14" s="149"/>
      <c r="G14" s="149"/>
      <c r="H14" s="149"/>
      <c r="I14" s="270"/>
      <c r="J14" s="149"/>
      <c r="K14" s="149"/>
    </row>
    <row r="15" spans="1:14" x14ac:dyDescent="0.35">
      <c r="A15" s="10"/>
    </row>
    <row r="16" spans="1:14" x14ac:dyDescent="0.35">
      <c r="A16" s="10"/>
    </row>
    <row r="19" spans="2:5" x14ac:dyDescent="0.35">
      <c r="B19" s="222"/>
      <c r="C19" s="222"/>
      <c r="D19" s="222"/>
      <c r="E19" s="222"/>
    </row>
  </sheetData>
  <mergeCells count="3">
    <mergeCell ref="A1:C1"/>
    <mergeCell ref="C9:H9"/>
    <mergeCell ref="I9:N9"/>
  </mergeCells>
  <phoneticPr fontId="10" type="noConversion"/>
  <hyperlinks>
    <hyperlink ref="C5" location="'Financial Gain'!A7" display="Table OC1.1" xr:uid="{44AA57C2-3E1F-496E-8C06-A85FCF401AF3}"/>
    <hyperlink ref="A3" location="Contents!A1" display="Return to Contents" xr:uid="{19CE334F-4442-40FE-9308-E9E32633BB5F}"/>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171B61-2B42-4B7F-9D3B-F77D81011ED1}">
  <sheetPr codeName="Sheet6"/>
  <dimension ref="A1:L113"/>
  <sheetViews>
    <sheetView topLeftCell="C100" workbookViewId="0">
      <selection activeCell="F108" sqref="F108"/>
    </sheetView>
  </sheetViews>
  <sheetFormatPr defaultRowHeight="14.5" x14ac:dyDescent="0.35"/>
  <cols>
    <col min="2" max="2" width="31.81640625" customWidth="1"/>
    <col min="3" max="3" width="15" bestFit="1" customWidth="1"/>
    <col min="4" max="4" width="41.26953125" customWidth="1"/>
    <col min="5" max="5" width="14.453125" customWidth="1"/>
    <col min="6" max="6" width="14.81640625" bestFit="1" customWidth="1"/>
  </cols>
  <sheetData>
    <row r="1" spans="1:12" x14ac:dyDescent="0.35">
      <c r="A1" s="144" t="s">
        <v>213</v>
      </c>
    </row>
    <row r="2" spans="1:12" x14ac:dyDescent="0.35">
      <c r="A2" s="144"/>
    </row>
    <row r="3" spans="1:12" x14ac:dyDescent="0.35">
      <c r="B3" s="227"/>
      <c r="C3" s="227"/>
      <c r="D3" s="231" t="s">
        <v>47</v>
      </c>
      <c r="E3" s="231" t="s">
        <v>48</v>
      </c>
    </row>
    <row r="4" spans="1:12" ht="15" customHeight="1" x14ac:dyDescent="0.35">
      <c r="B4" s="427" t="s">
        <v>214</v>
      </c>
      <c r="C4" s="227" t="s">
        <v>57</v>
      </c>
      <c r="D4" s="232">
        <f>Demographics!C26</f>
        <v>0.36616454229432216</v>
      </c>
      <c r="E4" s="232">
        <f>Demographics!D26</f>
        <v>0.53389339513325607</v>
      </c>
    </row>
    <row r="5" spans="1:12" x14ac:dyDescent="0.35">
      <c r="B5" s="427"/>
      <c r="C5" s="227" t="s">
        <v>58</v>
      </c>
      <c r="D5" s="232">
        <f>Demographics!C28</f>
        <v>0.30978372811534499</v>
      </c>
      <c r="E5" s="232">
        <f>Demographics!D28</f>
        <v>0.42883625128733266</v>
      </c>
    </row>
    <row r="6" spans="1:12" x14ac:dyDescent="0.35">
      <c r="B6" s="230" t="s">
        <v>215</v>
      </c>
      <c r="C6" s="227" t="s">
        <v>57</v>
      </c>
      <c r="D6" s="232" t="str">
        <f>Demographics!K26</f>
        <v>-</v>
      </c>
      <c r="E6" s="232" t="str">
        <f>Demographics!L26</f>
        <v>-</v>
      </c>
    </row>
    <row r="7" spans="1:12" x14ac:dyDescent="0.35">
      <c r="B7" s="229"/>
      <c r="D7" s="159"/>
      <c r="E7" s="159"/>
    </row>
    <row r="8" spans="1:12" x14ac:dyDescent="0.35">
      <c r="A8" s="144" t="s">
        <v>216</v>
      </c>
    </row>
    <row r="9" spans="1:12" x14ac:dyDescent="0.35">
      <c r="A9" s="144"/>
    </row>
    <row r="10" spans="1:12" x14ac:dyDescent="0.35">
      <c r="B10" s="227"/>
      <c r="C10" s="227"/>
      <c r="D10" s="227" t="s">
        <v>217</v>
      </c>
      <c r="E10" s="227" t="s">
        <v>218</v>
      </c>
    </row>
    <row r="11" spans="1:12" ht="15" customHeight="1" x14ac:dyDescent="0.35">
      <c r="B11" s="427" t="s">
        <v>214</v>
      </c>
      <c r="C11" s="227" t="s">
        <v>54</v>
      </c>
      <c r="D11" s="228" t="e">
        <f>Demographics!#REF!</f>
        <v>#REF!</v>
      </c>
      <c r="E11" s="228" t="e">
        <f>Demographics!#REF!</f>
        <v>#REF!</v>
      </c>
    </row>
    <row r="12" spans="1:12" x14ac:dyDescent="0.35">
      <c r="B12" s="427"/>
      <c r="C12" s="227" t="s">
        <v>56</v>
      </c>
      <c r="D12" s="228" t="e">
        <f>Demographics!#REF!</f>
        <v>#REF!</v>
      </c>
      <c r="E12" s="228" t="e">
        <f>Demographics!#REF!</f>
        <v>#REF!</v>
      </c>
    </row>
    <row r="13" spans="1:12" x14ac:dyDescent="0.35">
      <c r="B13" s="427"/>
      <c r="C13" s="227" t="s">
        <v>57</v>
      </c>
      <c r="D13" s="228" t="e">
        <f>Demographics!#REF!</f>
        <v>#REF!</v>
      </c>
      <c r="E13" s="228" t="e">
        <f>Demographics!#REF!</f>
        <v>#REF!</v>
      </c>
    </row>
    <row r="14" spans="1:12" ht="15" customHeight="1" x14ac:dyDescent="0.35">
      <c r="B14" s="427"/>
      <c r="C14" s="227" t="s">
        <v>58</v>
      </c>
      <c r="D14" s="228" t="e">
        <f>Demographics!#REF!</f>
        <v>#REF!</v>
      </c>
      <c r="E14" s="228" t="e">
        <f>Demographics!#REF!</f>
        <v>#REF!</v>
      </c>
      <c r="F14" s="225"/>
      <c r="L14" s="225"/>
    </row>
    <row r="15" spans="1:12" ht="45" customHeight="1" x14ac:dyDescent="0.35">
      <c r="B15" s="427" t="s">
        <v>215</v>
      </c>
      <c r="C15" s="227" t="s">
        <v>54</v>
      </c>
      <c r="D15" s="228" t="e">
        <f>Demographics!#REF!</f>
        <v>#REF!</v>
      </c>
      <c r="E15" s="228" t="e">
        <f>Demographics!#REF!</f>
        <v>#REF!</v>
      </c>
      <c r="F15" s="225"/>
    </row>
    <row r="16" spans="1:12" x14ac:dyDescent="0.35">
      <c r="B16" s="427"/>
      <c r="C16" s="227" t="s">
        <v>56</v>
      </c>
      <c r="D16" s="228" t="e">
        <f>Demographics!#REF!</f>
        <v>#REF!</v>
      </c>
      <c r="E16" s="228" t="e">
        <f>Demographics!#REF!</f>
        <v>#REF!</v>
      </c>
      <c r="F16" s="225"/>
    </row>
    <row r="17" spans="1:12" x14ac:dyDescent="0.35">
      <c r="B17" s="427"/>
      <c r="C17" s="227" t="s">
        <v>57</v>
      </c>
      <c r="D17" s="228" t="e">
        <f>Demographics!#REF!</f>
        <v>#REF!</v>
      </c>
      <c r="E17" s="228" t="e">
        <f>Demographics!#REF!</f>
        <v>#REF!</v>
      </c>
      <c r="F17" s="225"/>
    </row>
    <row r="19" spans="1:12" x14ac:dyDescent="0.35">
      <c r="A19" s="144" t="s">
        <v>219</v>
      </c>
    </row>
    <row r="20" spans="1:12" x14ac:dyDescent="0.35">
      <c r="B20" s="227"/>
      <c r="C20" s="227" t="s">
        <v>220</v>
      </c>
      <c r="D20" s="227" t="s">
        <v>221</v>
      </c>
    </row>
    <row r="21" spans="1:12" x14ac:dyDescent="0.35">
      <c r="B21" s="227" t="s">
        <v>54</v>
      </c>
      <c r="C21" s="232">
        <f>SUM(Demographics!C118:D118)</f>
        <v>0.74737394957983194</v>
      </c>
      <c r="D21" s="232">
        <f>SUM(Demographics!E118:H118)</f>
        <v>0.25262605042016806</v>
      </c>
    </row>
    <row r="22" spans="1:12" x14ac:dyDescent="0.35">
      <c r="B22" s="227" t="s">
        <v>56</v>
      </c>
      <c r="C22" s="232">
        <f>SUM(Demographics!C119:D119)</f>
        <v>0.10413971539456662</v>
      </c>
      <c r="D22" s="232">
        <f>SUM(Demographics!E119:H119)</f>
        <v>0.89586028460543332</v>
      </c>
    </row>
    <row r="23" spans="1:12" x14ac:dyDescent="0.35">
      <c r="B23" s="227" t="s">
        <v>57</v>
      </c>
      <c r="C23" s="232">
        <f>SUM(Demographics!C120:D120)</f>
        <v>0</v>
      </c>
      <c r="D23" s="232">
        <f>SUM(Demographics!E120:H120)</f>
        <v>1</v>
      </c>
    </row>
    <row r="24" spans="1:12" x14ac:dyDescent="0.35">
      <c r="B24" s="227" t="s">
        <v>58</v>
      </c>
      <c r="C24" s="232">
        <f>SUM(Demographics!C122:D122)</f>
        <v>0</v>
      </c>
      <c r="D24" s="232">
        <f>SUM(Demographics!E122:H122)</f>
        <v>1</v>
      </c>
    </row>
    <row r="26" spans="1:12" x14ac:dyDescent="0.35">
      <c r="A26" s="144" t="s">
        <v>222</v>
      </c>
      <c r="I26" s="226"/>
      <c r="L26" s="225"/>
    </row>
    <row r="27" spans="1:12" x14ac:dyDescent="0.35">
      <c r="I27" s="226"/>
      <c r="L27" s="225"/>
    </row>
    <row r="28" spans="1:12" ht="15" customHeight="1" x14ac:dyDescent="0.35">
      <c r="B28" s="427" t="s">
        <v>214</v>
      </c>
      <c r="C28" s="425" t="s">
        <v>57</v>
      </c>
      <c r="D28" s="227" t="s">
        <v>223</v>
      </c>
      <c r="E28" s="228">
        <f>SUM(E29:E33)</f>
        <v>1.9119351100811123E-2</v>
      </c>
    </row>
    <row r="29" spans="1:12" x14ac:dyDescent="0.35">
      <c r="B29" s="427"/>
      <c r="C29" s="425"/>
      <c r="D29" s="227" t="s">
        <v>83</v>
      </c>
      <c r="E29" s="233">
        <f t="array" ref="E29">INDEX(Demographics!$C$100:$H$100,MATCH('Chart Data'!D29,Demographics!$C$89:$H$89,0))</f>
        <v>1.7381228273464658E-3</v>
      </c>
    </row>
    <row r="30" spans="1:12" x14ac:dyDescent="0.35">
      <c r="B30" s="427"/>
      <c r="C30" s="425"/>
      <c r="D30" s="227" t="s">
        <v>84</v>
      </c>
      <c r="E30" s="233">
        <f t="array" ref="E30">INDEX(Demographics!$C$100:$H$100,MATCH('Chart Data'!D30,Demographics!$C$89:$H$89,0))</f>
        <v>8.1112398609501733E-3</v>
      </c>
    </row>
    <row r="31" spans="1:12" x14ac:dyDescent="0.35">
      <c r="B31" s="427"/>
      <c r="C31" s="425"/>
      <c r="D31" s="227" t="s">
        <v>85</v>
      </c>
      <c r="E31" s="233">
        <f t="array" ref="E31">INDEX(Demographics!$C$100:$H$100,MATCH('Chart Data'!D31,Demographics!$C$89:$H$89,0))</f>
        <v>2.6071842410196988E-3</v>
      </c>
    </row>
    <row r="32" spans="1:12" x14ac:dyDescent="0.35">
      <c r="B32" s="427"/>
      <c r="C32" s="425"/>
      <c r="D32" s="227" t="s">
        <v>86</v>
      </c>
      <c r="E32" s="233">
        <f t="array" ref="E32">INDEX(Demographics!$C$100:$H$100,MATCH('Chart Data'!D32,Demographics!$C$89:$H$89,0))</f>
        <v>1.7381228273464658E-3</v>
      </c>
    </row>
    <row r="33" spans="1:5" x14ac:dyDescent="0.35">
      <c r="B33" s="427"/>
      <c r="C33" s="425"/>
      <c r="D33" s="227" t="s">
        <v>87</v>
      </c>
      <c r="E33" s="233">
        <f t="array" ref="E33">INDEX(Demographics!$C$100:$H$100,MATCH('Chart Data'!D33,Demographics!$C$89:$H$89,0))</f>
        <v>4.9246813441483194E-3</v>
      </c>
    </row>
    <row r="34" spans="1:5" x14ac:dyDescent="0.35">
      <c r="B34" s="427"/>
      <c r="C34" s="425" t="s">
        <v>58</v>
      </c>
      <c r="D34" s="227" t="s">
        <v>223</v>
      </c>
      <c r="E34" s="228">
        <f>SUM(E35:E39)</f>
        <v>1.7507723995880537E-2</v>
      </c>
    </row>
    <row r="35" spans="1:5" x14ac:dyDescent="0.35">
      <c r="B35" s="427"/>
      <c r="C35" s="425"/>
      <c r="D35" s="227" t="s">
        <v>83</v>
      </c>
      <c r="E35" s="233">
        <f t="array" ref="E35">INDEX(Demographics!$C$102:$H$102,MATCH('Chart Data'!D35,Demographics!$C$89:$H$89,0))</f>
        <v>2.0597322348094747E-3</v>
      </c>
    </row>
    <row r="36" spans="1:5" x14ac:dyDescent="0.35">
      <c r="B36" s="427"/>
      <c r="C36" s="425"/>
      <c r="D36" s="227" t="s">
        <v>84</v>
      </c>
      <c r="E36" s="233">
        <f t="array" ref="E36">INDEX(Demographics!$C$102:$H$102,MATCH('Chart Data'!D36,Demographics!$C$89:$H$89,0))</f>
        <v>9.0628218331616894E-3</v>
      </c>
    </row>
    <row r="37" spans="1:5" x14ac:dyDescent="0.35">
      <c r="B37" s="427"/>
      <c r="C37" s="425"/>
      <c r="D37" s="227" t="s">
        <v>85</v>
      </c>
      <c r="E37" s="233">
        <f t="array" ref="E37">INDEX(Demographics!$C$102:$H$102,MATCH('Chart Data'!D37,Demographics!$C$89:$H$89,0))</f>
        <v>2.0597322348094747E-3</v>
      </c>
    </row>
    <row r="38" spans="1:5" x14ac:dyDescent="0.35">
      <c r="B38" s="427"/>
      <c r="C38" s="425"/>
      <c r="D38" s="227" t="s">
        <v>86</v>
      </c>
      <c r="E38" s="233">
        <f t="array" ref="E38">INDEX(Demographics!$C$102:$H$102,MATCH('Chart Data'!D38,Demographics!$C$89:$H$89,0))</f>
        <v>1.2358393408856848E-3</v>
      </c>
    </row>
    <row r="39" spans="1:5" x14ac:dyDescent="0.35">
      <c r="B39" s="427"/>
      <c r="C39" s="425"/>
      <c r="D39" s="227" t="s">
        <v>87</v>
      </c>
      <c r="E39" s="233">
        <f t="array" ref="E39">INDEX(Demographics!$C$102:$H$102,MATCH('Chart Data'!D39,Demographics!$C$89:$H$89,0))</f>
        <v>3.089598352214212E-3</v>
      </c>
    </row>
    <row r="40" spans="1:5" x14ac:dyDescent="0.35">
      <c r="B40" s="425" t="s">
        <v>215</v>
      </c>
      <c r="C40" s="425" t="s">
        <v>57</v>
      </c>
      <c r="D40" s="227" t="s">
        <v>223</v>
      </c>
      <c r="E40" s="228" t="e">
        <f>SUM(E41:E45)</f>
        <v>#N/A</v>
      </c>
    </row>
    <row r="41" spans="1:5" x14ac:dyDescent="0.35">
      <c r="B41" s="425"/>
      <c r="C41" s="425"/>
      <c r="D41" s="227" t="s">
        <v>83</v>
      </c>
      <c r="E41" s="233" t="e">
        <f t="array" ref="E41">INDEX(Demographics!$S$100:$X$100,MATCH('Chart Data'!D41,Demographics!$S$89:$X$89,0))</f>
        <v>#N/A</v>
      </c>
    </row>
    <row r="42" spans="1:5" x14ac:dyDescent="0.35">
      <c r="B42" s="425"/>
      <c r="C42" s="425"/>
      <c r="D42" s="227" t="s">
        <v>84</v>
      </c>
      <c r="E42" s="233" t="e">
        <f t="array" ref="E42">INDEX(Demographics!$S$100:$X$100,MATCH('Chart Data'!D42,Demographics!$S$89:$X$89,0))</f>
        <v>#N/A</v>
      </c>
    </row>
    <row r="43" spans="1:5" x14ac:dyDescent="0.35">
      <c r="B43" s="425"/>
      <c r="C43" s="425"/>
      <c r="D43" s="227" t="s">
        <v>85</v>
      </c>
      <c r="E43" s="233" t="e">
        <f t="array" ref="E43">INDEX(Demographics!$S$100:$X$100,MATCH('Chart Data'!D43,Demographics!$S$89:$X$89,0))</f>
        <v>#N/A</v>
      </c>
    </row>
    <row r="44" spans="1:5" x14ac:dyDescent="0.35">
      <c r="B44" s="425"/>
      <c r="C44" s="425"/>
      <c r="D44" s="227" t="s">
        <v>86</v>
      </c>
      <c r="E44" s="233" t="e">
        <f t="array" ref="E44">INDEX(Demographics!$S$100:$X$100,MATCH('Chart Data'!D44,Demographics!$S$89:$X$89,0))</f>
        <v>#N/A</v>
      </c>
    </row>
    <row r="45" spans="1:5" x14ac:dyDescent="0.35">
      <c r="B45" s="425"/>
      <c r="C45" s="425"/>
      <c r="D45" s="227" t="s">
        <v>87</v>
      </c>
      <c r="E45" s="233" t="e">
        <f t="array" ref="E45">INDEX(Demographics!$S$100:$X$100,MATCH('Chart Data'!D45,Demographics!$S$89:$X$89,0))</f>
        <v>#N/A</v>
      </c>
    </row>
    <row r="47" spans="1:5" x14ac:dyDescent="0.35">
      <c r="A47" s="144" t="s">
        <v>224</v>
      </c>
    </row>
    <row r="49" spans="1:6" x14ac:dyDescent="0.35">
      <c r="B49" s="227"/>
      <c r="C49" s="234" t="s">
        <v>54</v>
      </c>
      <c r="D49" s="234" t="s">
        <v>56</v>
      </c>
      <c r="E49" s="234" t="s">
        <v>57</v>
      </c>
      <c r="F49" s="234" t="s">
        <v>58</v>
      </c>
    </row>
    <row r="50" spans="1:6" x14ac:dyDescent="0.35">
      <c r="B50" s="235" t="s">
        <v>134</v>
      </c>
      <c r="C50" s="236">
        <f>Debt!C12</f>
        <v>503</v>
      </c>
      <c r="D50" s="236">
        <f>Debt!D12</f>
        <v>0</v>
      </c>
      <c r="E50" s="236">
        <f>Debt!E12</f>
        <v>503</v>
      </c>
      <c r="F50" s="236">
        <f>Debt!F12</f>
        <v>60</v>
      </c>
    </row>
    <row r="52" spans="1:6" x14ac:dyDescent="0.35">
      <c r="A52" s="144" t="s">
        <v>225</v>
      </c>
    </row>
    <row r="54" spans="1:6" x14ac:dyDescent="0.35">
      <c r="B54" s="227"/>
      <c r="C54" s="234" t="s">
        <v>54</v>
      </c>
      <c r="D54" s="234" t="s">
        <v>56</v>
      </c>
      <c r="E54" s="234" t="s">
        <v>57</v>
      </c>
      <c r="F54" s="234" t="s">
        <v>58</v>
      </c>
    </row>
    <row r="55" spans="1:6" ht="15" thickBot="1" x14ac:dyDescent="0.4">
      <c r="B55" s="215" t="s">
        <v>135</v>
      </c>
      <c r="C55" s="237">
        <f>Debt!C13</f>
        <v>1533387.67</v>
      </c>
      <c r="D55" s="237">
        <f>Debt!D13</f>
        <v>2664004.12</v>
      </c>
      <c r="E55" s="237">
        <f>Debt!E13</f>
        <v>1772373.88</v>
      </c>
      <c r="F55" s="237">
        <f>Debt!F13</f>
        <v>988775.36</v>
      </c>
    </row>
    <row r="57" spans="1:6" x14ac:dyDescent="0.35">
      <c r="A57" s="144" t="s">
        <v>226</v>
      </c>
    </row>
    <row r="59" spans="1:6" x14ac:dyDescent="0.35">
      <c r="B59" s="240"/>
      <c r="C59" s="238" t="s">
        <v>174</v>
      </c>
      <c r="D59" s="238" t="s">
        <v>175</v>
      </c>
      <c r="E59" s="238" t="s">
        <v>178</v>
      </c>
    </row>
    <row r="60" spans="1:6" x14ac:dyDescent="0.35">
      <c r="B60" s="238" t="s">
        <v>54</v>
      </c>
      <c r="C60" s="241">
        <f>Funding!C13/1000000</f>
        <v>0.14122330999999999</v>
      </c>
      <c r="D60" s="241">
        <f>Funding!D13/1000000</f>
        <v>0.24338079999999998</v>
      </c>
      <c r="E60" s="241">
        <f>Funding!E13/1000000</f>
        <v>0.38460411</v>
      </c>
    </row>
    <row r="61" spans="1:6" x14ac:dyDescent="0.35">
      <c r="B61" s="238" t="s">
        <v>56</v>
      </c>
      <c r="C61" s="241">
        <f>Funding!C14/1000000</f>
        <v>0.14122330999999999</v>
      </c>
      <c r="D61" s="241">
        <f>Funding!D14/1000000</f>
        <v>0.25</v>
      </c>
      <c r="E61" s="241">
        <f>Funding!E14/1000000</f>
        <v>0.39122330999999999</v>
      </c>
    </row>
    <row r="62" spans="1:6" x14ac:dyDescent="0.35">
      <c r="B62" s="239" t="s">
        <v>57</v>
      </c>
      <c r="C62" s="241">
        <f>Funding!C15/1000000</f>
        <v>0.15851583</v>
      </c>
      <c r="D62" s="241">
        <f>Funding!D15/1000000</f>
        <v>0.25</v>
      </c>
      <c r="E62" s="241">
        <f>Funding!E15/1000000</f>
        <v>0.40851582999999997</v>
      </c>
    </row>
    <row r="63" spans="1:6" x14ac:dyDescent="0.35">
      <c r="B63" s="239" t="s">
        <v>58</v>
      </c>
      <c r="C63" s="241">
        <f>Funding!C17/1000000</f>
        <v>0.13262899</v>
      </c>
      <c r="D63" s="241">
        <f>Funding!D17/1000000</f>
        <v>0.25</v>
      </c>
      <c r="E63" s="241">
        <f>Funding!E17/1000000</f>
        <v>0.38262899</v>
      </c>
    </row>
    <row r="65" spans="1:4" x14ac:dyDescent="0.35">
      <c r="A65" s="144" t="s">
        <v>227</v>
      </c>
    </row>
    <row r="67" spans="1:4" x14ac:dyDescent="0.35">
      <c r="B67" s="426" t="s">
        <v>198</v>
      </c>
      <c r="C67" s="238" t="s">
        <v>54</v>
      </c>
      <c r="D67" s="242">
        <f>Volume!C12</f>
        <v>4860</v>
      </c>
    </row>
    <row r="68" spans="1:4" x14ac:dyDescent="0.35">
      <c r="B68" s="426"/>
      <c r="C68" s="238" t="s">
        <v>56</v>
      </c>
      <c r="D68" s="242">
        <f>Volume!C13</f>
        <v>4638</v>
      </c>
    </row>
    <row r="69" spans="1:4" x14ac:dyDescent="0.35">
      <c r="B69" s="426"/>
      <c r="C69" s="239" t="s">
        <v>57</v>
      </c>
      <c r="D69" s="242">
        <f>Volume!C14</f>
        <v>3452</v>
      </c>
    </row>
    <row r="70" spans="1:4" x14ac:dyDescent="0.35">
      <c r="B70" s="426"/>
      <c r="C70" s="239" t="s">
        <v>58</v>
      </c>
      <c r="D70" s="242">
        <f>Volume!C16</f>
        <v>4855</v>
      </c>
    </row>
    <row r="71" spans="1:4" x14ac:dyDescent="0.35">
      <c r="B71" s="426" t="s">
        <v>199</v>
      </c>
      <c r="C71" s="238" t="s">
        <v>54</v>
      </c>
      <c r="D71" s="242">
        <f>Volume!D12</f>
        <v>2557</v>
      </c>
    </row>
    <row r="72" spans="1:4" x14ac:dyDescent="0.35">
      <c r="B72" s="426"/>
      <c r="C72" s="238" t="s">
        <v>56</v>
      </c>
      <c r="D72" s="242">
        <f>Volume!D13</f>
        <v>1340</v>
      </c>
    </row>
    <row r="73" spans="1:4" x14ac:dyDescent="0.35">
      <c r="B73" s="426"/>
      <c r="C73" s="239" t="s">
        <v>57</v>
      </c>
      <c r="D73" s="242">
        <f>Volume!D14</f>
        <v>2432</v>
      </c>
    </row>
    <row r="74" spans="1:4" x14ac:dyDescent="0.35">
      <c r="B74" s="426"/>
      <c r="C74" s="239" t="s">
        <v>58</v>
      </c>
      <c r="D74" s="242">
        <f>Volume!D16</f>
        <v>3097</v>
      </c>
    </row>
    <row r="76" spans="1:4" x14ac:dyDescent="0.35">
      <c r="A76" s="144" t="s">
        <v>228</v>
      </c>
    </row>
    <row r="77" spans="1:4" x14ac:dyDescent="0.35">
      <c r="A77" s="144"/>
    </row>
    <row r="78" spans="1:4" x14ac:dyDescent="0.35">
      <c r="B78" s="243"/>
      <c r="C78" s="244" t="s">
        <v>229</v>
      </c>
      <c r="D78" s="244" t="s">
        <v>230</v>
      </c>
    </row>
    <row r="79" spans="1:4" x14ac:dyDescent="0.35">
      <c r="B79" s="231" t="s">
        <v>54</v>
      </c>
      <c r="C79" s="245" t="e">
        <f>Volume!#REF!</f>
        <v>#REF!</v>
      </c>
      <c r="D79" s="245" t="e">
        <f>Volume!#REF!</f>
        <v>#REF!</v>
      </c>
    </row>
    <row r="80" spans="1:4" x14ac:dyDescent="0.35">
      <c r="B80" s="231" t="s">
        <v>56</v>
      </c>
      <c r="C80" s="245" t="e">
        <f>Volume!#REF!</f>
        <v>#REF!</v>
      </c>
      <c r="D80" s="245" t="e">
        <f>Volume!#REF!</f>
        <v>#REF!</v>
      </c>
    </row>
    <row r="81" spans="1:4" x14ac:dyDescent="0.35">
      <c r="B81" s="231" t="s">
        <v>57</v>
      </c>
      <c r="C81" s="245" t="e">
        <f>Volume!#REF!</f>
        <v>#REF!</v>
      </c>
      <c r="D81" s="245" t="e">
        <f>Volume!#REF!</f>
        <v>#REF!</v>
      </c>
    </row>
    <row r="82" spans="1:4" x14ac:dyDescent="0.35">
      <c r="B82" s="231" t="s">
        <v>58</v>
      </c>
      <c r="C82" s="245" t="e">
        <f>Volume!#REF!</f>
        <v>#REF!</v>
      </c>
      <c r="D82" s="245" t="e">
        <f>Volume!#REF!</f>
        <v>#REF!</v>
      </c>
    </row>
    <row r="84" spans="1:4" x14ac:dyDescent="0.35">
      <c r="A84" s="144" t="s">
        <v>231</v>
      </c>
    </row>
    <row r="86" spans="1:4" x14ac:dyDescent="0.35">
      <c r="B86" s="246" t="s">
        <v>232</v>
      </c>
      <c r="C86" s="247" t="e">
        <f>#REF!</f>
        <v>#REF!</v>
      </c>
    </row>
    <row r="87" spans="1:4" x14ac:dyDescent="0.35">
      <c r="B87" s="246" t="s">
        <v>233</v>
      </c>
      <c r="C87" s="247" t="e">
        <f>#REF!</f>
        <v>#REF!</v>
      </c>
    </row>
    <row r="88" spans="1:4" x14ac:dyDescent="0.35">
      <c r="B88" s="246" t="s">
        <v>234</v>
      </c>
      <c r="C88" s="247" t="e">
        <f>#REF!</f>
        <v>#REF!</v>
      </c>
    </row>
    <row r="90" spans="1:4" x14ac:dyDescent="0.35">
      <c r="A90" s="144" t="s">
        <v>235</v>
      </c>
    </row>
    <row r="92" spans="1:4" x14ac:dyDescent="0.35">
      <c r="B92" s="425" t="s">
        <v>236</v>
      </c>
      <c r="C92" s="231" t="s">
        <v>54</v>
      </c>
      <c r="D92" s="242" t="e">
        <f t="array" ref="D92">INDEX(#REF!,MATCH('Chart Data'!$C92,#REF!,0))</f>
        <v>#REF!</v>
      </c>
    </row>
    <row r="93" spans="1:4" x14ac:dyDescent="0.35">
      <c r="B93" s="425"/>
      <c r="C93" s="231" t="s">
        <v>56</v>
      </c>
      <c r="D93" s="242" t="e">
        <f t="array" ref="D93">INDEX(#REF!,MATCH('Chart Data'!$C93,#REF!,0))</f>
        <v>#REF!</v>
      </c>
    </row>
    <row r="94" spans="1:4" x14ac:dyDescent="0.35">
      <c r="B94" s="425"/>
      <c r="C94" s="231" t="s">
        <v>57</v>
      </c>
      <c r="D94" s="242" t="e">
        <f t="array" ref="D94">INDEX(#REF!,MATCH('Chart Data'!$C94,#REF!,0))</f>
        <v>#REF!</v>
      </c>
    </row>
    <row r="95" spans="1:4" x14ac:dyDescent="0.35">
      <c r="B95" s="425"/>
      <c r="C95" s="231" t="s">
        <v>58</v>
      </c>
      <c r="D95" s="242" t="e">
        <f t="array" ref="D95">INDEX(#REF!,MATCH('Chart Data'!$C95,#REF!,0))</f>
        <v>#REF!</v>
      </c>
    </row>
    <row r="96" spans="1:4" x14ac:dyDescent="0.35">
      <c r="B96" s="425" t="s">
        <v>237</v>
      </c>
      <c r="C96" s="231" t="s">
        <v>54</v>
      </c>
      <c r="D96" s="242" t="e">
        <f t="array" ref="D96">INDEX(#REF!,MATCH('Chart Data'!$C96,#REF!,0))</f>
        <v>#REF!</v>
      </c>
    </row>
    <row r="97" spans="1:6" x14ac:dyDescent="0.35">
      <c r="B97" s="425"/>
      <c r="C97" s="231" t="s">
        <v>56</v>
      </c>
      <c r="D97" s="242" t="e">
        <f t="array" ref="D97">INDEX(#REF!,MATCH('Chart Data'!$C97,#REF!,0))</f>
        <v>#REF!</v>
      </c>
    </row>
    <row r="98" spans="1:6" x14ac:dyDescent="0.35">
      <c r="B98" s="425"/>
      <c r="C98" s="231" t="s">
        <v>57</v>
      </c>
      <c r="D98" s="242" t="e">
        <f t="array" ref="D98">INDEX(#REF!,MATCH('Chart Data'!$C98,#REF!,0))</f>
        <v>#REF!</v>
      </c>
    </row>
    <row r="99" spans="1:6" x14ac:dyDescent="0.35">
      <c r="B99" s="425"/>
      <c r="C99" s="231" t="s">
        <v>58</v>
      </c>
      <c r="D99" s="242" t="e">
        <f t="array" ref="D99">INDEX(#REF!,MATCH('Chart Data'!$C99,#REF!,0))</f>
        <v>#REF!</v>
      </c>
    </row>
    <row r="100" spans="1:6" x14ac:dyDescent="0.35">
      <c r="B100" s="425" t="s">
        <v>238</v>
      </c>
      <c r="C100" s="231" t="s">
        <v>54</v>
      </c>
      <c r="D100" s="242" t="e">
        <f t="array" ref="D100">INDEX(#REF!,MATCH('Chart Data'!$C100,#REF!,0))</f>
        <v>#REF!</v>
      </c>
    </row>
    <row r="101" spans="1:6" x14ac:dyDescent="0.35">
      <c r="B101" s="425"/>
      <c r="C101" s="231" t="s">
        <v>56</v>
      </c>
      <c r="D101" s="242" t="e">
        <f t="array" ref="D101">INDEX(#REF!,MATCH('Chart Data'!$C101,#REF!,0))</f>
        <v>#REF!</v>
      </c>
    </row>
    <row r="102" spans="1:6" x14ac:dyDescent="0.35">
      <c r="B102" s="425"/>
      <c r="C102" s="231" t="s">
        <v>57</v>
      </c>
      <c r="D102" s="242" t="e">
        <f t="array" ref="D102">INDEX(#REF!,MATCH('Chart Data'!$C102,#REF!,0))</f>
        <v>#REF!</v>
      </c>
    </row>
    <row r="103" spans="1:6" x14ac:dyDescent="0.35">
      <c r="B103" s="425"/>
      <c r="C103" s="231" t="s">
        <v>58</v>
      </c>
      <c r="D103" s="242" t="e">
        <f t="array" ref="D103">INDEX(#REF!,MATCH('Chart Data'!$C103,#REF!,0))</f>
        <v>#REF!</v>
      </c>
    </row>
    <row r="105" spans="1:6" x14ac:dyDescent="0.35">
      <c r="A105" s="144" t="s">
        <v>239</v>
      </c>
    </row>
    <row r="107" spans="1:6" x14ac:dyDescent="0.35">
      <c r="B107" s="243"/>
      <c r="C107" s="231" t="s">
        <v>54</v>
      </c>
      <c r="D107" s="231" t="s">
        <v>56</v>
      </c>
      <c r="E107" s="231" t="s">
        <v>57</v>
      </c>
      <c r="F107" s="231" t="s">
        <v>58</v>
      </c>
    </row>
    <row r="108" spans="1:6" x14ac:dyDescent="0.35">
      <c r="B108" s="248" t="s">
        <v>240</v>
      </c>
      <c r="C108" s="249">
        <f>'Financial Gain'!C13</f>
        <v>10703633.99</v>
      </c>
      <c r="D108" s="249">
        <f>'Financial Gain'!D13</f>
        <v>9795029.3499999996</v>
      </c>
      <c r="E108" s="249">
        <f>'Financial Gain'!E13</f>
        <v>9607781.6600000001</v>
      </c>
      <c r="F108" s="249">
        <f>'Financial Gain'!F13</f>
        <v>9274160.3900000006</v>
      </c>
    </row>
    <row r="110" spans="1:6" x14ac:dyDescent="0.35">
      <c r="A110" s="144" t="s">
        <v>241</v>
      </c>
    </row>
    <row r="112" spans="1:6" x14ac:dyDescent="0.35">
      <c r="B112" s="243" t="s">
        <v>242</v>
      </c>
      <c r="C112" s="253" t="e">
        <f>#REF!</f>
        <v>#REF!</v>
      </c>
    </row>
    <row r="113" spans="2:3" x14ac:dyDescent="0.35">
      <c r="B113" s="243" t="s">
        <v>212</v>
      </c>
      <c r="C113" s="253" t="e">
        <f>#REF!</f>
        <v>#REF!</v>
      </c>
    </row>
  </sheetData>
  <mergeCells count="13">
    <mergeCell ref="B4:B5"/>
    <mergeCell ref="B11:B14"/>
    <mergeCell ref="B15:B17"/>
    <mergeCell ref="C28:C33"/>
    <mergeCell ref="C34:C39"/>
    <mergeCell ref="B28:B39"/>
    <mergeCell ref="B100:B103"/>
    <mergeCell ref="B92:B95"/>
    <mergeCell ref="B96:B99"/>
    <mergeCell ref="B40:B45"/>
    <mergeCell ref="C40:C45"/>
    <mergeCell ref="B67:B70"/>
    <mergeCell ref="B71:B74"/>
  </mergeCells>
  <phoneticPr fontId="10"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A7E3A2-8D17-4A5E-9F86-45A251A9DDED}">
  <sheetPr codeName="Sheet18"/>
  <dimension ref="A2:A34"/>
  <sheetViews>
    <sheetView topLeftCell="A9" workbookViewId="0">
      <selection activeCell="A16" sqref="A16"/>
    </sheetView>
  </sheetViews>
  <sheetFormatPr defaultRowHeight="14.5" x14ac:dyDescent="0.35"/>
  <sheetData>
    <row r="2" spans="1:1" ht="15" thickBot="1" x14ac:dyDescent="0.4">
      <c r="A2" t="s">
        <v>46</v>
      </c>
    </row>
    <row r="3" spans="1:1" x14ac:dyDescent="0.35">
      <c r="A3" s="11" t="s">
        <v>243</v>
      </c>
    </row>
    <row r="4" spans="1:1" x14ac:dyDescent="0.35">
      <c r="A4" s="12" t="s">
        <v>244</v>
      </c>
    </row>
    <row r="5" spans="1:1" x14ac:dyDescent="0.35">
      <c r="A5" s="12" t="s">
        <v>245</v>
      </c>
    </row>
    <row r="6" spans="1:1" x14ac:dyDescent="0.35">
      <c r="A6" s="12" t="s">
        <v>246</v>
      </c>
    </row>
    <row r="7" spans="1:1" x14ac:dyDescent="0.35">
      <c r="A7" s="12" t="s">
        <v>247</v>
      </c>
    </row>
    <row r="8" spans="1:1" x14ac:dyDescent="0.35">
      <c r="A8" s="12" t="s">
        <v>248</v>
      </c>
    </row>
    <row r="9" spans="1:1" x14ac:dyDescent="0.35">
      <c r="A9" s="12" t="s">
        <v>249</v>
      </c>
    </row>
    <row r="10" spans="1:1" x14ac:dyDescent="0.35">
      <c r="A10" s="12" t="s">
        <v>250</v>
      </c>
    </row>
    <row r="11" spans="1:1" x14ac:dyDescent="0.35">
      <c r="A11" s="12" t="s">
        <v>251</v>
      </c>
    </row>
    <row r="12" spans="1:1" x14ac:dyDescent="0.35">
      <c r="A12" s="12" t="s">
        <v>252</v>
      </c>
    </row>
    <row r="13" spans="1:1" x14ac:dyDescent="0.35">
      <c r="A13" s="12" t="s">
        <v>253</v>
      </c>
    </row>
    <row r="14" spans="1:1" x14ac:dyDescent="0.35">
      <c r="A14" s="12" t="s">
        <v>254</v>
      </c>
    </row>
    <row r="15" spans="1:1" x14ac:dyDescent="0.35">
      <c r="A15" s="12" t="s">
        <v>255</v>
      </c>
    </row>
    <row r="16" spans="1:1" x14ac:dyDescent="0.35">
      <c r="A16" s="12" t="s">
        <v>256</v>
      </c>
    </row>
    <row r="17" spans="1:1" x14ac:dyDescent="0.35">
      <c r="A17" s="12" t="s">
        <v>257</v>
      </c>
    </row>
    <row r="18" spans="1:1" x14ac:dyDescent="0.35">
      <c r="A18" s="12" t="s">
        <v>258</v>
      </c>
    </row>
    <row r="19" spans="1:1" x14ac:dyDescent="0.35">
      <c r="A19" s="12" t="s">
        <v>259</v>
      </c>
    </row>
    <row r="20" spans="1:1" x14ac:dyDescent="0.35">
      <c r="A20" s="12" t="s">
        <v>260</v>
      </c>
    </row>
    <row r="21" spans="1:1" x14ac:dyDescent="0.35">
      <c r="A21" s="12" t="s">
        <v>1</v>
      </c>
    </row>
    <row r="22" spans="1:1" x14ac:dyDescent="0.35">
      <c r="A22" s="12" t="s">
        <v>261</v>
      </c>
    </row>
    <row r="23" spans="1:1" x14ac:dyDescent="0.35">
      <c r="A23" s="12" t="s">
        <v>262</v>
      </c>
    </row>
    <row r="24" spans="1:1" x14ac:dyDescent="0.35">
      <c r="A24" s="12" t="s">
        <v>263</v>
      </c>
    </row>
    <row r="25" spans="1:1" x14ac:dyDescent="0.35">
      <c r="A25" s="12" t="s">
        <v>264</v>
      </c>
    </row>
    <row r="26" spans="1:1" x14ac:dyDescent="0.35">
      <c r="A26" s="12" t="s">
        <v>265</v>
      </c>
    </row>
    <row r="27" spans="1:1" x14ac:dyDescent="0.35">
      <c r="A27" s="12" t="s">
        <v>266</v>
      </c>
    </row>
    <row r="28" spans="1:1" x14ac:dyDescent="0.35">
      <c r="A28" s="12" t="s">
        <v>267</v>
      </c>
    </row>
    <row r="29" spans="1:1" x14ac:dyDescent="0.35">
      <c r="A29" s="12" t="s">
        <v>268</v>
      </c>
    </row>
    <row r="30" spans="1:1" x14ac:dyDescent="0.35">
      <c r="A30" s="12" t="s">
        <v>269</v>
      </c>
    </row>
    <row r="31" spans="1:1" x14ac:dyDescent="0.35">
      <c r="A31" s="12" t="s">
        <v>270</v>
      </c>
    </row>
    <row r="32" spans="1:1" x14ac:dyDescent="0.35">
      <c r="A32" s="12" t="s">
        <v>271</v>
      </c>
    </row>
    <row r="33" spans="1:1" x14ac:dyDescent="0.35">
      <c r="A33" s="12" t="s">
        <v>272</v>
      </c>
    </row>
    <row r="34" spans="1:1" x14ac:dyDescent="0.35">
      <c r="A34" s="12" t="s">
        <v>273</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D8B37618F89864ABE738DE1DBF7EE19" ma:contentTypeVersion="14" ma:contentTypeDescription="Create a new document." ma:contentTypeScope="" ma:versionID="0fa431ca5f6667ee4563a3dc030ff110">
  <xsd:schema xmlns:xsd="http://www.w3.org/2001/XMLSchema" xmlns:xs="http://www.w3.org/2001/XMLSchema" xmlns:p="http://schemas.microsoft.com/office/2006/metadata/properties" xmlns:ns2="1543e12e-b41e-4b3f-8a83-41e12152c6a2" xmlns:ns3="4ea622ab-6d0b-4c8a-8736-27bd26b1fd54" targetNamespace="http://schemas.microsoft.com/office/2006/metadata/properties" ma:root="true" ma:fieldsID="39129a5f7a19bdf4ba30dca94bdfeaba" ns2:_="" ns3:_="">
    <xsd:import namespace="1543e12e-b41e-4b3f-8a83-41e12152c6a2"/>
    <xsd:import namespace="4ea622ab-6d0b-4c8a-8736-27bd26b1fd5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Location" minOccurs="0"/>
                <xsd:element ref="ns3:SharedWithUsers" minOccurs="0"/>
                <xsd:element ref="ns3:SharedWithDetails" minOccurs="0"/>
                <xsd:element ref="ns2:MediaServiceEventHashCode" minOccurs="0"/>
                <xsd:element ref="ns2:MediaServiceGenerationTime" minOccurs="0"/>
                <xsd:element ref="ns2:MediaServiceAutoKeyPoints" minOccurs="0"/>
                <xsd:element ref="ns2:MediaServiceKeyPoints"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543e12e-b41e-4b3f-8a83-41e12152c6a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MediaServiceAutoTags" ma:internalName="MediaServiceAutoTags" ma:readOnly="true">
      <xsd:simpleType>
        <xsd:restriction base="dms:Text"/>
      </xsd:simpleType>
    </xsd:element>
    <xsd:element name="MediaServiceOCR" ma:index="12" nillable="true" ma:displayName="MediaServiceOCR" ma:internalName="MediaServiceOCR" ma:readOnly="true">
      <xsd:simpleType>
        <xsd:restriction base="dms:Note">
          <xsd:maxLength value="255"/>
        </xsd:restriction>
      </xsd:simpleType>
    </xsd:element>
    <xsd:element name="MediaServiceLocation" ma:index="13" nillable="true" ma:displayName="MediaServiceLocation" ma:internalName="MediaServiceLocation"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4ea622ab-6d0b-4c8a-8736-27bd26b1fd54"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8DADDF1-DED7-4664-9BFC-722FE1E75B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543e12e-b41e-4b3f-8a83-41e12152c6a2"/>
    <ds:schemaRef ds:uri="4ea622ab-6d0b-4c8a-8736-27bd26b1fd5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8D2059E-A2B6-488A-81AC-F8614C49A7D9}">
  <ds:schemaRefs>
    <ds:schemaRef ds:uri="http://schemas.microsoft.com/sharepoint/v3/contenttype/forms"/>
  </ds:schemaRefs>
</ds:datastoreItem>
</file>

<file path=customXml/itemProps3.xml><?xml version="1.0" encoding="utf-8"?>
<ds:datastoreItem xmlns:ds="http://schemas.openxmlformats.org/officeDocument/2006/customXml" ds:itemID="{FB14D4B4-584A-463F-81BE-282D37031341}">
  <ds:schemaRefs>
    <ds:schemaRef ds:uri="http://purl.org/dc/elements/1.1/"/>
    <ds:schemaRef ds:uri="http://schemas.microsoft.com/office/infopath/2007/PartnerControls"/>
    <ds:schemaRef ds:uri="http://purl.org/dc/terms/"/>
    <ds:schemaRef ds:uri="http://schemas.microsoft.com/office/2006/documentManagement/types"/>
    <ds:schemaRef ds:uri="http://schemas.openxmlformats.org/package/2006/metadata/core-properties"/>
    <ds:schemaRef ds:uri="http://purl.org/dc/dcmitype/"/>
    <ds:schemaRef ds:uri="4ea622ab-6d0b-4c8a-8736-27bd26b1fd54"/>
    <ds:schemaRef ds:uri="1543e12e-b41e-4b3f-8a83-41e12152c6a2"/>
    <ds:schemaRef ds:uri="http://schemas.microsoft.com/office/2006/metadata/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Contents</vt:lpstr>
      <vt:lpstr>Notes &amp; Caveats</vt:lpstr>
      <vt:lpstr>Services</vt:lpstr>
      <vt:lpstr>Demographics</vt:lpstr>
      <vt:lpstr>Debt</vt:lpstr>
      <vt:lpstr>Funding</vt:lpstr>
      <vt:lpstr>Deflators</vt:lpstr>
      <vt:lpstr>Volume</vt:lpstr>
      <vt:lpstr>Financial Gain</vt:lpstr>
      <vt:lpstr>Chart Data</vt:lpstr>
      <vt:lpstr>Lookup</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Connachan, Cara</dc:creator>
  <cp:keywords/>
  <dc:description/>
  <cp:lastModifiedBy>Cara Connachan</cp:lastModifiedBy>
  <cp:revision/>
  <dcterms:created xsi:type="dcterms:W3CDTF">2020-09-18T12:05:11Z</dcterms:created>
  <dcterms:modified xsi:type="dcterms:W3CDTF">2024-01-10T14:02:16Z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0x0101008D8B37618F89864ABE738DE1DBF7EE19</vt:lpwstr>
  </property>
</Properties>
</file>